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ds" sheetId="1" r:id="rId4"/>
    <sheet state="visible" name="CensoredTerms" sheetId="2" r:id="rId5"/>
    <sheet state="visible" name="SavedPhrases" sheetId="3" r:id="rId6"/>
    <sheet state="visible" name="Parts_of_speech" sheetId="4" r:id="rId7"/>
    <sheet state="visible" name="Adjectives" sheetId="5" r:id="rId8"/>
    <sheet state="visible" name="Nouns" sheetId="6" r:id="rId9"/>
    <sheet state="visible" name="Verbs" sheetId="7" r:id="rId10"/>
    <sheet state="visible" name="Symbols" sheetId="8" r:id="rId11"/>
    <sheet state="visible" name="Pronouns" sheetId="9" r:id="rId12"/>
    <sheet state="visible" name="Articles" sheetId="10" r:id="rId13"/>
    <sheet state="visible" name="Tense" sheetId="11" r:id="rId14"/>
  </sheets>
  <definedNames>
    <definedName hidden="1" localSheetId="4" name="_xlnm._FilterDatabase">Adjectives!$A$1:$E$118</definedName>
    <definedName hidden="1" localSheetId="10" name="_xlnm._FilterDatabase">Tense!$B$1:$J$210</definedName>
    <definedName hidden="1" localSheetId="0" name="Z_204942AA_9808_46A9_8407_08F89D8B8C28_.wvu.FilterData">Words!$A$3:$J$791</definedName>
  </definedNames>
  <calcPr/>
  <customWorkbookViews>
    <customWorkbookView activeSheetId="0" maximized="1" windowHeight="0" windowWidth="0" guid="{204942AA-9808-46A9-8407-08F89D8B8C28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23">
      <text>
        <t xml:space="preserve">dupe of 55 ?
	-Jason</t>
      </text>
    </comment>
  </commentList>
</comments>
</file>

<file path=xl/sharedStrings.xml><?xml version="1.0" encoding="utf-8"?>
<sst xmlns="http://schemas.openxmlformats.org/spreadsheetml/2006/main" count="9181" uniqueCount="3926">
  <si>
    <t>word</t>
  </si>
  <si>
    <t>part_of_speech</t>
  </si>
  <si>
    <t>category</t>
  </si>
  <si>
    <t>grade_level</t>
  </si>
  <si>
    <t>time</t>
  </si>
  <si>
    <t>place</t>
  </si>
  <si>
    <t>symbol_id</t>
  </si>
  <si>
    <t>symbol</t>
  </si>
  <si>
    <t>Categories</t>
  </si>
  <si>
    <t>Part of speech</t>
  </si>
  <si>
    <t>Noun</t>
  </si>
  <si>
    <t>Time</t>
  </si>
  <si>
    <t>lower</t>
  </si>
  <si>
    <t>midday</t>
  </si>
  <si>
    <t>Anywhere</t>
  </si>
  <si>
    <t>https://d18vdu4p71yql0.cloudfront.net/libraries/arasaac/exactly%20twelve%20o'clock.png</t>
  </si>
  <si>
    <t>Family</t>
  </si>
  <si>
    <t>Nouns</t>
  </si>
  <si>
    <t>morning</t>
  </si>
  <si>
    <t>https://d18vdu4p71yql0.cloudfront.net/libraries/arasaac/one%20o'clock.png</t>
  </si>
  <si>
    <t>Colours</t>
  </si>
  <si>
    <t>Pronouns</t>
  </si>
  <si>
    <t>https://d18vdu4p71yql0.cloudfront.net/libraries/arasaac/two%20o'clock.png</t>
  </si>
  <si>
    <t>Emotions</t>
  </si>
  <si>
    <t>Verbs</t>
  </si>
  <si>
    <t>https://d18vdu4p71yql0.cloudfront.net/libraries/arasaac/three%20o'clock.png</t>
  </si>
  <si>
    <t>Places</t>
  </si>
  <si>
    <t>Prepositions</t>
  </si>
  <si>
    <t>https://d18vdu4p71yql0.cloudfront.net/libraries/arasaac/four%20o'clock.png</t>
  </si>
  <si>
    <t>days</t>
  </si>
  <si>
    <t xml:space="preserve">                                                        </t>
  </si>
  <si>
    <t>https://d18vdu4p71yql0.cloudfront.net/libraries/arasaac/five%20o'clock.png</t>
  </si>
  <si>
    <t>food</t>
  </si>
  <si>
    <t xml:space="preserve">                                                                                                                                                  </t>
  </si>
  <si>
    <t>https://d18vdu4p71yql0.cloudfront.net/libraries/arasaac/six%20o'clock.png</t>
  </si>
  <si>
    <t>months</t>
  </si>
  <si>
    <t>https://d18vdu4p71yql0.cloudfront.net/libraries/arasaac/seven%20o'clock.png</t>
  </si>
  <si>
    <t>Animal</t>
  </si>
  <si>
    <t>https://d18vdu4p71yql0.cloudfront.net/libraries/arasaac/eight%20o'clock.png</t>
  </si>
  <si>
    <t>https://d18vdu4p71yql0.cloudfront.net/libraries/arasaac/nine%20o'clock.png</t>
  </si>
  <si>
    <t>Mathematics</t>
  </si>
  <si>
    <t>https://d18vdu4p71yql0.cloudfront.net/libraries/arasaac/ten%20o'clock.png</t>
  </si>
  <si>
    <t>body part</t>
  </si>
  <si>
    <t>https://d18vdu4p71yql0.cloudfront.net/libraries/arasaac/eleven%20o'clock.png</t>
  </si>
  <si>
    <t>Parishes</t>
  </si>
  <si>
    <t>afternoon</t>
  </si>
  <si>
    <t>evening</t>
  </si>
  <si>
    <t>night</t>
  </si>
  <si>
    <t>a</t>
  </si>
  <si>
    <t>Articles</t>
  </si>
  <si>
    <t>N/A</t>
  </si>
  <si>
    <t>https://d18vdu4p71yql0.cloudfront.net/libraries/arasaac/a.png</t>
  </si>
  <si>
    <t>about</t>
  </si>
  <si>
    <t>Preposition</t>
  </si>
  <si>
    <t>above</t>
  </si>
  <si>
    <t>position</t>
  </si>
  <si>
    <t>https://d18vdu4p71yql0.cloudfront.net/libraries/mulberry/above.svg</t>
  </si>
  <si>
    <t>Adverbs</t>
  </si>
  <si>
    <t>https://d18vdu4p71yql0.cloudfront.net/libraries/arasaac/above.png</t>
  </si>
  <si>
    <t>Adjectives</t>
  </si>
  <si>
    <t>abstain</t>
  </si>
  <si>
    <t>Verb</t>
  </si>
  <si>
    <t>upper</t>
  </si>
  <si>
    <t>accident</t>
  </si>
  <si>
    <t>Emergency</t>
  </si>
  <si>
    <t>https://d18vdu4p71yql0.cloudfront.net/libraries/arasaac/accident_2.png</t>
  </si>
  <si>
    <t>accomplish</t>
  </si>
  <si>
    <t>https://d18vdu4p71yql0.cloudfront.net/libraries/noun-project/Checklist_661_g.svg</t>
  </si>
  <si>
    <t>according</t>
  </si>
  <si>
    <t>https://d18vdu4p71yql0.cloudfront.net/libraries/arasaac/according%20to.png</t>
  </si>
  <si>
    <t>accumulate</t>
  </si>
  <si>
    <t>achievement</t>
  </si>
  <si>
    <t>https://d18vdu4p71yql0.cloudfront.net/libraries/noun-project/Trophy_765_g.svg</t>
  </si>
  <si>
    <t>Ackee</t>
  </si>
  <si>
    <t>Food</t>
  </si>
  <si>
    <t>https://ychef.files.bbci.co.uk/976x549/p099bkjt.jpg</t>
  </si>
  <si>
    <t>across</t>
  </si>
  <si>
    <t>https://d18vdu4p71yql0.cloudfront.net/libraries/mulberry/across.svg</t>
  </si>
  <si>
    <t>addition</t>
  </si>
  <si>
    <t>https://d18vdu4p71yql0.cloudfront.net/libraries/noun-project/add_207_49519.svg</t>
  </si>
  <si>
    <t>adult</t>
  </si>
  <si>
    <t>https://d18vdu4p71yql0.cloudfront.net/libraries/noun-project/Person-1361bc9acf.svg</t>
  </si>
  <si>
    <t>adventure</t>
  </si>
  <si>
    <t>https://d18vdu4p71yql0.cloudfront.net/libraries/arasaac/adventure.png.varianted-skin.png</t>
  </si>
  <si>
    <t>adversary</t>
  </si>
  <si>
    <t>aesthetic</t>
  </si>
  <si>
    <t>https://d18vdu4p71yql0.cloudfront.net/libraries/tawasol/Mall.png</t>
  </si>
  <si>
    <t>Africa</t>
  </si>
  <si>
    <t>https://d18vdu4p71yql0.cloudfront.net/libraries/noun-project/africa_30_3354.svg</t>
  </si>
  <si>
    <t>after</t>
  </si>
  <si>
    <t>https://d18vdu4p71yql0.cloudfront.net/libraries/mulberry/after.svg</t>
  </si>
  <si>
    <t>again</t>
  </si>
  <si>
    <t>https://d18vdu4p71yql0.cloudfront.net/libraries/noun-project/Repeat-a1aac40990.svg</t>
  </si>
  <si>
    <t>against</t>
  </si>
  <si>
    <t>https://d18vdu4p71yql0.cloudfront.net/libraries/arasaac/against.png</t>
  </si>
  <si>
    <t>aggravate</t>
  </si>
  <si>
    <t>aim</t>
  </si>
  <si>
    <t>https://d18vdu4p71yql0.cloudfront.net/libraries/noun-project/Target-20946d36bd.svg</t>
  </si>
  <si>
    <t>alive</t>
  </si>
  <si>
    <t>https://d18vdu4p71yql0.cloudfront.net/libraries/arasaac/alive.png</t>
  </si>
  <si>
    <t>allocate</t>
  </si>
  <si>
    <t>alone</t>
  </si>
  <si>
    <t>https://d18vdu4p71yql0.cloudfront.net/libraries/arasaac/alone.png.varianted-skin.png</t>
  </si>
  <si>
    <t>already</t>
  </si>
  <si>
    <t>alternative</t>
  </si>
  <si>
    <t>https://d18vdu4p71yql0.cloudfront.net/libraries/sclera/paper%20alternating%20stacked%20copy.png</t>
  </si>
  <si>
    <t>although</t>
  </si>
  <si>
    <t>Conjunction</t>
  </si>
  <si>
    <t>https://d18vdu4p71yql0.cloudfront.net/libraries/arasaac/although.png</t>
  </si>
  <si>
    <t>amazing</t>
  </si>
  <si>
    <t>Qualities</t>
  </si>
  <si>
    <t>School</t>
  </si>
  <si>
    <t>https://d18vdu4p71yql0.cloudfront.net/libraries/twemoji/1f387.svg</t>
  </si>
  <si>
    <t>ambiguous</t>
  </si>
  <si>
    <t>ambition</t>
  </si>
  <si>
    <t>ambulance</t>
  </si>
  <si>
    <t>https://d18vdu4p71yql0.cloudfront.net/libraries/arasaac/ambulance.png</t>
  </si>
  <si>
    <t>amplify</t>
  </si>
  <si>
    <t>an</t>
  </si>
  <si>
    <t>https://i.imgur.com/hGAy8w4.png</t>
  </si>
  <si>
    <t>analysis</t>
  </si>
  <si>
    <t>https://d18vdu4p71yql0.cloudfront.net/libraries/twemoji/1f52c.svg</t>
  </si>
  <si>
    <t>ancient</t>
  </si>
  <si>
    <t>https://d18vdu4p71yql0.cloudfront.net/libraries/noun-project/Pyramid-of-Giza_627_g.svg</t>
  </si>
  <si>
    <t>and</t>
  </si>
  <si>
    <t>https://d18vdu4p71yql0.cloudfront.net/libraries/arasaac/and.png</t>
  </si>
  <si>
    <t>angle</t>
  </si>
  <si>
    <t>https://d18vdu4p71yql0.cloudfront.net/libraries/noun-project/Degree-Angle_774_599172.svg</t>
  </si>
  <si>
    <t>angry</t>
  </si>
  <si>
    <t>https://d18vdu4p71yql0.cloudfront.net/libraries/noun-project/angry_514_557643.svg</t>
  </si>
  <si>
    <t>https://d18vdu4p71yql0.cloudfront.net/libraries/tawasol/angry.jpg</t>
  </si>
  <si>
    <t>ankle</t>
  </si>
  <si>
    <t>Body Part</t>
  </si>
  <si>
    <t>https://d18vdu4p71yql0.cloudfront.net/libraries/arasaac/ankle.png.variant-medium-dark.png</t>
  </si>
  <si>
    <t>annual</t>
  </si>
  <si>
    <t>https://d18vdu4p71yql0.cloudfront.net/libraries/noun-project/year_469_g.svg</t>
  </si>
  <si>
    <t>another</t>
  </si>
  <si>
    <t>answer</t>
  </si>
  <si>
    <t>anticipate</t>
  </si>
  <si>
    <t>antonyms</t>
  </si>
  <si>
    <t>https://d18vdu4p71yql0.cloudfront.net/libraries/arasaac/opposition_4.png</t>
  </si>
  <si>
    <t>anxious</t>
  </si>
  <si>
    <t>https://d18vdu4p71yql0.cloudfront.net/libraries/arasaac/nervous_1.png</t>
  </si>
  <si>
    <t>appetite</t>
  </si>
  <si>
    <t>apple</t>
  </si>
  <si>
    <t>https://d18vdu4p71yql0.cloudfront.net/libraries/twemoji/1f34e.svg</t>
  </si>
  <si>
    <t>apprehend</t>
  </si>
  <si>
    <t>appropriate</t>
  </si>
  <si>
    <t>April</t>
  </si>
  <si>
    <t>Months</t>
  </si>
  <si>
    <t>https://d18vdu4p71yql0.cloudfront.net/libraries/coughdrop_symbols/april.png</t>
  </si>
  <si>
    <t>arbirate</t>
  </si>
  <si>
    <t>architecture</t>
  </si>
  <si>
    <t>Arm</t>
  </si>
  <si>
    <t>https://d18vdu4p71yql0.cloudfront.net/libraries/arasaac/arm.png.variant-medium-dark.png</t>
  </si>
  <si>
    <t>ascend</t>
  </si>
  <si>
    <t>Asia</t>
  </si>
  <si>
    <t>https://d18vdu4p71yql0.cloudfront.net/libraries/arasaac/continent_2.png</t>
  </si>
  <si>
    <t>ask</t>
  </si>
  <si>
    <t>https://d18vdu4p71yql0.cloudfront.net/libraries/arasaac/ask_2.png.varianted-skin.png</t>
  </si>
  <si>
    <t>aspire</t>
  </si>
  <si>
    <t>assemble</t>
  </si>
  <si>
    <t>https://d18vdu4p71yql0.cloudfront.net/libraries/sclera/assemble%20wood.png</t>
  </si>
  <si>
    <t>association</t>
  </si>
  <si>
    <t>https://d18vdu4p71yql0.cloudfront.net/libraries/arasaac/association%20of%20employers.png.varianted-skin.png</t>
  </si>
  <si>
    <t>at</t>
  </si>
  <si>
    <t>https://d18vdu4p71yql0.cloudfront.net/libraries/icomoon/at.svg</t>
  </si>
  <si>
    <t>athletics</t>
  </si>
  <si>
    <t>https://d18vdu4p71yql0.cloudfront.net/libraries/sclera/athletics_1.png</t>
  </si>
  <si>
    <t>attack</t>
  </si>
  <si>
    <t>audience</t>
  </si>
  <si>
    <t>https://d18vdu4p71yql0.cloudfront.net/libraries/arasaac/audience.png.variant-medium-dark.png</t>
  </si>
  <si>
    <t>audio</t>
  </si>
  <si>
    <t>https://d18vdu4p71yql0.cloudfront.net/libraries/noun-project/sound-on_56_g.svg</t>
  </si>
  <si>
    <t>August</t>
  </si>
  <si>
    <t>https://d18vdu4p71yql0.cloudfront.net/libraries/coughdrop_symbols/august.png</t>
  </si>
  <si>
    <t>aunt</t>
  </si>
  <si>
    <t>https://d18vdu4p71yql0.cloudfront.net/libraries/arasaac/aunt.png.variant-dark.png</t>
  </si>
  <si>
    <t>aural</t>
  </si>
  <si>
    <t>https://d18vdu4p71yql0.cloudfront.net/libraries/icomoon/sound2.svg</t>
  </si>
  <si>
    <t>Australia</t>
  </si>
  <si>
    <t>https://d18vdu4p71yql0.cloudfront.net/libraries/arasaac/continent_4.png</t>
  </si>
  <si>
    <t>authenicate</t>
  </si>
  <si>
    <t>authority</t>
  </si>
  <si>
    <t>average</t>
  </si>
  <si>
    <t>awareness</t>
  </si>
  <si>
    <t>https://d18vdu4p71yql0.cloudfront.net/libraries/arasaac/awareness.png.variant-medium-dark.png</t>
  </si>
  <si>
    <t>baby</t>
  </si>
  <si>
    <t>https://d18vdu4p71yql0.cloudfront.net/libraries/twemoji/1f476-var1f3fdUNI.svg</t>
  </si>
  <si>
    <t>https://d18vdu4p71yql0.cloudfront.net/libraries/arasaac/baby.png.variant-dark.png</t>
  </si>
  <si>
    <t>Back</t>
  </si>
  <si>
    <t>https://d18vdu4p71yql0.cloudfront.net/libraries/arasaac/back.png.variant-medium-dark.png</t>
  </si>
  <si>
    <t>back</t>
  </si>
  <si>
    <t>https://d18vdu4p71yql0.cloudfront.net/libraries/mulberry/back%201.svg.varianted-skin.svg</t>
  </si>
  <si>
    <t>**</t>
  </si>
  <si>
    <t>backpack</t>
  </si>
  <si>
    <t>Object</t>
  </si>
  <si>
    <t>https://d18vdu4p71yql0.cloudfront.net/libraries/mulberry/school%20bag.svg</t>
  </si>
  <si>
    <t>backyard</t>
  </si>
  <si>
    <t>https://d18vdu4p71yql0.cloudfront.net/libraries/mulberry/back%20garden.svg</t>
  </si>
  <si>
    <t>bacon</t>
  </si>
  <si>
    <t>https://d18vdu4p71yql0.cloudfront.net/libraries/arasaac/bacon.png</t>
  </si>
  <si>
    <t>bad</t>
  </si>
  <si>
    <t>https://d18vdu4p71yql0.cloudfront.net/libraries/arasaac/bad_1.png.variant-medium-dark.png</t>
  </si>
  <si>
    <t>badly</t>
  </si>
  <si>
    <t>ball</t>
  </si>
  <si>
    <t>https://d18vdu4p71yql0.cloudfront.net/libraries/arasaac/ball_1.png</t>
  </si>
  <si>
    <t>banana</t>
  </si>
  <si>
    <t>https://d18vdu4p71yql0.cloudfront.net/libraries/arasaac/banana_1.png</t>
  </si>
  <si>
    <t>dinner</t>
  </si>
  <si>
    <t>https://d18vdu4p71yql0.cloudfront.net/libraries/mulberry/dinner.svg</t>
  </si>
  <si>
    <t>bar graphs</t>
  </si>
  <si>
    <t>https://d18vdu4p71yql0.cloudfront.net/libraries/mulberry/graph%20column.svg</t>
  </si>
  <si>
    <t>basketball</t>
  </si>
  <si>
    <t>https://d18vdu4p71yql0.cloudfront.net/libraries/arasaac/basketball_2.png</t>
  </si>
  <si>
    <t>bat</t>
  </si>
  <si>
    <t>https://d18vdu4p71yql0.cloudfront.net/libraries/arasaac/bat.png</t>
  </si>
  <si>
    <t>bathroom</t>
  </si>
  <si>
    <t>https://d18vdu4p71yql0.cloudfront.net/libraries/arasaac/toilet%20bowl.png</t>
  </si>
  <si>
    <t>be</t>
  </si>
  <si>
    <t>TBD</t>
  </si>
  <si>
    <t>https://d18vdu4p71yql0.cloudfront.net/libraries/arasaac/beach.png</t>
  </si>
  <si>
    <t>beach</t>
  </si>
  <si>
    <t>beans</t>
  </si>
  <si>
    <t>Home</t>
  </si>
  <si>
    <t>https://d18vdu4p71yql0.cloudfront.net/libraries/arasaac/beans_1.png</t>
  </si>
  <si>
    <t>beautiful</t>
  </si>
  <si>
    <t>https://globalsymbols.com/uploads/production/image/imagefile/7480/15_7480_abba8029-e69b-4496-adf0-a42bbe45d55b.png</t>
  </si>
  <si>
    <t>bedroom</t>
  </si>
  <si>
    <t>https://d18vdu4p71yql0.cloudfront.net/libraries/tawasol/Bedroom.png</t>
  </si>
  <si>
    <t>bee</t>
  </si>
  <si>
    <t>https://d18vdu4p71yql0.cloudfront.net/libraries/arasaac/bee.png</t>
  </si>
  <si>
    <t>beg</t>
  </si>
  <si>
    <t>https://d18vdu4p71yql0.cloudfront.net/libraries/arasaac/to%20beg_2.png.varianted-skin.png</t>
  </si>
  <si>
    <t>beginning</t>
  </si>
  <si>
    <t>https://d18vdu4p71yql0.cloudfront.net/libraries/mulberry/first.svg</t>
  </si>
  <si>
    <t>behind</t>
  </si>
  <si>
    <t>https://d18vdu4p71yql0.cloudfront.net/libraries/twemoji/1f325.svg</t>
  </si>
  <si>
    <t>believable</t>
  </si>
  <si>
    <t>https://d18vdu4p71yql0.cloudfront.net/libraries/arasaac/think.png</t>
  </si>
  <si>
    <t>belly</t>
  </si>
  <si>
    <t>https://d18vdu4p71yql0.cloudfront.net/libraries/arasaac/belly.png.variant-medium-dark.png</t>
  </si>
  <si>
    <t>below</t>
  </si>
  <si>
    <t>https://d18vdu4p71yql0.cloudfront.net/libraries/mulberry/below.svg</t>
  </si>
  <si>
    <t>https://d18vdu4p71yql0.cloudfront.net/libraries/tawasol/Below.png</t>
  </si>
  <si>
    <t>belt</t>
  </si>
  <si>
    <t>https://d18vdu4p71yql0.cloudfront.net/libraries/mulberry/belt.svg</t>
  </si>
  <si>
    <t>bend</t>
  </si>
  <si>
    <t>https://d18vdu4p71yql0.cloudfront.net/libraries/arasaac/to%20do%20exercise_11.png.varianted-skin.png</t>
  </si>
  <si>
    <t>https://d18vdu4p71yql0.cloudfront.net/libraries/arasaac/to%20do%20exercise_11.png.variant-medium-dark.png</t>
  </si>
  <si>
    <t>beside</t>
  </si>
  <si>
    <t>https://d18vdu4p71yql0.cloudfront.net/libraries/mulberry/beside%20next%20to.svg</t>
  </si>
  <si>
    <t>bibliography</t>
  </si>
  <si>
    <t>https://d18vdu4p71yql0.cloudfront.net/libraries/noun-project/read_808_g.svg</t>
  </si>
  <si>
    <t>big</t>
  </si>
  <si>
    <t>https://d18vdu4p71yql0.cloudfront.net/libraries/arasaac/big.png</t>
  </si>
  <si>
    <t>biohazard</t>
  </si>
  <si>
    <t>https://d18vdu4p71yql0.cloudfront.net/libraries/noun-project/Biohazard-a543fee64b.svg</t>
  </si>
  <si>
    <t>bird</t>
  </si>
  <si>
    <t>https://d18vdu4p71yql0.cloudfront.net/libraries/arasaac/bird.png</t>
  </si>
  <si>
    <t>birthday</t>
  </si>
  <si>
    <t>https://d18vdu4p71yql0.cloudfront.net/libraries/arasaac/birthdays_5.png.variant-dark.png</t>
  </si>
  <si>
    <t>bitter</t>
  </si>
  <si>
    <t>https://www.shutterstock.com/image-vector/vector-illustration-grimacing-face-sticking-260nw-622236248.jpg</t>
  </si>
  <si>
    <t>black</t>
  </si>
  <si>
    <t>https://d18vdu4p71yql0.cloudfront.net/libraries/mulberry/black.svg</t>
  </si>
  <si>
    <t>blanket</t>
  </si>
  <si>
    <t>https://d18vdu4p71yql0.cloudfront.net/libraries/arasaac/blanket_1.png</t>
  </si>
  <si>
    <t>blazer</t>
  </si>
  <si>
    <t>https://d18vdu4p71yql0.cloudfront.net/libraries/arasaac/jacket_3.png</t>
  </si>
  <si>
    <t>blouse</t>
  </si>
  <si>
    <t>https://d18vdu4p71yql0.cloudfront.net/libraries/arasaac/blouse.png</t>
  </si>
  <si>
    <t>blue</t>
  </si>
  <si>
    <t>https://d18vdu4p71yql0.cloudfront.net/libraries/mulberry/blue.svg</t>
  </si>
  <si>
    <t>Blue Mahoe</t>
  </si>
  <si>
    <t xml:space="preserve">Blue Mountain </t>
  </si>
  <si>
    <t>https://images.rove.me/w_1920,q_85/sw5dxjw4bauegz6dhjdy/jamaica-blue-mountain-peak-hiking.jpg</t>
  </si>
  <si>
    <t>body</t>
  </si>
  <si>
    <t>https://d18vdu4p71yql0.cloudfront.net/libraries/arasaac/body_4.png.variant-medium.png</t>
  </si>
  <si>
    <t>boiled</t>
  </si>
  <si>
    <t>https://d18vdu4p71yql0.cloudfront.net/libraries/arasaac/to%20boil.png</t>
  </si>
  <si>
    <t>https://d18vdu4p71yql0.cloudfront.net/libraries/sclera/kettle%20boils.png</t>
  </si>
  <si>
    <t>book</t>
  </si>
  <si>
    <t>https://d18vdu4p71yql0.cloudfront.net/libraries/arasaac/book.png</t>
  </si>
  <si>
    <t>boots</t>
  </si>
  <si>
    <t>https://d18vdu4p71yql0.cloudfront.net/libraries/mulberry/wellington%20boots.svg</t>
  </si>
  <si>
    <t>bored</t>
  </si>
  <si>
    <t>https://d18vdu4p71yql0.cloudfront.net/libraries/sclera/bore.png</t>
  </si>
  <si>
    <t>bounce</t>
  </si>
  <si>
    <t>https://d18vdu4p71yql0.cloudfront.net/libraries/arasaac/to%20bounce.png.varianted-skin.png</t>
  </si>
  <si>
    <t>https://d18vdu4p71yql0.cloudfront.net/libraries/arasaac/to%20bounce.png.variant-dark.png</t>
  </si>
  <si>
    <t>boxing</t>
  </si>
  <si>
    <t>https://d18vdu4p71yql0.cloudfront.net/libraries/arasaac/boxing.png.varianted-skin.png</t>
  </si>
  <si>
    <t>brainstorm</t>
  </si>
  <si>
    <t>https://d18vdu4p71yql0.cloudfront.net/libraries/sclera/brainstorming.png</t>
  </si>
  <si>
    <t>bread</t>
  </si>
  <si>
    <t>https://d18vdu4p71yql0.cloudfront.net/libraries/arasaac/bread_1.png</t>
  </si>
  <si>
    <t>https://d18vdu4p71yql0.cloudfront.net/libraries/mulberry/bread.svg</t>
  </si>
  <si>
    <t>breakfast</t>
  </si>
  <si>
    <t>https://d18vdu4p71yql0.cloudfront.net/libraries/arasaac/breakfast.png.varianted-skin.png</t>
  </si>
  <si>
    <t>broom</t>
  </si>
  <si>
    <t>https://d18vdu4p71yql0.cloudfront.net/libraries/arasaac/broom.png</t>
  </si>
  <si>
    <t>brother</t>
  </si>
  <si>
    <t>https://d18vdu4p71yql0.cloudfront.net/libraries/arasaac/brother.png.variant-dark.png</t>
  </si>
  <si>
    <t>brown</t>
  </si>
  <si>
    <t>https://d18vdu4p71yql0.cloudfront.net/libraries/mulberry/brown.svg</t>
  </si>
  <si>
    <t>bull in a pen</t>
  </si>
  <si>
    <t>https://d18vdu4p71yql0.cloudfront.net/libraries/arasaac/Blind%20man's%20buff_1.png.variant-dark.png</t>
  </si>
  <si>
    <t>bumpy</t>
  </si>
  <si>
    <t>https://d18vdu4p71yql0.cloudfront.net/libraries/arasaac/wrinkled_2.png.variant-medium-dark.png</t>
  </si>
  <si>
    <t>burn</t>
  </si>
  <si>
    <t>https://d18vdu4p71yql0.cloudfront.net/libraries/arasaac/burn.png.varianted-skin.png</t>
  </si>
  <si>
    <t>butter</t>
  </si>
  <si>
    <t>https://d18vdu4p71yql0.cloudfront.net/libraries/arasaac/butter.png</t>
  </si>
  <si>
    <t>https://d18vdu4p71yql0.cloudfront.net/libraries/arasaac/spread_1.png.varianted-skin.png</t>
  </si>
  <si>
    <t>button</t>
  </si>
  <si>
    <t>https://d18vdu4p71yql0.cloudfront.net/libraries/arasaac/to%20unbutton.png.varianted-skin.png</t>
  </si>
  <si>
    <t>cake</t>
  </si>
  <si>
    <t>https://d18vdu4p71yql0.cloudfront.net/libraries/arasaac/cake.png</t>
  </si>
  <si>
    <t>calendar</t>
  </si>
  <si>
    <t>https://d18vdu4p71yql0.cloudfront.net/libraries/arasaac/calendar.png</t>
  </si>
  <si>
    <t>call</t>
  </si>
  <si>
    <t>https://d18vdu4p71yql0.cloudfront.net/libraries/arasaac/call.png.varianted-skin.png</t>
  </si>
  <si>
    <t>callaloo</t>
  </si>
  <si>
    <t>https://upload.wikimedia.org/wikipedia/commons/f/f3/Assamese_fried_leafy_vegetable.jpg</t>
  </si>
  <si>
    <t>captain</t>
  </si>
  <si>
    <t>https://d18vdu4p71yql0.cloudfront.net/libraries/arasaac/captain.png.varianted-skin.png</t>
  </si>
  <si>
    <t>car</t>
  </si>
  <si>
    <t>https://d18vdu4p71yql0.cloudfront.net/libraries/arasaac/car.png</t>
  </si>
  <si>
    <t>carbohydrate</t>
  </si>
  <si>
    <t>https://d18vdu4p71yql0.cloudfront.net/libraries/mulberry/carbohydrates.svg</t>
  </si>
  <si>
    <t>cardigan</t>
  </si>
  <si>
    <t>https://d18vdu4p71yql0.cloudfront.net/libraries/arasaac/jacket_4.png</t>
  </si>
  <si>
    <t>career</t>
  </si>
  <si>
    <t>https://d18vdu4p71yql0.cloudfront.net/libraries/arasaac/job_3.png.varianted-skin.png</t>
  </si>
  <si>
    <t>carefully</t>
  </si>
  <si>
    <t>cargo pants</t>
  </si>
  <si>
    <t>https://d18vdu4p71yql0.cloudfront.net/libraries/noun-project/short-jeans_19_g.svg</t>
  </si>
  <si>
    <t>carpet</t>
  </si>
  <si>
    <t>https://d18vdu4p71yql0.cloudfront.net/libraries/arasaac/carpet.png</t>
  </si>
  <si>
    <t>cartoon</t>
  </si>
  <si>
    <t>https://d18vdu4p71yql0.cloudfront.net/libraries/arasaac/cartoon.png</t>
  </si>
  <si>
    <t>cat</t>
  </si>
  <si>
    <t>https://d18vdu4p71yql0.cloudfront.net/libraries/mulberry/cat.svg</t>
  </si>
  <si>
    <t>catalogue</t>
  </si>
  <si>
    <t>https://d18vdu4p71yql0.cloudfront.net/libraries/arasaac/toys'%20catalog.png</t>
  </si>
  <si>
    <t>catch</t>
  </si>
  <si>
    <t>https://d18vdu4p71yql0.cloudfront.net/libraries/arasaac/to%20catch_2.png.varianted-skin.png</t>
  </si>
  <si>
    <t>caution</t>
  </si>
  <si>
    <t>https://d18vdu4p71yql0.cloudfront.net/libraries/tawasol/problem.jpg</t>
  </si>
  <si>
    <t>cautiosly</t>
  </si>
  <si>
    <t>cell phone</t>
  </si>
  <si>
    <t>https://d18vdu4p71yql0.cloudfront.net/libraries/arasaac/mobile%20phone.png</t>
  </si>
  <si>
    <t>Celsius</t>
  </si>
  <si>
    <t>https://d18vdu4p71yql0.cloudfront.net/libraries/noun-project/Temperature_912_748588.svg</t>
  </si>
  <si>
    <t>centi-</t>
  </si>
  <si>
    <t>century</t>
  </si>
  <si>
    <t>cereal</t>
  </si>
  <si>
    <t>https://d18vdu4p71yql0.cloudfront.net/libraries/arasaac/cereals.png</t>
  </si>
  <si>
    <t>chair</t>
  </si>
  <si>
    <t>https://d18vdu4p71yql0.cloudfront.net/libraries/mulberry/chair.svg</t>
  </si>
  <si>
    <t>chalkboard</t>
  </si>
  <si>
    <t>https://d18vdu4p71yql0.cloudfront.net/libraries/sclera/chalkboard.png</t>
  </si>
  <si>
    <t>chapter</t>
  </si>
  <si>
    <t>https://d18vdu4p71yql0.cloudfront.net/libraries/sclera/book_1.png</t>
  </si>
  <si>
    <t>characters</t>
  </si>
  <si>
    <t>chasing</t>
  </si>
  <si>
    <t xml:space="preserve">checklist </t>
  </si>
  <si>
    <t>https://d18vdu4p71yql0.cloudfront.net/libraries/sclera/checklist.png</t>
  </si>
  <si>
    <t>Chest</t>
  </si>
  <si>
    <t>https://d18vdu4p71yql0.cloudfront.net/libraries/arasaac/chest.png.variant-medium-dark.png</t>
  </si>
  <si>
    <t>chicken</t>
  </si>
  <si>
    <t>Outdoor</t>
  </si>
  <si>
    <t>https://d18vdu4p71yql0.cloudfront.net/libraries/arasaac/chicken.png</t>
  </si>
  <si>
    <t>child</t>
  </si>
  <si>
    <t>https://d18vdu4p71yql0.cloudfront.net/libraries/noun-project/Child_985_g.svg</t>
  </si>
  <si>
    <t>chiney-skip</t>
  </si>
  <si>
    <t>choking</t>
  </si>
  <si>
    <t>https://d18vdu4p71yql0.cloudfront.net/libraries/sclera/choke.png</t>
  </si>
  <si>
    <t>choose</t>
  </si>
  <si>
    <t>choreograph</t>
  </si>
  <si>
    <t>https://d18vdu4p71yql0.cloudfront.net/libraries/sclera/dance%20party.png</t>
  </si>
  <si>
    <t>Christmas</t>
  </si>
  <si>
    <t>https://d18vdu4p71yql0.cloudfront.net/libraries/arasaac/Christmas%20period.png</t>
  </si>
  <si>
    <t>church</t>
  </si>
  <si>
    <t>https://d18vdu4p71yql0.cloudfront.net/libraries/arasaac/church.png</t>
  </si>
  <si>
    <t>circle graph</t>
  </si>
  <si>
    <t>https://d18vdu4p71yql0.cloudfront.net/libraries/mulberry/pie%20chart.svg</t>
  </si>
  <si>
    <t>clap</t>
  </si>
  <si>
    <t>https://d18vdu4p71yql0.cloudfront.net/libraries/arasaac/to%20clap.png.varianted-skin.png</t>
  </si>
  <si>
    <t>https://d18vdu4p71yql0.cloudfront.net/libraries/arasaac/to%20clap.png.variant-dark.png</t>
  </si>
  <si>
    <t>Clarendon</t>
  </si>
  <si>
    <t>https://upload.wikimedia.org/wikipedia/commons/thumb/9/90/Clarendon_in_Jamaica.svg/250px-Clarendon_in_Jamaica.svg.png</t>
  </si>
  <si>
    <t>classroom</t>
  </si>
  <si>
    <t>https://d18vdu4p71yql0.cloudfront.net/libraries/arasaac/classroom_2.png</t>
  </si>
  <si>
    <t>coat</t>
  </si>
  <si>
    <t>https://d18vdu4p71yql0.cloudfront.net/libraries/arasaac/coat.png</t>
  </si>
  <si>
    <t>collar</t>
  </si>
  <si>
    <t>https://d18vdu4p71yql0.cloudfront.net/libraries/mulberry/collar%201.svg.varianted-skin.svg</t>
  </si>
  <si>
    <t>cold</t>
  </si>
  <si>
    <t>https://d18vdu4p71yql0.cloudfront.net/libraries/arasaac/cold.png.variant-medium-dark.png</t>
  </si>
  <si>
    <t>https://d18vdu4p71yql0.cloudfront.net/libraries/sclera/cold.png</t>
  </si>
  <si>
    <t>cuff</t>
  </si>
  <si>
    <t>https://d18vdu4p71yql0.cloudfront.net/libraries/arasaac/cuff%20links.png</t>
  </si>
  <si>
    <t>colourful</t>
  </si>
  <si>
    <t>https://d18vdu4p71yql0.cloudfront.net/libraries/twemoji/1f308.svg</t>
  </si>
  <si>
    <t>community</t>
  </si>
  <si>
    <t>https://d18vdu4p71yql0.cloudfront.net/libraries/arasaac/village.png</t>
  </si>
  <si>
    <t>compare</t>
  </si>
  <si>
    <t>https://d18vdu4p71yql0.cloudfront.net/libraries/noun-project/Libra_401_669299.svg</t>
  </si>
  <si>
    <t>competition</t>
  </si>
  <si>
    <t>https://d18vdu4p71yql0.cloudfront.net/libraries/arasaac/competition.png.varianted-skin.png</t>
  </si>
  <si>
    <t>compose</t>
  </si>
  <si>
    <t>https://d18vdu4p71yql0.cloudfront.net/libraries/arasaac/writer.png.variant-medium-dark.png</t>
  </si>
  <si>
    <t>concentrate</t>
  </si>
  <si>
    <t>https://d18vdu4p71yql0.cloudfront.net/libraries/sclera/concentration.png</t>
  </si>
  <si>
    <t>concept</t>
  </si>
  <si>
    <t>https://d18vdu4p71yql0.cloudfront.net/libraries/noun-project/Idea_68_g.svg</t>
  </si>
  <si>
    <t>conductor</t>
  </si>
  <si>
    <t>https://d18vdu4p71yql0.cloudfront.net/libraries/sclera/conductor.png</t>
  </si>
  <si>
    <t>confidently</t>
  </si>
  <si>
    <t>conflict</t>
  </si>
  <si>
    <t>https://d18vdu4p71yql0.cloudfront.net/libraries/sclera/fighting%20game.png</t>
  </si>
  <si>
    <t>confused</t>
  </si>
  <si>
    <t>https://d18vdu4p71yql0.cloudfront.net/libraries/arasaac/confused_1.png</t>
  </si>
  <si>
    <t>cool</t>
  </si>
  <si>
    <t>https://d18vdu4p71yql0.cloudfront.net/libraries/mulberry/yummy.svg.variant-dark.svg</t>
  </si>
  <si>
    <t>https://d18vdu4p71yql0.cloudfront.net/libraries/sclera/cool%20down%20beverage_1.png</t>
  </si>
  <si>
    <t>country</t>
  </si>
  <si>
    <t>https://d18vdu4p71yql0.cloudfront.net/libraries/mulberry/country%20Jamaica.svg</t>
  </si>
  <si>
    <t xml:space="preserve">couplet </t>
  </si>
  <si>
    <t>https://d18vdu4p71yql0.cloudfront.net/libraries/noun-project/Writing_846_g.svg</t>
  </si>
  <si>
    <t>cousin</t>
  </si>
  <si>
    <t>https://d18vdu4p71yql0.cloudfront.net/libraries/arasaac/cousin.png.variant-dark.png</t>
  </si>
  <si>
    <t>cover page</t>
  </si>
  <si>
    <t>https://d18vdu4p71yql0.cloudfront.net/libraries/arasaac/family%20book.png</t>
  </si>
  <si>
    <t>covet</t>
  </si>
  <si>
    <t>cow</t>
  </si>
  <si>
    <t>https://d18vdu4p71yql0.cloudfront.net/libraries/arasaac/cow.png</t>
  </si>
  <si>
    <t>CPR</t>
  </si>
  <si>
    <t>https://d18vdu4p71yql0.cloudfront.net/libraries/arasaac/revive.png.varianted-skin.png</t>
  </si>
  <si>
    <t>crab</t>
  </si>
  <si>
    <t>https://d18vdu4p71yql0.cloudfront.net/libraries/arasaac/crab_1.png</t>
  </si>
  <si>
    <t>crave</t>
  </si>
  <si>
    <t>https://d18vdu4p71yql0.cloudfront.net/libraries/noun-project/hungry_24_89893.svg</t>
  </si>
  <si>
    <t>create</t>
  </si>
  <si>
    <t>https://d18vdu4p71yql0.cloudfront.net/libraries/arasaac/to%20create.png.varianted-skin.png</t>
  </si>
  <si>
    <t>creative</t>
  </si>
  <si>
    <t>https://d18vdu4p71yql0.cloudfront.net/libraries/arasaac/creativity.png.varianted-skin.png</t>
  </si>
  <si>
    <t>creatively</t>
  </si>
  <si>
    <t>Creole</t>
  </si>
  <si>
    <t>https://d18vdu4p71yql0.cloudfront.net/libraries/sclera/language.png</t>
  </si>
  <si>
    <t>cricket</t>
  </si>
  <si>
    <t>https://d18vdu4p71yql0.cloudfront.net/libraries/mulberry/cricket.svg.variant-medium-dark.svg</t>
  </si>
  <si>
    <t>critically</t>
  </si>
  <si>
    <t>crocodile</t>
  </si>
  <si>
    <t>https://d18vdu4p71yql0.cloudfront.net/libraries/arasaac/crocodile.png</t>
  </si>
  <si>
    <t>cry</t>
  </si>
  <si>
    <t>https://d18vdu4p71yql0.cloudfront.net/libraries/arasaac/to%20cry.png</t>
  </si>
  <si>
    <t>curtains</t>
  </si>
  <si>
    <t>https://d18vdu4p71yql0.cloudfront.net/libraries/mulberry/curtains.svg</t>
  </si>
  <si>
    <t>curious</t>
  </si>
  <si>
    <t>https://d18vdu4p71yql0.cloudfront.net/libraries/arasaac/curious_1.png</t>
  </si>
  <si>
    <t>cursive</t>
  </si>
  <si>
    <t>https://d18vdu4p71yql0.cloudfront.net/libraries/sclera/preparatory%20writing.png</t>
  </si>
  <si>
    <t>dining room</t>
  </si>
  <si>
    <t>https://d18vdu4p71yql0.cloudfront.net/libraries/sclera/staff%20room.png</t>
  </si>
  <si>
    <t>curved</t>
  </si>
  <si>
    <t>https://d18vdu4p71yql0.cloudfront.net/libraries/arasaac/curved%20line.png</t>
  </si>
  <si>
    <t>https://d18vdu4p71yql0.cloudfront.net/libraries/sclera/dance.png</t>
  </si>
  <si>
    <t>dance</t>
  </si>
  <si>
    <t>https://d18vdu4p71yql0.cloudfront.net/libraries/sclera/music%20and%20dance.png</t>
  </si>
  <si>
    <t>https://d18vdu4p71yql0.cloudfront.net/libraries/arasaac/dance.png.variant-dark.png</t>
  </si>
  <si>
    <t>dandy-shandy</t>
  </si>
  <si>
    <t>danger</t>
  </si>
  <si>
    <t>https://d18vdu4p71yql0.cloudfront.net/libraries/arasaac/danger.png</t>
  </si>
  <si>
    <t>data</t>
  </si>
  <si>
    <t>https://d18vdu4p71yql0.cloudfront.net/libraries/noun-project/report_701_g.svg</t>
  </si>
  <si>
    <t>December</t>
  </si>
  <si>
    <t>https://d18vdu4p71yql0.cloudfront.net/libraries/coughdrop_symbols/december.png</t>
  </si>
  <si>
    <t>decide</t>
  </si>
  <si>
    <t>https://d18vdu4p71yql0.cloudfront.net/libraries/sclera/decide.png</t>
  </si>
  <si>
    <t>deed</t>
  </si>
  <si>
    <t>https://p7.hiclipart.com/preview/217/245/270/quitclaim-deed-title-document-grunkle-stan-others.jpg</t>
  </si>
  <si>
    <t>https://media.istockphoto.com/id/1175693643/vector/the-guy-gives-way-to-a-grandmother-with-a-disability-in-public-transport.jpg?s=612x612&amp;w=0&amp;k=20&amp;c=YVCQ3eeI1goiH_1VIWa-dNRWKAqf8zgZ2YrEnBQlUOc=</t>
  </si>
  <si>
    <t>defecate</t>
  </si>
  <si>
    <t>https://d18vdu4p71yql0.cloudfront.net/libraries/arasaac/to%20urinate_2.png.varianted-skin.png</t>
  </si>
  <si>
    <t>degrees</t>
  </si>
  <si>
    <t>https://d18vdu4p71yql0.cloudfront.net/libraries/noun-project/degree_923_111249.svg</t>
  </si>
  <si>
    <t>delicious</t>
  </si>
  <si>
    <t>https://d18vdu4p71yql0.cloudfront.net/libraries/arasaac/to%20like_1.png</t>
  </si>
  <si>
    <t>demand</t>
  </si>
  <si>
    <t>demonstrate</t>
  </si>
  <si>
    <t>https://d18vdu4p71yql0.cloudfront.net/libraries/noun-project/Protest-6a4ac3c2fa.svg</t>
  </si>
  <si>
    <t>description</t>
  </si>
  <si>
    <t>https://d18vdu4p71yql0.cloudfront.net/libraries/arasaac/description.png</t>
  </si>
  <si>
    <t>desire</t>
  </si>
  <si>
    <t>desperation</t>
  </si>
  <si>
    <t>Devon House</t>
  </si>
  <si>
    <t>https://tef.gov.jm/wp-content/uploads/2020/09/TEF_ADDED-28.jpg</t>
  </si>
  <si>
    <t>dialogue</t>
  </si>
  <si>
    <t>https://d18vdu4p71yql0.cloudfront.net/libraries/noun-project/chat-bubble_660_g.svg</t>
  </si>
  <si>
    <t>different</t>
  </si>
  <si>
    <t>https://i.imgur.com/MUWhssJ.png</t>
  </si>
  <si>
    <t>https://d18vdu4p71yql0.cloudfront.net/libraries/arasaac/different.png</t>
  </si>
  <si>
    <t>diligently</t>
  </si>
  <si>
    <t>door</t>
  </si>
  <si>
    <t>https://d18vdu4p71yql0.cloudfront.net/libraries/arasaac/door-gate.png</t>
  </si>
  <si>
    <t>disaster</t>
  </si>
  <si>
    <t>https://d18vdu4p71yql0.cloudfront.net/libraries/arasaac/disaster.png.varianted-skin.png</t>
  </si>
  <si>
    <t>dislike</t>
  </si>
  <si>
    <t>https://d18vdu4p71yql0.cloudfront.net/libraries/arasaac/bad_2.png.variant-medium-dark.png</t>
  </si>
  <si>
    <t>https://d18vdu4p71yql0.cloudfront.net/libraries/arasaac/dislike.png.variant-dark.png</t>
  </si>
  <si>
    <t>dodge</t>
  </si>
  <si>
    <t>https://d18vdu4p71yql0.cloudfront.net/libraries/arasaac/to%20avoid_2.png</t>
  </si>
  <si>
    <t>does</t>
  </si>
  <si>
    <t>dog</t>
  </si>
  <si>
    <t>https://d18vdu4p71yql0.cloudfront.net/libraries/arasaac/dog.png</t>
  </si>
  <si>
    <t>dolphin</t>
  </si>
  <si>
    <t>https://d18vdu4p71yql0.cloudfront.net/libraries/arasaac/dolphin.png</t>
  </si>
  <si>
    <t xml:space="preserve">Dolphin Cove </t>
  </si>
  <si>
    <t>https://jamaicagetawaytravels.com/wp-content/uploads/2013/05/jamaica-get-away-travels-dolphin-cove.jpg</t>
  </si>
  <si>
    <t>dress</t>
  </si>
  <si>
    <t>https://d18vdu4p71yql0.cloudfront.net/libraries/arasaac/dress_10.png</t>
  </si>
  <si>
    <t>down</t>
  </si>
  <si>
    <t>https://d18vdu4p71yql0.cloudfront.net/libraries/icomoon/arrow-down2.svg</t>
  </si>
  <si>
    <t>https://d18vdu4p71yql0.cloudfront.net/libraries/arasaac/knock%20down.png</t>
  </si>
  <si>
    <t>dragon-fly</t>
  </si>
  <si>
    <t>https://d18vdu4p71yql0.cloudfront.net/libraries/noun-project/Dragonfly-75fc847e05.svg</t>
  </si>
  <si>
    <t>dramatic</t>
  </si>
  <si>
    <t>https://d18vdu4p71yql0.cloudfront.net/libraries/twemoji/1f3ad.svg</t>
  </si>
  <si>
    <t>dream</t>
  </si>
  <si>
    <t>https://d18vdu4p71yql0.cloudfront.net/libraries/arasaac/dream.png.varianted-skin.png</t>
  </si>
  <si>
    <t>dryer</t>
  </si>
  <si>
    <t>https://d18vdu4p71yql0.cloudfront.net/libraries/arasaac/dryer.png</t>
  </si>
  <si>
    <t>flip flops</t>
  </si>
  <si>
    <t>https://d18vdu4p71yql0.cloudfront.net/libraries/arasaac/flip-flops_1.png</t>
  </si>
  <si>
    <t>dumpling</t>
  </si>
  <si>
    <t>https://myjamaicanrecipes.com/wp-content/uploads/2020/09/Jamaican-Fried-Dumplings-1.jpg</t>
  </si>
  <si>
    <t>Dunn's River Fallls</t>
  </si>
  <si>
    <t>https://www.shoreexcursionsgroup.com/img/tour/CAFLYARFALLS-2.jpg</t>
  </si>
  <si>
    <t>duration</t>
  </si>
  <si>
    <t>https://d18vdu4p71yql0.cloudfront.net/libraries/arasaac/length.png</t>
  </si>
  <si>
    <t>dynamics</t>
  </si>
  <si>
    <t>eager</t>
  </si>
  <si>
    <t>https://d18vdu4p71yql0.cloudfront.net/libraries/arasaac/I%20am%20fine.png</t>
  </si>
  <si>
    <t>Ear</t>
  </si>
  <si>
    <t>https://d18vdu4p71yql0.cloudfront.net/libraries/twemoji/1f442-var1f3ffUNI.svg</t>
  </si>
  <si>
    <t>earthquake</t>
  </si>
  <si>
    <t>https://d18vdu4p71yql0.cloudfront.net/libraries/arasaac/earthquake.png</t>
  </si>
  <si>
    <t>easily</t>
  </si>
  <si>
    <t>eat</t>
  </si>
  <si>
    <t>https://d18vdu4p71yql0.cloudfront.net/libraries/arasaac/to%20eat_1.png.varianted-skin.png</t>
  </si>
  <si>
    <t>echo</t>
  </si>
  <si>
    <t>https://d18vdu4p71yql0.cloudfront.net/libraries/sclera/repeat_1.png</t>
  </si>
  <si>
    <t>edit</t>
  </si>
  <si>
    <t>https://d18vdu4p71yql0.cloudfront.net/libraries/noun-project/edit_509_g.svg</t>
  </si>
  <si>
    <t>effectively</t>
  </si>
  <si>
    <t>efficiently</t>
  </si>
  <si>
    <t>egg</t>
  </si>
  <si>
    <t>https://d18vdu4p71yql0.cloudfront.net/libraries/arasaac/egg.png</t>
  </si>
  <si>
    <t>Elbow</t>
  </si>
  <si>
    <t>https://d18vdu4p71yql0.cloudfront.net/libraries/arasaac/elbow.png.variant-medium-dark.png</t>
  </si>
  <si>
    <t>elder</t>
  </si>
  <si>
    <t>https://d18vdu4p71yql0.cloudfront.net/libraries/sclera/aid%20to%20elder%20people_1.png</t>
  </si>
  <si>
    <t>https://d18vdu4p71yql0.cloudfront.net/libraries/arasaac/old%20person_1.png.variant-dark.png</t>
  </si>
  <si>
    <t>elderly</t>
  </si>
  <si>
    <t>https://d18vdu4p71yql0.cloudfront.net/libraries/arasaac/elderly_1.png.varianted-skin.png</t>
  </si>
  <si>
    <t>electronic</t>
  </si>
  <si>
    <t>https://d18vdu4p71yql0.cloudfront.net/libraries/arasaac/electricity.png</t>
  </si>
  <si>
    <t xml:space="preserve">Emanciapation Park </t>
  </si>
  <si>
    <t>https://jamaicagetawaytravels.com/wp-content/uploads/2016/02/emancipation-park.jpg</t>
  </si>
  <si>
    <t>embarrassed</t>
  </si>
  <si>
    <t>https://d18vdu4p71yql0.cloudfront.net/libraries/arasaac/to%20embarrass_2.png.variant-medium-dark.png</t>
  </si>
  <si>
    <t>emergency</t>
  </si>
  <si>
    <t>https://d18vdu4p71yql0.cloudfront.net/libraries/noun-project/Siren_114_g.svg</t>
  </si>
  <si>
    <t>end</t>
  </si>
  <si>
    <t>https://d18vdu4p71yql0.cloudfront.net/libraries/mulberry/last.svg</t>
  </si>
  <si>
    <t>https://d18vdu4p71yql0.cloudfront.net/libraries/arasaac/end.png</t>
  </si>
  <si>
    <t>https://d18vdu4p71yql0.cloudfront.net/libraries/noun-project/end-call_245_g.svg</t>
  </si>
  <si>
    <t>endurance</t>
  </si>
  <si>
    <t>https://d18vdu4p71yql0.cloudfront.net/libraries/arasaac/to%20endure.png.variant-medium-dark.png</t>
  </si>
  <si>
    <t>enthusiasm</t>
  </si>
  <si>
    <t>https://d18vdu4p71yql0.cloudfront.net/libraries/noun-project/excited_927_g.svg</t>
  </si>
  <si>
    <t>envious</t>
  </si>
  <si>
    <t>https://d18vdu4p71yql0.cloudfront.net/libraries/sclera/jealous%20anger.png</t>
  </si>
  <si>
    <t>environment</t>
  </si>
  <si>
    <t>https://d18vdu4p71yql0.cloudfront.net/libraries/arasaac/grass_1.png</t>
  </si>
  <si>
    <t>envision</t>
  </si>
  <si>
    <t>essential</t>
  </si>
  <si>
    <t>estimation</t>
  </si>
  <si>
    <t>https://d18vdu4p71yql0.cloudfront.net/libraries/sclera/weight%20estimate.png</t>
  </si>
  <si>
    <t>ethnic</t>
  </si>
  <si>
    <t>Europe</t>
  </si>
  <si>
    <t>https://d18vdu4p71yql0.cloudfront.net/libraries/arasaac/Europe.png</t>
  </si>
  <si>
    <t>evacuate</t>
  </si>
  <si>
    <t>https://d18vdu4p71yql0.cloudfront.net/libraries/arasaac/emergency%20exit.png</t>
  </si>
  <si>
    <t>evcuation plan</t>
  </si>
  <si>
    <t>https://d18vdu4p71yql0.cloudfront.net/libraries/sclera/planning%20board.png</t>
  </si>
  <si>
    <t>https://d18vdu4p71yql0.cloudfront.net/libraries/arasaac/dusk.png</t>
  </si>
  <si>
    <t>excited</t>
  </si>
  <si>
    <t>https://d18vdu4p71yql0.cloudfront.net/libraries/noun-project/excited_334_g.svg</t>
  </si>
  <si>
    <t>exciting</t>
  </si>
  <si>
    <t>exercise</t>
  </si>
  <si>
    <t>https://d18vdu4p71yql0.cloudfront.net/libraries/mulberry/exercise%20,%20to.svg.varianted-skin.svg</t>
  </si>
  <si>
    <t>https://d18vdu4p71yql0.cloudfront.net/libraries/arasaac/to%20do%20exercise_22.png.variant-medium-dark.png</t>
  </si>
  <si>
    <t>exit</t>
  </si>
  <si>
    <t>https://d18vdu4p71yql0.cloudfront.net/libraries/arasaac/exit.png</t>
  </si>
  <si>
    <t>exploration</t>
  </si>
  <si>
    <t>explosive</t>
  </si>
  <si>
    <t>https://d18vdu4p71yql0.cloudfront.net/libraries/noun-project/explosion_404_g.svg</t>
  </si>
  <si>
    <t>Eye</t>
  </si>
  <si>
    <t>https://d18vdu4p71yql0.cloudfront.net/libraries/tawasol/Eye_2.png</t>
  </si>
  <si>
    <t>fact</t>
  </si>
  <si>
    <t>https://d18vdu4p71yql0.cloudfront.net/libraries/arasaac/yes_2.png</t>
  </si>
  <si>
    <t>family</t>
  </si>
  <si>
    <t>https://d18vdu4p71yql0.cloudfront.net/libraries/arasaac/family.png.variant-medium-dark.png</t>
  </si>
  <si>
    <t>fancy</t>
  </si>
  <si>
    <t>farmer</t>
  </si>
  <si>
    <t>https://d18vdu4p71yql0.cloudfront.net/libraries/arasaac/farmer_1.png.varianted-skin.png</t>
  </si>
  <si>
    <t>fat</t>
  </si>
  <si>
    <t>https://d18vdu4p71yql0.cloudfront.net/libraries/arasaac/fat.png.variant-medium-dark.png</t>
  </si>
  <si>
    <t>father</t>
  </si>
  <si>
    <t>https://d18vdu4p71yql0.cloudfront.net/libraries/arasaac/father.png.variant-medium-dark.png</t>
  </si>
  <si>
    <t>favourite</t>
  </si>
  <si>
    <t>https://d18vdu4p71yql0.cloudfront.net/libraries/mulberry/favourite.svg</t>
  </si>
  <si>
    <t>February</t>
  </si>
  <si>
    <t>https://d18vdu4p71yql0.cloudfront.net/libraries/coughdrop_symbols/february.png</t>
  </si>
  <si>
    <t>feeling</t>
  </si>
  <si>
    <t>https://d18vdu4p71yql0.cloudfront.net/libraries/arasaac/feelings.png.variant-dark.png</t>
  </si>
  <si>
    <t>feet</t>
  </si>
  <si>
    <t>https://d18vdu4p71yql0.cloudfront.net/libraries/arasaac/feet.png.variant-medium-dark.png</t>
  </si>
  <si>
    <t>fiction</t>
  </si>
  <si>
    <t>https://d18vdu4p71yql0.cloudfront.net/libraries/mulberry/friction.svg</t>
  </si>
  <si>
    <t>Fingers</t>
  </si>
  <si>
    <t>https://d18vdu4p71yql0.cloudfront.net/libraries/mulberry/fingers.svg.variant-medium-dark.svg</t>
  </si>
  <si>
    <t>finished</t>
  </si>
  <si>
    <t>https://d18vdu4p71yql0.cloudfront.net/libraries/sclera/run%20finish.png</t>
  </si>
  <si>
    <t>fire</t>
  </si>
  <si>
    <t>https://d18vdu4p71yql0.cloudfront.net/libraries/arasaac/fire_2.png</t>
  </si>
  <si>
    <t>first aid</t>
  </si>
  <si>
    <t>https://d18vdu4p71yql0.cloudfront.net/libraries/arasaac/medicine%20chest_1.png</t>
  </si>
  <si>
    <t>fish</t>
  </si>
  <si>
    <t>https://d18vdu4p71yql0.cloudfront.net/libraries/mulberry/fish.svg</t>
  </si>
  <si>
    <t>furniture</t>
  </si>
  <si>
    <t>https://d18vdu4p71yql0.cloudfront.net/libraries/mulberry/furniture.svg</t>
  </si>
  <si>
    <t>flood</t>
  </si>
  <si>
    <t>https://d18vdu4p71yql0.cloudfront.net/libraries/arasaac/flood.png</t>
  </si>
  <si>
    <t>fluffy</t>
  </si>
  <si>
    <t>https://d18vdu4p71yql0.cloudfront.net/libraries/noun-project/pillow_794_g.svg</t>
  </si>
  <si>
    <t>folk-tales</t>
  </si>
  <si>
    <t>https://d18vdu4p71yql0.cloudfront.net/libraries/arasaac/tales.png.varianted-skin.png</t>
  </si>
  <si>
    <t>https://d18vdu4p71yql0.cloudfront.net/libraries/mulberry/food.svg</t>
  </si>
  <si>
    <t>Foot</t>
  </si>
  <si>
    <t>https://d18vdu4p71yql0.cloudfront.net/libraries/arasaac/feet_2.png.variant-medium-dark.png</t>
  </si>
  <si>
    <t>football</t>
  </si>
  <si>
    <t>https://d18vdu4p71yql0.cloudfront.net/libraries/arasaac/american%20football%20player.png.varianted-skin.png</t>
  </si>
  <si>
    <t>for</t>
  </si>
  <si>
    <t>https://i.imgur.com/d3IsTDj.png</t>
  </si>
  <si>
    <t>forehead</t>
  </si>
  <si>
    <t>https://d18vdu4p71yql0.cloudfront.net/libraries/arasaac/forehead.png.variant-medium-dark.png</t>
  </si>
  <si>
    <t>format</t>
  </si>
  <si>
    <t>https://d18vdu4p71yql0.cloudfront.net/libraries/arasaac/mold_2.png</t>
  </si>
  <si>
    <t>fowl</t>
  </si>
  <si>
    <t>fractions</t>
  </si>
  <si>
    <t>https://d18vdu4p71yql0.cloudfront.net/libraries/arasaac/fractions.png</t>
  </si>
  <si>
    <t>Friday</t>
  </si>
  <si>
    <t>Days</t>
  </si>
  <si>
    <t>https://d18vdu4p71yql0.cloudfront.net/libraries/coughdrop_symbols/friday.svg</t>
  </si>
  <si>
    <t>fried</t>
  </si>
  <si>
    <t>https://d18vdu4p71yql0.cloudfront.net/libraries/mulberry/fish%20deep%20fried.svg</t>
  </si>
  <si>
    <t>https://d18vdu4p71yql0.cloudfront.net/libraries/arasaac/piece%20of%20fried%20food.png</t>
  </si>
  <si>
    <t>friend</t>
  </si>
  <si>
    <t>people</t>
  </si>
  <si>
    <t>https://d18vdu4p71yql0.cloudfront.net/libraries/arasaac/friends_3.png.variant-medium-dark.png</t>
  </si>
  <si>
    <t>friendly</t>
  </si>
  <si>
    <t>https://d18vdu4p71yql0.cloudfront.net/libraries/sclera/group%20friendly.png</t>
  </si>
  <si>
    <t>friendship</t>
  </si>
  <si>
    <t>https://d18vdu4p71yql0.cloudfront.net/libraries/arasaac/friendship.png.variant-dark.png</t>
  </si>
  <si>
    <t>frog</t>
  </si>
  <si>
    <t>https://d18vdu4p71yql0.cloudfront.net/libraries/arasaac/frog_1.png</t>
  </si>
  <si>
    <t>Frustrated</t>
  </si>
  <si>
    <t>https://d18vdu4p71yql0.cloudfront.net/libraries/noun-project/Frustrated_182_g.svg</t>
  </si>
  <si>
    <t>fun</t>
  </si>
  <si>
    <t>https://d18vdu4p71yql0.cloudfront.net/libraries/arasaac/fun.png</t>
  </si>
  <si>
    <t>funny</t>
  </si>
  <si>
    <t>https://d18vdu4p71yql0.cloudfront.net/libraries/arasaac/it's%20funny!.png</t>
  </si>
  <si>
    <t>gloves</t>
  </si>
  <si>
    <t>https://d18vdu4p71yql0.cloudfront.net/libraries/arasaac/gloves.png</t>
  </si>
  <si>
    <t>game</t>
  </si>
  <si>
    <t>https://d18vdu4p71yql0.cloudfront.net/libraries/arasaac/board%20game.png</t>
  </si>
  <si>
    <t>https://d18vdu4p71yql0.cloudfront.net/libraries/mulberry/computer%20game.svg</t>
  </si>
  <si>
    <t>girl</t>
  </si>
  <si>
    <t>https://i.imgur.com/mmvdUz0.png</t>
  </si>
  <si>
    <t>hanger</t>
  </si>
  <si>
    <t>https://d18vdu4p71yql0.cloudfront.net/libraries/mulberry/clothes%20hanger.svg</t>
  </si>
  <si>
    <t>go</t>
  </si>
  <si>
    <t>https://d18vdu4p71yql0.cloudfront.net/libraries/mulberry/go%20through%20door%20,%20to.svg.varianted-skin.svg</t>
  </si>
  <si>
    <t>https://d18vdu4p71yql0.cloudfront.net/libraries/arasaac/to%20go_3.png</t>
  </si>
  <si>
    <t>goal</t>
  </si>
  <si>
    <t>Action</t>
  </si>
  <si>
    <t>https://d18vdu4p71yql0.cloudfront.net/libraries/sclera/soccer%20goal%20shooting.png</t>
  </si>
  <si>
    <t>https://d18vdu4p71yql0.cloudfront.net/libraries/arasaac/score.png</t>
  </si>
  <si>
    <t>goat</t>
  </si>
  <si>
    <t>https://d18vdu4p71yql0.cloudfront.net/libraries/arasaac/goat_1.png.varianted-skin.png</t>
  </si>
  <si>
    <t>God</t>
  </si>
  <si>
    <t>Worship</t>
  </si>
  <si>
    <t>https://i.imgur.com/Zpn4GUz.png</t>
  </si>
  <si>
    <t>good</t>
  </si>
  <si>
    <t>https://d18vdu4p71yql0.cloudfront.net/libraries/arasaac/good.png.varianted-skin.png</t>
  </si>
  <si>
    <t>https://i.imgur.com/PMWDN1q.png</t>
  </si>
  <si>
    <t>goodly</t>
  </si>
  <si>
    <t>gracefully</t>
  </si>
  <si>
    <t>gram</t>
  </si>
  <si>
    <t>https://d18vdu4p71yql0.cloudfront.net/libraries/noun-project/Measuring%20Spoons-a112c36480.svg</t>
  </si>
  <si>
    <t>grandfather</t>
  </si>
  <si>
    <t>https://d18vdu4p71yql0.cloudfront.net/libraries/arasaac/grandfather_3.png.variant-dark.png</t>
  </si>
  <si>
    <t>grandmother</t>
  </si>
  <si>
    <t>https://d18vdu4p71yql0.cloudfront.net/libraries/arasaac/grandmother.png.variant-dark.png</t>
  </si>
  <si>
    <t>grandparent</t>
  </si>
  <si>
    <t>https://d18vdu4p71yql0.cloudfront.net/libraries/arasaac/grandparents_4.png.variant-dark.png</t>
  </si>
  <si>
    <t>graphic</t>
  </si>
  <si>
    <t>https://d18vdu4p71yql0.cloudfront.net/libraries/arasaac/graphic%20design_1.png.varianted-skin.png</t>
  </si>
  <si>
    <t>grateful</t>
  </si>
  <si>
    <t>https://d18vdu4p71yql0.cloudfront.net/libraries/noun-project/grin_354_625251.svg</t>
  </si>
  <si>
    <t>greater than</t>
  </si>
  <si>
    <t>https://d18vdu4p71yql0.cloudfront.net/libraries/arasaac/is%20greater%20than.png</t>
  </si>
  <si>
    <t>greed</t>
  </si>
  <si>
    <t>green</t>
  </si>
  <si>
    <t>https://d18vdu4p71yql0.cloudfront.net/libraries/mulberry/green.svg</t>
  </si>
  <si>
    <t>group</t>
  </si>
  <si>
    <t>https://d18vdu4p71yql0.cloudfront.net/libraries/arasaac/group.png.variant-medium-dark.png</t>
  </si>
  <si>
    <t>https://d18vdu4p71yql0.cloudfront.net/libraries/arasaac/groups.png.varianted-skin.png</t>
  </si>
  <si>
    <t>https://d18vdu4p71yql0.cloudfront.net/libraries/arasaac/group%20therapy.png.varianted-skin.png</t>
  </si>
  <si>
    <t>grow</t>
  </si>
  <si>
    <t>https://d18vdu4p71yql0.cloudfront.net/libraries/arasaac/to%20grow_1.png</t>
  </si>
  <si>
    <t>growth</t>
  </si>
  <si>
    <t>https://d18vdu4p71yql0.cloudfront.net/libraries/arasaac/growth_1.png</t>
  </si>
  <si>
    <t>guardian</t>
  </si>
  <si>
    <t>https://d18vdu4p71yql0.cloudfront.net/libraries/sclera/guardian.png</t>
  </si>
  <si>
    <t>haiku</t>
  </si>
  <si>
    <t>Hair</t>
  </si>
  <si>
    <t>https://d18vdu4p71yql0.cloudfront.net/libraries/twemoji/1f468-1f3fe-200d-1f9b1.svg</t>
  </si>
  <si>
    <t>Hand</t>
  </si>
  <si>
    <t>https://d18vdu4p71yql0.cloudfront.net/libraries/arasaac/hand.png.variant-medium-dark.png</t>
  </si>
  <si>
    <t>hat</t>
  </si>
  <si>
    <t>https://d18vdu4p71yql0.cloudfront.net/libraries/arasaac/hat.png</t>
  </si>
  <si>
    <t>Hanover</t>
  </si>
  <si>
    <t>https://upload.wikimedia.org/wikipedia/commons/thumb/d/d9/Hanover_in_Jamaica.svg/1200px-Hanover_in_Jamaica.svg.png</t>
  </si>
  <si>
    <t>happily</t>
  </si>
  <si>
    <t>happy</t>
  </si>
  <si>
    <t>https://d18vdu4p71yql0.cloudfront.net/libraries/noun-project/Happy_517_g.svg</t>
  </si>
  <si>
    <t>hard</t>
  </si>
  <si>
    <t>https://d18vdu4p71yql0.cloudfront.net/libraries/arasaac/hard.png.varianted-skin.png</t>
  </si>
  <si>
    <t>have</t>
  </si>
  <si>
    <t>https://d18vdu4p71yql0.cloudfront.net/libraries/arasaac/to%20have_4.png.variant-medium-dark.png</t>
  </si>
  <si>
    <t>hazard</t>
  </si>
  <si>
    <t>https://d18vdu4p71yql0.cloudfront.net/libraries/noun-project/Hazard_766_g.svg</t>
  </si>
  <si>
    <t>He</t>
  </si>
  <si>
    <t>Pronoun</t>
  </si>
  <si>
    <t>https://d18vdu4p71yql0.cloudfront.net/libraries/arasaac/he.png.variant-medium-dark.png</t>
  </si>
  <si>
    <t>https://d18vdu4p71yql0.cloudfront.net/libraries/arasaac/he.png.variant-dark.png</t>
  </si>
  <si>
    <t>Head</t>
  </si>
  <si>
    <t>https://d18vdu4p71yql0.cloudfront.net/libraries/noun-project/Head_396_g.svg</t>
  </si>
  <si>
    <t>heavily</t>
  </si>
  <si>
    <t>https://d18vdu4p71yql0.cloudfront.net/libraries/twemoji/1f3cb-var1f3ffUNI.svg</t>
  </si>
  <si>
    <t>heavy</t>
  </si>
  <si>
    <t>https://d18vdu4p71yql0.cloudfront.net/libraries/mulberry/heavy.svg</t>
  </si>
  <si>
    <t>help</t>
  </si>
  <si>
    <t>https://d18vdu4p71yql0.cloudfront.net/libraries/noun-project/help_510_g.svg</t>
  </si>
  <si>
    <t>helpful</t>
  </si>
  <si>
    <t>https://i.imgur.com/E1mE6fa.png</t>
  </si>
  <si>
    <t>hoodie</t>
  </si>
  <si>
    <t>https://d18vdu4p71yql0.cloudfront.net/libraries/arasaac/hood.png</t>
  </si>
  <si>
    <t>hen</t>
  </si>
  <si>
    <t>Her</t>
  </si>
  <si>
    <t>https://d18vdu4p71yql0.cloudfront.net/libraries/arasaac/to%20her.png</t>
  </si>
  <si>
    <t>her</t>
  </si>
  <si>
    <t>https://d18vdu4p71yql0.cloudfront.net/libraries/arasaac/she.png.variant-dark.png</t>
  </si>
  <si>
    <t>Hers</t>
  </si>
  <si>
    <t>herself</t>
  </si>
  <si>
    <t>https://i.imgur.com/EAeIYai.png</t>
  </si>
  <si>
    <t>high-pitched</t>
  </si>
  <si>
    <t>https://d18vdu4p71yql0.cloudfront.net/libraries/tawasol/High%20volume_2.jpg</t>
  </si>
  <si>
    <t>hill</t>
  </si>
  <si>
    <t>https://d18vdu4p71yql0.cloudfront.net/libraries/arasaac/mountain.png</t>
  </si>
  <si>
    <t>himself</t>
  </si>
  <si>
    <t>https://d18vdu4p71yql0.cloudfront.net/libraries/arasaac/with%20him.png</t>
  </si>
  <si>
    <t>Hip</t>
  </si>
  <si>
    <t>https://d18vdu4p71yql0.cloudfront.net/libraries/arasaac/hip.png.variant-medium-dark.png</t>
  </si>
  <si>
    <t>His</t>
  </si>
  <si>
    <t>https://d18vdu4p71yql0.cloudfront.net/libraries/arasaac/he_1.png</t>
  </si>
  <si>
    <t>house</t>
  </si>
  <si>
    <t>https://d18vdu4p71yql0.cloudfront.net/libraries/arasaac/house.png</t>
  </si>
  <si>
    <t>hoof</t>
  </si>
  <si>
    <t>https://d18vdu4p71yql0.cloudfront.net/libraries/arasaac/hoof.png</t>
  </si>
  <si>
    <t>hoop</t>
  </si>
  <si>
    <t>https://d18vdu4p71yql0.cloudfront.net/libraries/arasaac/hoop_1.png</t>
  </si>
  <si>
    <t>hope</t>
  </si>
  <si>
    <t>https://d18vdu4p71yql0.cloudfront.net/libraries/noun-project/Fingers-Crossed_440_g.svg</t>
  </si>
  <si>
    <t>hopscotch</t>
  </si>
  <si>
    <t>https://d18vdu4p71yql0.cloudfront.net/libraries/arasaac/hopscotch.png</t>
  </si>
  <si>
    <t>hot</t>
  </si>
  <si>
    <t>https://d18vdu4p71yql0.cloudfront.net/libraries/arasaac/hot%20flush_3.png</t>
  </si>
  <si>
    <t>hour</t>
  </si>
  <si>
    <t>https://d18vdu4p71yql0.cloudfront.net/libraries/arasaac/hour.png</t>
  </si>
  <si>
    <t>home</t>
  </si>
  <si>
    <t>https://d18vdu4p71yql0.cloudfront.net/libraries/arasaac/home.png</t>
  </si>
  <si>
    <t>how</t>
  </si>
  <si>
    <t>https://d18vdu4p71yql0.cloudfront.net/libraries/sclera/how.png</t>
  </si>
  <si>
    <t>hummingbird</t>
  </si>
  <si>
    <t>https://d18vdu4p71yql0.cloudfront.net/libraries/arasaac/hummingbird.png</t>
  </si>
  <si>
    <t>hunger</t>
  </si>
  <si>
    <t>hungry</t>
  </si>
  <si>
    <t>https://d18vdu4p71yql0.cloudfront.net/libraries/arasaac/hungry.png.varianted-skin.png</t>
  </si>
  <si>
    <t>hurricane</t>
  </si>
  <si>
    <t>https://d18vdu4p71yql0.cloudfront.net/libraries/arasaac/hurricane_1.png</t>
  </si>
  <si>
    <t>I</t>
  </si>
  <si>
    <t>https://d18vdu4p71yql0.cloudfront.net/libraries/arasaac/I_3.png</t>
  </si>
  <si>
    <t>https://d18vdu4p71yql0.cloudfront.net/libraries/arasaac/I.png.variant-dark.png</t>
  </si>
  <si>
    <t>iguana</t>
  </si>
  <si>
    <t>https://d18vdu4p71yql0.cloudfront.net/libraries/arasaac/iguana.png</t>
  </si>
  <si>
    <t>ill</t>
  </si>
  <si>
    <t>https://d18vdu4p71yql0.cloudfront.net/libraries/arasaac/ill_2.png</t>
  </si>
  <si>
    <t>illustrate</t>
  </si>
  <si>
    <t>https://d18vdu4p71yql0.cloudfront.net/libraries/arasaac/artist_6.png.varianted-skin.png</t>
  </si>
  <si>
    <t>illustration</t>
  </si>
  <si>
    <t>https://d18vdu4p71yql0.cloudfront.net/libraries/arasaac/illustrated%20children's%20book%20series.png</t>
  </si>
  <si>
    <t xml:space="preserve">images </t>
  </si>
  <si>
    <t>https://d18vdu4p71yql0.cloudfront.net/libraries/icomoon/images.svg</t>
  </si>
  <si>
    <t>imagine</t>
  </si>
  <si>
    <t>https://d18vdu4p71yql0.cloudfront.net/libraries/noun-project/think_857_631590.svg</t>
  </si>
  <si>
    <t>imitate</t>
  </si>
  <si>
    <t>https://d18vdu4p71yql0.cloudfront.net/libraries/sclera/imitate_2.png</t>
  </si>
  <si>
    <t>impatient</t>
  </si>
  <si>
    <t>https://d18vdu4p71yql0.cloudfront.net/libraries/sclera/impatient_1.png</t>
  </si>
  <si>
    <t>implore</t>
  </si>
  <si>
    <t>important</t>
  </si>
  <si>
    <t>https://d18vdu4p71yql0.cloudfront.net/libraries/arasaac/Important.png</t>
  </si>
  <si>
    <t>in</t>
  </si>
  <si>
    <t>https://d18vdu4p71yql0.cloudfront.net/libraries/arasaac/in.png</t>
  </si>
  <si>
    <t>in front of</t>
  </si>
  <si>
    <t>https://d18vdu4p71yql0.cloudfront.net/libraries/arasaac/in%20front%20of.png</t>
  </si>
  <si>
    <t xml:space="preserve">or </t>
  </si>
  <si>
    <t>https://d18vdu4p71yql0.cloudfront.net/libraries/mulberry/in%20front.svg</t>
  </si>
  <si>
    <t>index</t>
  </si>
  <si>
    <t>https://d18vdu4p71yql0.cloudfront.net/libraries/mulberry/index%20cards.svg</t>
  </si>
  <si>
    <t>infant</t>
  </si>
  <si>
    <t>https://d18vdu4p71yql0.cloudfront.net/libraries/sclera/give%20infant%20milk.png</t>
  </si>
  <si>
    <t>information</t>
  </si>
  <si>
    <t>https://d18vdu4p71yql0.cloudfront.net/libraries/noun-project/Information-4228dd3ded.svg</t>
  </si>
  <si>
    <t>injury</t>
  </si>
  <si>
    <t>https://d18vdu4p71yql0.cloudfront.net/libraries/arasaac/fall.png.varianted-skin.png</t>
  </si>
  <si>
    <t>insist</t>
  </si>
  <si>
    <t>instrumentation</t>
  </si>
  <si>
    <t>https://d18vdu4p71yql0.cloudfront.net/libraries/sclera/music%20instruments.png</t>
  </si>
  <si>
    <t>intense</t>
  </si>
  <si>
    <t>international</t>
  </si>
  <si>
    <t>https://d18vdu4p71yql0.cloudfront.net/libraries/arasaac/world%20map.png</t>
  </si>
  <si>
    <t>interpretation</t>
  </si>
  <si>
    <t>https://d18vdu4p71yql0.cloudfront.net/libraries/sclera/interpreters_1.png</t>
  </si>
  <si>
    <t>intersecting</t>
  </si>
  <si>
    <t>https://d18vdu4p71yql0.cloudfront.net/libraries/noun-project/Move_844_339298.svg</t>
  </si>
  <si>
    <t>interviews</t>
  </si>
  <si>
    <t>https://d18vdu4p71yql0.cloudfront.net/libraries/sclera/interview.png</t>
  </si>
  <si>
    <t>iron</t>
  </si>
  <si>
    <t>https://d18vdu4p71yql0.cloudfront.net/libraries/arasaac/ironing%20board.png</t>
  </si>
  <si>
    <t>is</t>
  </si>
  <si>
    <t>https://d18vdu4p71yql0.cloudfront.net/libraries/arasaac/is_1.png</t>
  </si>
  <si>
    <t>it</t>
  </si>
  <si>
    <t>https://i.imgur.com/h0Ivyev.png</t>
  </si>
  <si>
    <t>jacket</t>
  </si>
  <si>
    <t>https://d18vdu4p71yql0.cloudfront.net/libraries/arasaac/jacket_1.png</t>
  </si>
  <si>
    <t>January</t>
  </si>
  <si>
    <t>https://d18vdu4p71yql0.cloudfront.net/libraries/coughdrop_symbols/january.png</t>
  </si>
  <si>
    <t>jazz</t>
  </si>
  <si>
    <t>https://d18vdu4p71yql0.cloudfront.net/libraries/arasaac/saxophone.png</t>
  </si>
  <si>
    <t>jealous</t>
  </si>
  <si>
    <t>https://d18vdu4p71yql0.cloudfront.net/libraries/sclera/jealous%20cheerless.png</t>
  </si>
  <si>
    <t>Jerk Chicken</t>
  </si>
  <si>
    <t>https://foodcraft365.com/wp-content/uploads/2021/02/Jamaican-Jerk-Chicken.jpg</t>
  </si>
  <si>
    <t xml:space="preserve">Jerk Pork </t>
  </si>
  <si>
    <t>https://2.bp.blogspot.com/-F1itfzFEvK0/VUvHiW9bdMI/AAAAAAAAAEE/i5DuRn9JHkI/s1600/best-jamaican-jerk.jpg</t>
  </si>
  <si>
    <t>johncrow</t>
  </si>
  <si>
    <t>https://d18vdu4p71yql0.cloudfront.net/libraries/arasaac/vulture.png</t>
  </si>
  <si>
    <t>journal</t>
  </si>
  <si>
    <t>https://d18vdu4p71yql0.cloudfront.net/libraries/sclera/write%20lesson.png</t>
  </si>
  <si>
    <t>July</t>
  </si>
  <si>
    <t>https://d18vdu4p71yql0.cloudfront.net/libraries/coughdrop_symbols/july.png</t>
  </si>
  <si>
    <t>jump</t>
  </si>
  <si>
    <t>https://d18vdu4p71yql0.cloudfront.net/libraries/arasaac/to%20jump_3.png</t>
  </si>
  <si>
    <t>https://d18vdu4p71yql0.cloudfront.net/libraries/arasaac/jump.png.variant-dark.png</t>
  </si>
  <si>
    <t>June</t>
  </si>
  <si>
    <t>https://d18vdu4p71yql0.cloudfront.net/libraries/coughdrop_symbols/june.png</t>
  </si>
  <si>
    <t>kick</t>
  </si>
  <si>
    <t>https://d18vdu4p71yql0.cloudfront.net/libraries/noun-project/kick_295_g.svg</t>
  </si>
  <si>
    <t>https://d18vdu4p71yql0.cloudfront.net/libraries/arasaac/kick.png.variant-dark.png</t>
  </si>
  <si>
    <t>kilo-</t>
  </si>
  <si>
    <t>https://d18vdu4p71yql0.cloudfront.net/libraries/arasaac/kilogram.png</t>
  </si>
  <si>
    <t>Kingston</t>
  </si>
  <si>
    <t>https://upload.wikimedia.org/wikipedia/commons/thumb/b/ba/Kingston_in_Jamaica_%28special_marker%29.svg/1200px-Kingston_in_Jamaica_%28special_marker%29.svg.png</t>
  </si>
  <si>
    <t>kitchen</t>
  </si>
  <si>
    <t>https://d18vdu4p71yql0.cloudfront.net/libraries/tawasol/Kitchen.png</t>
  </si>
  <si>
    <t>Knee</t>
  </si>
  <si>
    <t>https://d18vdu4p71yql0.cloudfront.net/libraries/arasaac/leg_2.png.variant-medium-dark.png</t>
  </si>
  <si>
    <t>knit</t>
  </si>
  <si>
    <t>https://d18vdu4p71yql0.cloudfront.net/libraries/arasaac/to%20knit.png.varianted-skin.png</t>
  </si>
  <si>
    <t>large</t>
  </si>
  <si>
    <t>https://d18vdu4p71yql0.cloudfront.net/libraries/mulberry/large.svg</t>
  </si>
  <si>
    <t>last month</t>
  </si>
  <si>
    <t>https://d18vdu4p71yql0.cloudfront.net/libraries/mulberry/last%20month.svg</t>
  </si>
  <si>
    <t>last night</t>
  </si>
  <si>
    <t>https://i.imgur.com/8UhuSTi.png</t>
  </si>
  <si>
    <t>last week</t>
  </si>
  <si>
    <t>https://d18vdu4p71yql0.cloudfront.net/libraries/arasaac/week_1.png</t>
  </si>
  <si>
    <t>last year</t>
  </si>
  <si>
    <t>https://d18vdu4p71yql0.cloudfront.net/libraries/sclera/new%20year.png</t>
  </si>
  <si>
    <t>https://www.opensymbols.org/symbols/sclera/new-year-4bd5f2d0?id=22728</t>
  </si>
  <si>
    <t>lay-out</t>
  </si>
  <si>
    <t>https://d18vdu4p71yql0.cloudfront.net/libraries/sclera/lay%20out%20clothing.png</t>
  </si>
  <si>
    <t>left</t>
  </si>
  <si>
    <t>https://d18vdu4p71yql0.cloudfront.net/libraries/icomoon/arrow-left3.svg</t>
  </si>
  <si>
    <t>Leg</t>
  </si>
  <si>
    <t>https://d18vdu4p71yql0.cloudfront.net/libraries/mulberry/leg.svg.variant-medium-dark.svg</t>
  </si>
  <si>
    <t>leggings</t>
  </si>
  <si>
    <t>https://d18vdu4p71yql0.cloudfront.net/libraries/noun-project/tights_645_g.svg</t>
  </si>
  <si>
    <t>legume</t>
  </si>
  <si>
    <t>https://d18vdu4p71yql0.cloudfront.net/libraries/arasaac/pulses_3.png</t>
  </si>
  <si>
    <t>less than</t>
  </si>
  <si>
    <t>https://d18vdu4p71yql0.cloudfront.net/libraries/arasaac/is%20less%20than.png</t>
  </si>
  <si>
    <t>levels</t>
  </si>
  <si>
    <t>https://d18vdu4p71yql0.cloudfront.net/libraries/arasaac/levels.png</t>
  </si>
  <si>
    <t>librarian</t>
  </si>
  <si>
    <t>https://d18vdu4p71yql0.cloudfront.net/libraries/arasaac/librarian.png</t>
  </si>
  <si>
    <t>library</t>
  </si>
  <si>
    <t>https://d18vdu4p71yql0.cloudfront.net/libraries/arasaac/toy%20library.png</t>
  </si>
  <si>
    <t>light</t>
  </si>
  <si>
    <t>https://d18vdu4p71yql0.cloudfront.net/libraries/mulberry/light.svg</t>
  </si>
  <si>
    <t>https://d18vdu4p71yql0.cloudfront.net/libraries/arasaac/ray.png</t>
  </si>
  <si>
    <t xml:space="preserve">Lignum Vitae </t>
  </si>
  <si>
    <t>http://jis.gov.jm/media/vitae-640x425.jpg</t>
  </si>
  <si>
    <t>like</t>
  </si>
  <si>
    <t>https://i.imgur.com/xwFyLQN.png</t>
  </si>
  <si>
    <t>limerick</t>
  </si>
  <si>
    <t>line</t>
  </si>
  <si>
    <t>https://d18vdu4p71yql0.cloudfront.net/libraries/noun-project/line_214_g.svg</t>
  </si>
  <si>
    <t>line graphs</t>
  </si>
  <si>
    <t>https://d18vdu4p71yql0.cloudfront.net/libraries/noun-project/Line%20Graph-a93ff1d067.svg</t>
  </si>
  <si>
    <t>lion</t>
  </si>
  <si>
    <t>https://d18vdu4p71yql0.cloudfront.net/libraries/arasaac/lion.png</t>
  </si>
  <si>
    <t>lips</t>
  </si>
  <si>
    <t>https://d18vdu4p71yql0.cloudfront.net/libraries/arasaac/lips.png</t>
  </si>
  <si>
    <t>listening</t>
  </si>
  <si>
    <t>https://d18vdu4p71yql0.cloudfront.net/libraries/arasaac/listener.png</t>
  </si>
  <si>
    <t>litre</t>
  </si>
  <si>
    <t>https://d18vdu4p71yql0.cloudfront.net/libraries/arasaac/litre.png</t>
  </si>
  <si>
    <t>living room</t>
  </si>
  <si>
    <t>https://d18vdu4p71yql0.cloudfront.net/libraries/tawasol/Majlis%20(living%20room%20qatari).jpg</t>
  </si>
  <si>
    <t>lizard</t>
  </si>
  <si>
    <t>https://d18vdu4p71yql0.cloudfront.net/libraries/arasaac/lizard.png</t>
  </si>
  <si>
    <t>lonely</t>
  </si>
  <si>
    <t>https://d18vdu4p71yql0.cloudfront.net/libraries/sclera/lonely_1.png</t>
  </si>
  <si>
    <t>long</t>
  </si>
  <si>
    <t>https://d18vdu4p71yql0.cloudfront.net/libraries/mulberry/long.svg</t>
  </si>
  <si>
    <t>longing</t>
  </si>
  <si>
    <t>looping</t>
  </si>
  <si>
    <t>https://d18vdu4p71yql0.cloudfront.net/libraries/icomoon/loop-alt1.svg</t>
  </si>
  <si>
    <t>loudly</t>
  </si>
  <si>
    <t>https://d18vdu4p71yql0.cloudfront.net/libraries/noun-project/high-volume_161_g.svg</t>
  </si>
  <si>
    <t>lunch</t>
  </si>
  <si>
    <t>https://d18vdu4p71yql0.cloudfront.net/libraries/mulberry/lunch%202.svg</t>
  </si>
  <si>
    <t>mad</t>
  </si>
  <si>
    <t>https://d18vdu4p71yql0.cloudfront.net/libraries/arasaac/to%20get%20angry%20with_4.png</t>
  </si>
  <si>
    <t>main idea</t>
  </si>
  <si>
    <t>https://d18vdu4p71yql0.cloudfront.net/libraries/sclera/idea.png</t>
  </si>
  <si>
    <t>Manchester</t>
  </si>
  <si>
    <t>https://upload.wikimedia.org/wikipedia/commons/thumb/1/11/Manchester_in_Jamaica.svg/1200px-Manchester_in_Jamaica.svg.png</t>
  </si>
  <si>
    <t>mango</t>
  </si>
  <si>
    <t>https://d18vdu4p71yql0.cloudfront.net/libraries/mulberry/mango.svg</t>
  </si>
  <si>
    <t>March</t>
  </si>
  <si>
    <t>https://d18vdu4p71yql0.cloudfront.net/libraries/coughdrop_symbols/march.png</t>
  </si>
  <si>
    <t>march</t>
  </si>
  <si>
    <t>https://i.imgur.com/SF5BCS7.png</t>
  </si>
  <si>
    <t>match</t>
  </si>
  <si>
    <t>https://d18vdu4p71yql0.cloudfront.net/libraries/sclera/same_2.png</t>
  </si>
  <si>
    <t>May</t>
  </si>
  <si>
    <t>https://d18vdu4p71yql0.cloudfront.net/libraries/coughdrop_symbols/may.png</t>
  </si>
  <si>
    <t>Me</t>
  </si>
  <si>
    <t>https://d18vdu4p71yql0.cloudfront.net/libraries/arasaac/me.png</t>
  </si>
  <si>
    <t>meal</t>
  </si>
  <si>
    <t>https://d18vdu4p71yql0.cloudfront.net/libraries/tawasol/meals.png</t>
  </si>
  <si>
    <t>medal</t>
  </si>
  <si>
    <t>https://d18vdu4p71yql0.cloudfront.net/libraries/mulberry/medal.svg</t>
  </si>
  <si>
    <t>medicine</t>
  </si>
  <si>
    <t>https://d18vdu4p71yql0.cloudfront.net/libraries/arasaac/medicine.png</t>
  </si>
  <si>
    <t>metre</t>
  </si>
  <si>
    <t>https://d18vdu4p71yql0.cloudfront.net/libraries/arasaac/metre.png</t>
  </si>
  <si>
    <t>microwave</t>
  </si>
  <si>
    <t>https://d18vdu4p71yql0.cloudfront.net/libraries/arasaac/microwave.png</t>
  </si>
  <si>
    <t>middle</t>
  </si>
  <si>
    <t>https://d18vdu4p71yql0.cloudfront.net/libraries/mulberry/middle.svg</t>
  </si>
  <si>
    <t>middle-aged</t>
  </si>
  <si>
    <t>https://i.imgur.com/r2jKqRM.png</t>
  </si>
  <si>
    <t>milk</t>
  </si>
  <si>
    <t>https://d18vdu4p71yql0.cloudfront.net/libraries/arasaac/milk.png</t>
  </si>
  <si>
    <t>milli-</t>
  </si>
  <si>
    <t>mime</t>
  </si>
  <si>
    <t>https://d18vdu4p71yql0.cloudfront.net/libraries/noun-project/Mime-accb93c4f1.svg</t>
  </si>
  <si>
    <t>mine</t>
  </si>
  <si>
    <t>https://d18vdu4p71yql0.cloudfront.net/libraries/arasaac/mine_1.png</t>
  </si>
  <si>
    <t>minute</t>
  </si>
  <si>
    <t>https://d18vdu4p71yql0.cloudfront.net/libraries/mulberry/minute.svg</t>
  </si>
  <si>
    <t>mittens</t>
  </si>
  <si>
    <t>https://d18vdu4p71yql0.cloudfront.net/libraries/mulberry/mittens.svg</t>
  </si>
  <si>
    <t>Monday</t>
  </si>
  <si>
    <t>https://d18vdu4p71yql0.cloudfront.net/libraries/coughdrop_symbols/monday.svg</t>
  </si>
  <si>
    <t>monkey</t>
  </si>
  <si>
    <t>https://d18vdu4p71yql0.cloudfront.net/libraries/arasaac/monkey.png</t>
  </si>
  <si>
    <t>month</t>
  </si>
  <si>
    <t>https://d18vdu4p71yql0.cloudfront.net/libraries/arasaac/month.png</t>
  </si>
  <si>
    <t>mood</t>
  </si>
  <si>
    <t>mop</t>
  </si>
  <si>
    <t>https://d18vdu4p71yql0.cloudfront.net/libraries/arasaac/bucket%20and%20mop.png</t>
  </si>
  <si>
    <t>https://d18vdu4p71yql0.cloudfront.net/libraries/arasaac/dawn_1.png</t>
  </si>
  <si>
    <t>mother</t>
  </si>
  <si>
    <t>https://d18vdu4p71yql0.cloudfront.net/libraries/arasaac/mother.png.variant-dark.png</t>
  </si>
  <si>
    <t>mountain</t>
  </si>
  <si>
    <t>Mouth</t>
  </si>
  <si>
    <t>https://d18vdu4p71yql0.cloudfront.net/libraries/arasaac/mouth.png</t>
  </si>
  <si>
    <t>multi-media</t>
  </si>
  <si>
    <t>https://d18vdu4p71yql0.cloudfront.net/libraries/noun-project/Media-68862df6e6.svg</t>
  </si>
  <si>
    <t>music</t>
  </si>
  <si>
    <t>https://d18vdu4p71yql0.cloudfront.net/libraries/tawasol/music.jpg</t>
  </si>
  <si>
    <t>musical</t>
  </si>
  <si>
    <t>https://d18vdu4p71yql0.cloudfront.net/libraries/sclera/musical.png</t>
  </si>
  <si>
    <t>musical elements</t>
  </si>
  <si>
    <t>https://d18vdu4p71yql0.cloudfront.net/libraries/sclera/sheet%20music.png</t>
  </si>
  <si>
    <t>my</t>
  </si>
  <si>
    <t>https://d18vdu4p71yql0.cloudfront.net/libraries/arasaac/my%20(plural).png</t>
  </si>
  <si>
    <t>myself</t>
  </si>
  <si>
    <t>https://d18vdu4p71yql0.cloudfront.net/libraries/arasaac/me_1.png</t>
  </si>
  <si>
    <t>name</t>
  </si>
  <si>
    <t>https://d18vdu4p71yql0.cloudfront.net/libraries/tawasol/what%20is%20your%20name_2.jpg.png.varianted-skin.png</t>
  </si>
  <si>
    <t>narration</t>
  </si>
  <si>
    <t>https://d18vdu4p71yql0.cloudfront.net/libraries/arasaac/to%20narrate_1.png</t>
  </si>
  <si>
    <t>narrative</t>
  </si>
  <si>
    <t>https://d18vdu4p71yql0.cloudfront.net/libraries/arasaac/tell_1.png</t>
  </si>
  <si>
    <t>narrator</t>
  </si>
  <si>
    <t>narrow</t>
  </si>
  <si>
    <t>https://d18vdu4p71yql0.cloudfront.net/libraries/arasaac/narrow.png</t>
  </si>
  <si>
    <t xml:space="preserve">National Stadium </t>
  </si>
  <si>
    <t>https://i.pinimg.com/736x/c5/c2/60/c5c260d63a0cda4a5755d7ee380267f5--national-stadium-boys-and-girls.jpg</t>
  </si>
  <si>
    <t>nature</t>
  </si>
  <si>
    <t>https://d18vdu4p71yql0.cloudfront.net/libraries/arasaac/Nature.png</t>
  </si>
  <si>
    <t>necessity</t>
  </si>
  <si>
    <t>Neck</t>
  </si>
  <si>
    <t>https://d18vdu4p71yql0.cloudfront.net/libraries/arasaac/neck.png.variant-medium-dark.png</t>
  </si>
  <si>
    <t>need</t>
  </si>
  <si>
    <t>https://d18vdu4p71yql0.cloudfront.net/libraries/arasaac/I%20need%20help.png</t>
  </si>
  <si>
    <t>nephew</t>
  </si>
  <si>
    <t>https://d18vdu4p71yql0.cloudfront.net/libraries/arasaac/nephew.png.variant-dark.png</t>
  </si>
  <si>
    <t>nervous</t>
  </si>
  <si>
    <t>https://d18vdu4p71yql0.cloudfront.net/libraries/noun-project/nervous_665_311847.svg</t>
  </si>
  <si>
    <t>netball</t>
  </si>
  <si>
    <t>https://d18vdu4p71yql0.cloudfront.net/libraries/arasaac/Blind%20man's%20buff_1.png.varianted-skin.png</t>
  </si>
  <si>
    <t>next</t>
  </si>
  <si>
    <t>https://d18vdu4p71yql0.cloudfront.net/libraries/mulberry/next.svg</t>
  </si>
  <si>
    <t>https://d18vdu4p71yql0.cloudfront.net/libraries/arasaac/next.png</t>
  </si>
  <si>
    <t>next day</t>
  </si>
  <si>
    <t>next month</t>
  </si>
  <si>
    <t>https://d18vdu4p71yql0.cloudfront.net/libraries/mulberry/next%20month.svg</t>
  </si>
  <si>
    <t>next week</t>
  </si>
  <si>
    <t>https://d18vdu4p71yql0.cloudfront.net/libraries/mulberry/next%20week.svg</t>
  </si>
  <si>
    <t>nice</t>
  </si>
  <si>
    <t>https://d18vdu4p71yql0.cloudfront.net/libraries/arasaac/nice_1.png.variant-medium.png</t>
  </si>
  <si>
    <t>niece</t>
  </si>
  <si>
    <t>https://d18vdu4p71yql0.cloudfront.net/libraries/arasaac/niece.png.variant-dark.png</t>
  </si>
  <si>
    <t>https://d18vdu4p71yql0.cloudfront.net/libraries/arasaac/night.png</t>
  </si>
  <si>
    <t>noisy</t>
  </si>
  <si>
    <t>https://d18vdu4p71yql0.cloudfront.net/libraries/arasaac/noisy.png</t>
  </si>
  <si>
    <t>Americas</t>
  </si>
  <si>
    <t>https://d18vdu4p71yql0.cloudfront.net/libraries/arasaac/America.png</t>
  </si>
  <si>
    <t>Nose</t>
  </si>
  <si>
    <t>https://d18vdu4p71yql0.cloudfront.net/libraries/arasaac/nose.png.variant-medium-dark.png</t>
  </si>
  <si>
    <t>nostril</t>
  </si>
  <si>
    <t>https://d18vdu4p71yql0.cloudfront.net/libraries/mulberry/nostril.svg.variant-medium-dark.svg</t>
  </si>
  <si>
    <t>notation</t>
  </si>
  <si>
    <t>notes</t>
  </si>
  <si>
    <t>https://d18vdu4p71yql0.cloudfront.net/libraries/icon_archive/notes.png</t>
  </si>
  <si>
    <t>November</t>
  </si>
  <si>
    <t>https://d18vdu4p71yql0.cloudfront.net/libraries/coughdrop_symbols/november.png</t>
  </si>
  <si>
    <t>oats</t>
  </si>
  <si>
    <t>https://d18vdu4p71yql0.cloudfront.net/libraries/arasaac/oats.png</t>
  </si>
  <si>
    <t>observation</t>
  </si>
  <si>
    <t>https://d18vdu4p71yql0.cloudfront.net/libraries/arasaac/to%20observe.png.variant-medium-dark.png</t>
  </si>
  <si>
    <t>October</t>
  </si>
  <si>
    <t>https://d18vdu4p71yql0.cloudfront.net/libraries/coughdrop_symbols/october.png</t>
  </si>
  <si>
    <t>older</t>
  </si>
  <si>
    <t>https://i.imgur.com/AOgrV4L.png</t>
  </si>
  <si>
    <t>Olympics</t>
  </si>
  <si>
    <t>https://d18vdu4p71yql0.cloudfront.net/libraries/arasaac/Olympics.png</t>
  </si>
  <si>
    <t>orange</t>
  </si>
  <si>
    <t>https://d18vdu4p71yql0.cloudfront.net/libraries/mulberry/orange%202.svg</t>
  </si>
  <si>
    <t>original</t>
  </si>
  <si>
    <t>outstanding</t>
  </si>
  <si>
    <t>https://d18vdu4p71yql0.cloudfront.net/libraries/noun-project/Stand-Out_155_g.svg</t>
  </si>
  <si>
    <t>oval</t>
  </si>
  <si>
    <t>https://d18vdu4p71yql0.cloudfront.net/libraries/noun-project/Ellipse_151_g.svg</t>
  </si>
  <si>
    <t>https://d18vdu4p71yql0.cloudfront.net/libraries/arasaac/oval.png</t>
  </si>
  <si>
    <t>oven</t>
  </si>
  <si>
    <t>https://d18vdu4p71yql0.cloudfront.net/libraries/arasaac/oven_1.png</t>
  </si>
  <si>
    <t>over</t>
  </si>
  <si>
    <t>https://d18vdu4p71yql0.cloudfront.net/libraries/mulberry/over.svg</t>
  </si>
  <si>
    <t>overall</t>
  </si>
  <si>
    <t>https://d18vdu4p71yql0.cloudfront.net/libraries/arasaac/dungaree.png</t>
  </si>
  <si>
    <t>overjoyed</t>
  </si>
  <si>
    <t>page</t>
  </si>
  <si>
    <t>https://d18vdu4p71yql0.cloudfront.net/libraries/arasaac/page.png</t>
  </si>
  <si>
    <t>pants</t>
  </si>
  <si>
    <t>https://d18vdu4p71yql0.cloudfront.net/libraries/arasaac/trousers_1.png</t>
  </si>
  <si>
    <t>parallel</t>
  </si>
  <si>
    <t>https://d18vdu4p71yql0.cloudfront.net/libraries/mulberry/line%20parallel.svg</t>
  </si>
  <si>
    <t>parent</t>
  </si>
  <si>
    <t>https://d18vdu4p71yql0.cloudfront.net/libraries/arasaac/adult.png.variant-dark.png</t>
  </si>
  <si>
    <t>passion</t>
  </si>
  <si>
    <t>https://d18vdu4p71yql0.cloudfront.net/libraries/mulberry/passion%20fruit.svg</t>
  </si>
  <si>
    <t>pencil</t>
  </si>
  <si>
    <t>https://d18vdu4p71yql0.cloudfront.net/libraries/arasaac/pencil.png</t>
  </si>
  <si>
    <t>perform</t>
  </si>
  <si>
    <t>https://d18vdu4p71yql0.cloudfront.net/libraries/arasaac/performances.png.varianted-skin.png</t>
  </si>
  <si>
    <t>performer</t>
  </si>
  <si>
    <t>https://d18vdu4p71yql0.cloudfront.net/libraries/arasaac/to%20perform.png.variant-medium-dark.png</t>
  </si>
  <si>
    <t>https://d18vdu4p71yql0.cloudfront.net/libraries/arasaac/to%20perform.png.varianted-skin.png</t>
  </si>
  <si>
    <t>perpendicular</t>
  </si>
  <si>
    <t>https://d18vdu4p71yql0.cloudfront.net/libraries/arasaac/corner_1.png</t>
  </si>
  <si>
    <t>persuasively</t>
  </si>
  <si>
    <t>https://d18vdu4p71yql0.cloudfront.net/libraries/arasaac/please_1.png</t>
  </si>
  <si>
    <t>pets</t>
  </si>
  <si>
    <t>https://d18vdu4p71yql0.cloudfront.net/libraries/arasaac/pet%20shops.png</t>
  </si>
  <si>
    <t>pictograph</t>
  </si>
  <si>
    <t>https://d18vdu4p71yql0.cloudfront.net/libraries/noun-project/Stock_396_g.svg</t>
  </si>
  <si>
    <t>picture</t>
  </si>
  <si>
    <t>https://d18vdu4p71yql0.cloudfront.net/libraries/mulberry/picture.svg</t>
  </si>
  <si>
    <t>picture graph</t>
  </si>
  <si>
    <t>pie chart</t>
  </si>
  <si>
    <t>pig</t>
  </si>
  <si>
    <t>https://d18vdu4p71yql0.cloudfront.net/libraries/arasaac/pig.png</t>
  </si>
  <si>
    <t>pillow</t>
  </si>
  <si>
    <t>https://d18vdu4p71yql0.cloudfront.net/libraries/noun-project/bed-pillow_54_g.svg</t>
  </si>
  <si>
    <t>pink</t>
  </si>
  <si>
    <t>https://d18vdu4p71yql0.cloudfront.net/libraries/mulberry/pink.svg</t>
  </si>
  <si>
    <t>pitch</t>
  </si>
  <si>
    <t>https://d18vdu4p71yql0.cloudfront.net/libraries/arasaac/to%20throw%20(away)_4.png</t>
  </si>
  <si>
    <t>plan</t>
  </si>
  <si>
    <t>https://d18vdu4p71yql0.cloudfront.net/libraries/arasaac/agenda-plan.png</t>
  </si>
  <si>
    <t>plants</t>
  </si>
  <si>
    <t>https://d18vdu4p71yql0.cloudfront.net/libraries/arasaac/plants.png</t>
  </si>
  <si>
    <t>play</t>
  </si>
  <si>
    <t>https://d18vdu4p71yql0.cloudfront.net/libraries/tawasol/Play.png</t>
  </si>
  <si>
    <t>playful</t>
  </si>
  <si>
    <t>https://encrypted-tbn0.gstatic.com/images?q=tbn:ANd9GcT2EJgXR09byzoEta-Ar5dg0ORLt3gkLLVcCA&amp;usqp=CAU</t>
  </si>
  <si>
    <t>playground</t>
  </si>
  <si>
    <t>https://d18vdu4p71yql0.cloudfront.net/libraries/arasaac/park.png</t>
  </si>
  <si>
    <t>plead</t>
  </si>
  <si>
    <t>https://d18vdu4p71yql0.cloudfront.net/libraries/twemoji/1f97a.svg</t>
  </si>
  <si>
    <t>plot</t>
  </si>
  <si>
    <t>https://d18vdu4p71yql0.cloudfront.net/libraries/arasaac/fence.png</t>
  </si>
  <si>
    <t>pluralization</t>
  </si>
  <si>
    <t>https://d18vdu4p71yql0.cloudfront.net/libraries/arasaac/plural_1.png</t>
  </si>
  <si>
    <t>pocket</t>
  </si>
  <si>
    <t>https://d18vdu4p71yql0.cloudfront.net/libraries/arasaac/pocket.png</t>
  </si>
  <si>
    <t>poem</t>
  </si>
  <si>
    <t>poet</t>
  </si>
  <si>
    <t>https://d18vdu4p71yql0.cloudfront.net/libraries/noun-project/artist_637_g.svg</t>
  </si>
  <si>
    <t>poison</t>
  </si>
  <si>
    <t>https://d18vdu4p71yql0.cloudfront.net/libraries/arasaac/poison.png</t>
  </si>
  <si>
    <t>police</t>
  </si>
  <si>
    <t>https://d18vdu4p71yql0.cloudfront.net/libraries/arasaac/police_2.png.varianted-skin.png</t>
  </si>
  <si>
    <t>population</t>
  </si>
  <si>
    <t>https://d18vdu4p71yql0.cloudfront.net/libraries/noun-project/group_316_g.svg</t>
  </si>
  <si>
    <t>Portland</t>
  </si>
  <si>
    <t>https://upload.wikimedia.org/wikipedia/commons/thumb/a/ae/Portland_in_Jamaica.svg/1200px-Portland_in_Jamaica.svg.png</t>
  </si>
  <si>
    <t>posion</t>
  </si>
  <si>
    <t>https://d18vdu4p71yql0.cloudfront.net/libraries/noun-project/Poison-35872462c8.svg</t>
  </si>
  <si>
    <t>potato</t>
  </si>
  <si>
    <t>https://d18vdu4p71yql0.cloudfront.net/libraries/arasaac/potato.png</t>
  </si>
  <si>
    <t>praise</t>
  </si>
  <si>
    <t>https://globalsymbols.com/uploads/production/image/imagefile/40305/81_40306_4cb2399a-6081-4adb-8185-ca75d7c560ae.png</t>
  </si>
  <si>
    <t>https://d18vdu4p71yql0.cloudfront.net/libraries/arasaac/congratulations!.png</t>
  </si>
  <si>
    <t>prayer</t>
  </si>
  <si>
    <t>https://d18vdu4p71yql0.cloudfront.net/libraries/noun-project/Prayer_606_g.svg</t>
  </si>
  <si>
    <t>https://www.opensymbols.org/symbols/mulberry/prayer-c4aa443c?id=14896</t>
  </si>
  <si>
    <t>prefectly</t>
  </si>
  <si>
    <t>prefer</t>
  </si>
  <si>
    <t>https://d18vdu4p71yql0.cloudfront.net/libraries/arasaac/preference.png</t>
  </si>
  <si>
    <t>prefixes</t>
  </si>
  <si>
    <t>https://d18vdu4p71yql0.cloudfront.net/libraries/mulberry/before.svg</t>
  </si>
  <si>
    <t>presentation</t>
  </si>
  <si>
    <t>https://d18vdu4p71yql0.cloudfront.net/libraries/noun-project/Presentation-dad5c86a81.svg</t>
  </si>
  <si>
    <t>pretty</t>
  </si>
  <si>
    <t>https://d18vdu4p71yql0.cloudfront.net/libraries/arasaac/pretty.png</t>
  </si>
  <si>
    <t>https://d18vdu4p71yql0.cloudfront.net/libraries/arasaac/pretty_1.png.variant-medium.png</t>
  </si>
  <si>
    <t>print</t>
  </si>
  <si>
    <t>https://d18vdu4p71yql0.cloudfront.net/libraries/noun-project/print_89_g.svg</t>
  </si>
  <si>
    <t>product</t>
  </si>
  <si>
    <t>https://d18vdu4p71yql0.cloudfront.net/libraries/noun-project/product_645_g.svg</t>
  </si>
  <si>
    <t>professional</t>
  </si>
  <si>
    <t>https://d18vdu4p71yql0.cloudfront.net/libraries/arasaac/professional.png.variant-dark.png</t>
  </si>
  <si>
    <t>programme</t>
  </si>
  <si>
    <t>https://d18vdu4p71yql0.cloudfront.net/libraries/arasaac/program_2.png.varianted-skin.png</t>
  </si>
  <si>
    <t>proof-read</t>
  </si>
  <si>
    <t>https://d18vdu4p71yql0.cloudfront.net/libraries/sclera/read%20out.png</t>
  </si>
  <si>
    <t>protein</t>
  </si>
  <si>
    <t>https://d18vdu4p71yql0.cloudfront.net/libraries/mulberry/protein.svg</t>
  </si>
  <si>
    <t>proud</t>
  </si>
  <si>
    <t>https://d18vdu4p71yql0.cloudfront.net/libraries/sclera/proud.png</t>
  </si>
  <si>
    <t>proudly</t>
  </si>
  <si>
    <t>publisher</t>
  </si>
  <si>
    <t>https://d18vdu4p71yql0.cloudfront.net/libraries/sclera/photo%20publishing.png</t>
  </si>
  <si>
    <t>pumpkin</t>
  </si>
  <si>
    <t>https://d18vdu4p71yql0.cloudfront.net/libraries/arasaac/pumpkin.png</t>
  </si>
  <si>
    <t>purse</t>
  </si>
  <si>
    <t>https://d18vdu4p71yql0.cloudfront.net/libraries/mulberry/purse.svg</t>
  </si>
  <si>
    <t>quick</t>
  </si>
  <si>
    <t>https://d18vdu4p71yql0.cloudfront.net/libraries/arasaac/quick.png</t>
  </si>
  <si>
    <t>quickly</t>
  </si>
  <si>
    <t>https://d18vdu4p71yql0.cloudfront.net/libraries/arasaac/quickly.png</t>
  </si>
  <si>
    <t>rare</t>
  </si>
  <si>
    <t>https://d18vdu4p71yql0.cloudfront.net/libraries/arasaac/rare.png</t>
  </si>
  <si>
    <t>https://d18vdu4p71yql0.cloudfront.net/libraries/arasaac/diamond.png</t>
  </si>
  <si>
    <t>rat</t>
  </si>
  <si>
    <t>https://d18vdu4p71yql0.cloudfront.net/libraries/mulberry/rat.svg.varianted-skin.svg</t>
  </si>
  <si>
    <t>ray</t>
  </si>
  <si>
    <t>read</t>
  </si>
  <si>
    <t>https://d18vdu4p71yql0.cloudfront.net/libraries/tawasol/Read%20(M).png</t>
  </si>
  <si>
    <t>https://d18vdu4p71yql0.cloudfront.net/libraries/arasaac/to%20read_1.png.variant-dark.png</t>
  </si>
  <si>
    <t>https://d18vdu4p71yql0.cloudfront.net/libraries/arasaac/to%20read_3.png</t>
  </si>
  <si>
    <t>record</t>
  </si>
  <si>
    <t>https://d18vdu4p71yql0.cloudfront.net/libraries/sclera/consumption%20record.png</t>
  </si>
  <si>
    <t>recording</t>
  </si>
  <si>
    <t>rectangle</t>
  </si>
  <si>
    <t>https://d18vdu4p71yql0.cloudfront.net/libraries/noun-project/rectangle_84_g.svg</t>
  </si>
  <si>
    <t>rectangular</t>
  </si>
  <si>
    <t>https://d18vdu4p71yql0.cloudfront.net/libraries/sclera/plate%20rectangular.png</t>
  </si>
  <si>
    <t>red</t>
  </si>
  <si>
    <t>https://d18vdu4p71yql0.cloudfront.net/libraries/mulberry/red.svg</t>
  </si>
  <si>
    <t>references</t>
  </si>
  <si>
    <t>refrigerator</t>
  </si>
  <si>
    <t>https://d18vdu4p71yql0.cloudfront.net/libraries/sclera/refrigerator.png</t>
  </si>
  <si>
    <t>rehearse</t>
  </si>
  <si>
    <t>https://d18vdu4p71yql0.cloudfront.net/libraries/arasaac/stage.png</t>
  </si>
  <si>
    <t>relating</t>
  </si>
  <si>
    <t>https://d18vdu4p71yql0.cloudfront.net/libraries/arasaac/to%20relate.png.varianted-skin.png</t>
  </si>
  <si>
    <t>relevance</t>
  </si>
  <si>
    <t>repetition</t>
  </si>
  <si>
    <t>https://d18vdu4p71yql0.cloudfront.net/libraries/twemoji/1f502.svg</t>
  </si>
  <si>
    <t>report</t>
  </si>
  <si>
    <t>https://d18vdu4p71yql0.cloudfront.net/libraries/arasaac/to%20report.png.varianted-skin.png</t>
  </si>
  <si>
    <t>https://d18vdu4p71yql0.cloudfront.net/libraries/noun-project/report_952_149943.svg</t>
  </si>
  <si>
    <t>representation</t>
  </si>
  <si>
    <t>https://d18vdu4p71yql0.cloudfront.net/libraries/arasaac/representatives.png.variant-medium-dark.png</t>
  </si>
  <si>
    <t>request</t>
  </si>
  <si>
    <t>https://d18vdu4p71yql0.cloudfront.net/libraries/sclera/question%20tapping.png</t>
  </si>
  <si>
    <t>require</t>
  </si>
  <si>
    <t>https://d18vdu4p71yql0.cloudfront.net/libraries/arasaac/to%20ask_1.png.varianted-skin.png</t>
  </si>
  <si>
    <t>rescue</t>
  </si>
  <si>
    <t>https://d18vdu4p71yql0.cloudfront.net/libraries/arasaac/rescue.png.varianted-skin.png</t>
  </si>
  <si>
    <t>resource</t>
  </si>
  <si>
    <t>https://d18vdu4p71yql0.cloudfront.net/libraries/noun-project/human-resources_653_g.svg</t>
  </si>
  <si>
    <t>rhyme</t>
  </si>
  <si>
    <t>https://d18vdu4p71yql0.cloudfront.net/libraries/sclera/rhyme.png</t>
  </si>
  <si>
    <t>rhythm</t>
  </si>
  <si>
    <t>rice</t>
  </si>
  <si>
    <t>https://d18vdu4p71yql0.cloudfront.net/libraries/mulberry/rice.svg</t>
  </si>
  <si>
    <t>https://d18vdu4p71yql0.cloudfront.net/libraries/sclera/rice.png</t>
  </si>
  <si>
    <t>rice and peas</t>
  </si>
  <si>
    <t>https://d18vdu4p71yql0.cloudfront.net/libraries/arasaac/rice%20and%20tomato%20sauce.png</t>
  </si>
  <si>
    <t>right</t>
  </si>
  <si>
    <t>https://d18vdu4p71yql0.cloudfront.net/libraries/icomoon/arrow-right3.svg</t>
  </si>
  <si>
    <t>ring-games</t>
  </si>
  <si>
    <t>https://www.opensymbols.org/symbols/arasaac/blind-man-s-buff-1-3d42b5a3?id=99</t>
  </si>
  <si>
    <t>river</t>
  </si>
  <si>
    <t>https://d18vdu4p71yql0.cloudfront.net/libraries/arasaac/river.png</t>
  </si>
  <si>
    <t>roof</t>
  </si>
  <si>
    <t>https://d18vdu4p71yql0.cloudfront.net/libraries/arasaac/roof.png</t>
  </si>
  <si>
    <t>round</t>
  </si>
  <si>
    <t>https://d18vdu4p71yql0.cloudfront.net/libraries/noun-project/Circle_669_702787.svg</t>
  </si>
  <si>
    <t>https://i.imgur.com/j8u22tP.png</t>
  </si>
  <si>
    <t>run</t>
  </si>
  <si>
    <t>https://d18vdu4p71yql0.cloudfront.net/libraries/arasaac/to%20run_3.png</t>
  </si>
  <si>
    <t>https://d18vdu4p71yql0.cloudfront.net/libraries/arasaac/to%20run_4.png.variant-dark.png</t>
  </si>
  <si>
    <t>sad</t>
  </si>
  <si>
    <t>https://d18vdu4p71yql0.cloudfront.net/libraries/noun-project/Sad_798_14699.svg</t>
  </si>
  <si>
    <t>safe</t>
  </si>
  <si>
    <t>https://d18vdu4p71yql0.cloudfront.net/libraries/sclera/safe%20working_6.png</t>
  </si>
  <si>
    <t>safety</t>
  </si>
  <si>
    <t>https://d18vdu4p71yql0.cloudfront.net/libraries/sclera/safe%20working_4.png</t>
  </si>
  <si>
    <t>salty</t>
  </si>
  <si>
    <t>https://d18vdu4p71yql0.cloudfront.net/libraries/arasaac/salt%20packet.png</t>
  </si>
  <si>
    <t>sandals</t>
  </si>
  <si>
    <t>https://d18vdu4p71yql0.cloudfront.net/libraries/arasaac/sandals.png</t>
  </si>
  <si>
    <t>Saturday</t>
  </si>
  <si>
    <t>https://d18vdu4p71yql0.cloudfront.net/libraries/coughdrop_symbols/saturday.svg</t>
  </si>
  <si>
    <t>scanning</t>
  </si>
  <si>
    <t>https://d18vdu4p71yql0.cloudfront.net/libraries/mulberry/scanning.svg</t>
  </si>
  <si>
    <t>scared</t>
  </si>
  <si>
    <t>https://d18vdu4p71yql0.cloudfront.net/libraries/noun-project/Scared_187_g.svg</t>
  </si>
  <si>
    <t>scarf</t>
  </si>
  <si>
    <t>https://d18vdu4p71yql0.cloudfront.net/libraries/twemoji/1f9e3.svg</t>
  </si>
  <si>
    <t>scenic</t>
  </si>
  <si>
    <t>https://d18vdu4p71yql0.cloudfront.net/libraries/noun-project/Scenic%20Viewpoint-dcae2577f2.svg</t>
  </si>
  <si>
    <t>school</t>
  </si>
  <si>
    <t>https://d18vdu4p71yql0.cloudfront.net/libraries/arasaac/high%20school%20-%20secondary%20school.png</t>
  </si>
  <si>
    <t>score</t>
  </si>
  <si>
    <t>https://d18vdu4p71yql0.cloudfront.net/libraries/arasaac/number%2030.png</t>
  </si>
  <si>
    <t>scream</t>
  </si>
  <si>
    <t>https://d18vdu4p71yql0.cloudfront.net/libraries/arasaac/to%20scream.png</t>
  </si>
  <si>
    <t>screech</t>
  </si>
  <si>
    <t>https://d18vdu4p71yql0.cloudfront.net/libraries/sclera/scream_2.png</t>
  </si>
  <si>
    <t>second</t>
  </si>
  <si>
    <t>https://d18vdu4p71yql0.cloudfront.net/libraries/mulberry/second.svg</t>
  </si>
  <si>
    <t>see</t>
  </si>
  <si>
    <t>https://d18vdu4p71yql0.cloudfront.net/libraries/arasaac/to%20see_4.png.varianted-skin.png</t>
  </si>
  <si>
    <t>https://d18vdu4p71yql0.cloudfront.net/libraries/arasaac/to%20see_5.png</t>
  </si>
  <si>
    <t>seek</t>
  </si>
  <si>
    <t>https://d18vdu4p71yql0.cloudfront.net/libraries/arasaac/to%20search_1.png.varianted-skin.png</t>
  </si>
  <si>
    <t>segment</t>
  </si>
  <si>
    <t>https://d18vdu4p71yql0.cloudfront.net/libraries/arasaac/segment.png</t>
  </si>
  <si>
    <t>select</t>
  </si>
  <si>
    <t>https://d18vdu4p71yql0.cloudfront.net/libraries/noun-project/choose_683_86700.svg</t>
  </si>
  <si>
    <t>senior</t>
  </si>
  <si>
    <t>https://d18vdu4p71yql0.cloudfront.net/libraries/noun-project/old-man_409_g.svg</t>
  </si>
  <si>
    <t>sense</t>
  </si>
  <si>
    <t>https://d18vdu4p71yql0.cloudfront.net/libraries/arasaac/senses.png.varianted-skin.png</t>
  </si>
  <si>
    <t>senses</t>
  </si>
  <si>
    <t>https://d18vdu4p71yql0.cloudfront.net/libraries/sclera/senses.png</t>
  </si>
  <si>
    <t>September</t>
  </si>
  <si>
    <t>https://d18vdu4p71yql0.cloudfront.net/libraries/coughdrop_symbols/september.png</t>
  </si>
  <si>
    <t>sequence</t>
  </si>
  <si>
    <t>https://d18vdu4p71yql0.cloudfront.net/libraries/arasaac/sequence.png</t>
  </si>
  <si>
    <t>set</t>
  </si>
  <si>
    <t>https://d18vdu4p71yql0.cloudfront.net/libraries/arasaac/set.png.varianted-skin.png</t>
  </si>
  <si>
    <t>https://d18vdu4p71yql0.cloudfront.net/libraries/arasaac/drum%20set.png</t>
  </si>
  <si>
    <t>sew</t>
  </si>
  <si>
    <t>https://d18vdu4p71yql0.cloudfront.net/libraries/arasaac/to%20sew.png.varianted-skin.png</t>
  </si>
  <si>
    <t>share</t>
  </si>
  <si>
    <t>https://d18vdu4p71yql0.cloudfront.net/libraries/arasaac/to%20share.png.variant-medium-dark.png</t>
  </si>
  <si>
    <t>shark</t>
  </si>
  <si>
    <t>https://d18vdu4p71yql0.cloudfront.net/libraries/arasaac/shark.png</t>
  </si>
  <si>
    <t>She</t>
  </si>
  <si>
    <t>https://d18vdu4p71yql0.cloudfront.net/libraries/arasaac/she.png.variant-medium-dark.png</t>
  </si>
  <si>
    <t>shirt</t>
  </si>
  <si>
    <t>https://d18vdu4p71yql0.cloudfront.net/libraries/mulberry/shirt.svg</t>
  </si>
  <si>
    <t>shoes</t>
  </si>
  <si>
    <t>https://d18vdu4p71yql0.cloudfront.net/libraries/mulberry/shoe%20-%20mans.svg.varianted-skin.svg</t>
  </si>
  <si>
    <t>shoot</t>
  </si>
  <si>
    <t>https://d18vdu4p71yql0.cloudfront.net/libraries/sclera/korfball%20basket%20shooting.png</t>
  </si>
  <si>
    <t>short</t>
  </si>
  <si>
    <t>https://d18vdu4p71yql0.cloudfront.net/libraries/arasaac/low.png</t>
  </si>
  <si>
    <t>shorts</t>
  </si>
  <si>
    <t>https://d18vdu4p71yql0.cloudfront.net/libraries/mulberry/shorts.svg</t>
  </si>
  <si>
    <t>Shoulder</t>
  </si>
  <si>
    <t>https://d18vdu4p71yql0.cloudfront.net/libraries/arasaac/shoulder.png.variant-medium-dark.png</t>
  </si>
  <si>
    <t>silence</t>
  </si>
  <si>
    <t>https://d18vdu4p71yql0.cloudfront.net/libraries/noun-project/Silence-c838e0b5c4.svg</t>
  </si>
  <si>
    <t>silent</t>
  </si>
  <si>
    <t>https://d18vdu4p71yql0.cloudfront.net/libraries/sclera/keep%20silent.png</t>
  </si>
  <si>
    <t>silent letters</t>
  </si>
  <si>
    <t>https://d18vdu4p71yql0.cloudfront.net/libraries/sclera/be%20silent.png</t>
  </si>
  <si>
    <t>simile</t>
  </si>
  <si>
    <t>https://d18vdu4p71yql0.cloudfront.net/libraries/sclera/compare%20diet.png</t>
  </si>
  <si>
    <t>sing</t>
  </si>
  <si>
    <t>https://d18vdu4p71yql0.cloudfront.net/libraries/arasaac/to%20sing_2.png</t>
  </si>
  <si>
    <t>https://d18vdu4p71yql0.cloudfront.net/libraries/arasaac/to%20sing_1.png.variant-medium-dark.png</t>
  </si>
  <si>
    <t>siren</t>
  </si>
  <si>
    <t>https://d18vdu4p71yql0.cloudfront.net/libraries/arasaac/siren_1.png</t>
  </si>
  <si>
    <t>sister</t>
  </si>
  <si>
    <t>https://d18vdu4p71yql0.cloudfront.net/libraries/arasaac/sister.png.variant-dark.png</t>
  </si>
  <si>
    <t>skateboard</t>
  </si>
  <si>
    <t>https://d18vdu4p71yql0.cloudfront.net/libraries/arasaac/skateboard.png</t>
  </si>
  <si>
    <t>skimming</t>
  </si>
  <si>
    <t>skirt</t>
  </si>
  <si>
    <t>https://d18vdu4p71yql0.cloudfront.net/libraries/arasaac/skirt.png</t>
  </si>
  <si>
    <t>sky</t>
  </si>
  <si>
    <t>https://d18vdu4p71yql0.cloudfront.net/libraries/arasaac/sky.png</t>
  </si>
  <si>
    <t>sleep</t>
  </si>
  <si>
    <t>https://d18vdu4p71yql0.cloudfront.net/libraries/sclera/sleep.png</t>
  </si>
  <si>
    <t>slowly</t>
  </si>
  <si>
    <t>small</t>
  </si>
  <si>
    <t>https://d18vdu4p71yql0.cloudfront.net/libraries/arasaac/small.png</t>
  </si>
  <si>
    <t>https://d18vdu4p71yql0.cloudfront.net/libraries/arasaac/to%20share.png.variant-dark.png</t>
  </si>
  <si>
    <t>smart</t>
  </si>
  <si>
    <t>https://www.shutterstock.com/image-illustration/cute-picturesadjectivessymbol-signsimple-icon-260nw-2228818049.jpg</t>
  </si>
  <si>
    <t>smooth</t>
  </si>
  <si>
    <t>https://d18vdu4p71yql0.cloudfront.net/libraries/arasaac/smooth_2.png.varianted-skin.png</t>
  </si>
  <si>
    <t>snake</t>
  </si>
  <si>
    <t>https://d18vdu4p71yql0.cloudfront.net/libraries/arasaac/snake.png</t>
  </si>
  <si>
    <t>snap</t>
  </si>
  <si>
    <t>https://i.imgur.com/taxZ7PS.png</t>
  </si>
  <si>
    <t>sneakers</t>
  </si>
  <si>
    <t>https://d18vdu4p71yql0.cloudfront.net/libraries/arasaac/sports%20shoes.png</t>
  </si>
  <si>
    <t>soccer</t>
  </si>
  <si>
    <t>https://d18vdu4p71yql0.cloudfront.net/libraries/arasaac/soccer.png.variant-medium-dark.png</t>
  </si>
  <si>
    <t>socks</t>
  </si>
  <si>
    <t>https://d18vdu4p71yql0.cloudfront.net/libraries/arasaac/socks.png</t>
  </si>
  <si>
    <t>sofa</t>
  </si>
  <si>
    <t>https://d18vdu4p71yql0.cloudfront.net/libraries/arasaac/sofa_1.png</t>
  </si>
  <si>
    <t>soft</t>
  </si>
  <si>
    <t>https://d18vdu4p71yql0.cloudfront.net/libraries/arasaac/smooth_1.png.variant-medium-dark.png</t>
  </si>
  <si>
    <t>softly</t>
  </si>
  <si>
    <t>solution</t>
  </si>
  <si>
    <t>sound</t>
  </si>
  <si>
    <t>https://d18vdu4p71yql0.cloudfront.net/libraries/tawasol/sound%20(mega%20phone).jpg</t>
  </si>
  <si>
    <t>sour</t>
  </si>
  <si>
    <t>https://d18vdu4p71yql0.cloudfront.net/libraries/arasaac/acid.png.variant-medium-dark.png</t>
  </si>
  <si>
    <t>https://d18vdu4p71yql0.cloudfront.net/libraries/mulberry/sour.svg.variant-medium-dark.svg</t>
  </si>
  <si>
    <t>spacing</t>
  </si>
  <si>
    <t>https://d18vdu4p71yql0.cloudfront.net/libraries/arasaac/to%20stop.png.variant-medium-dark.png</t>
  </si>
  <si>
    <t>special</t>
  </si>
  <si>
    <t>spicy</t>
  </si>
  <si>
    <t>https://d18vdu4p71yql0.cloudfront.net/libraries/arasaac/spicy.png.variant-dark.png</t>
  </si>
  <si>
    <t>spin</t>
  </si>
  <si>
    <t>https://d18vdu4p71yql0.cloudfront.net/libraries/arasaac/turn.png.varianted-skin.png</t>
  </si>
  <si>
    <t>https://d18vdu4p71yql0.cloudfront.net/libraries/icomoon/spin.svg</t>
  </si>
  <si>
    <t>sports</t>
  </si>
  <si>
    <t>https://d18vdu4p71yql0.cloudfront.net/libraries/arasaac/sport.png</t>
  </si>
  <si>
    <t>sprinter</t>
  </si>
  <si>
    <t>https://external-content.duckduckgo.com/iu/?u=https%3A%2F%2Fcbsnews2.cbsistatic.com%2Fhub%2Fi%2Fr%2F2012%2F07%2F19%2Ffaa9acc5-a644-11e2-a3f0-029118418759%2Fthumbnail%2F1240x1654%2Fdc0762d6a78ad5c92f38f3b9b837b7f6%2F82380928.jpg&amp;f=1&amp;nofb=1&amp;ipt=8ac333f335f254858a5a364471c4a0c82b8209e8fa99a4039a53d627d340df31&amp;ipo=images</t>
  </si>
  <si>
    <t>square</t>
  </si>
  <si>
    <t>https://d18vdu4p71yql0.cloudfront.net/libraries/noun-project/square_6403_21b550c3-17e0-4d65-9ac9-e19f36b13354.svg</t>
  </si>
  <si>
    <t>https://d18vdu4p71yql0.cloudfront.net/libraries/noun-project/square_197_g.svg</t>
  </si>
  <si>
    <t>squishy</t>
  </si>
  <si>
    <t>https://d18vdu4p71yql0.cloudfront.net/libraries/arasaac/to%20crush.png.variant-dark.png</t>
  </si>
  <si>
    <t>St Andrew</t>
  </si>
  <si>
    <t>https://encrypted-tbn0.gstatic.com/images?q=tbn:ANd9GcQIUHjfXbUeiz4n8wkbaT--P0-uc3xd7ofq-xfjKGmeDi9lJtZ5BPdh2zBDxDyDHrQs0UI&amp;usqp=CAU</t>
  </si>
  <si>
    <t>St Ann</t>
  </si>
  <si>
    <t>https://upload.wikimedia.org/wikipedia/commons/thumb/7/7a/Saint_Ann_in_Jamaica.svg/1200px-Saint_Ann_in_Jamaica.svg.png</t>
  </si>
  <si>
    <t>St Catherine</t>
  </si>
  <si>
    <t>https://upload.wikimedia.org/wikipedia/commons/thumb/d/df/Saint_Catherine_in_Jamaica.svg/1200px-Saint_Catherine_in_Jamaica.svg.png</t>
  </si>
  <si>
    <t>St Elizabeth</t>
  </si>
  <si>
    <t>https://upload.wikimedia.org/wikipedia/commons/thumb/d/da/Saint_Elizabeth_in_Jamaica.svg/1200px-Saint_Elizabeth_in_Jamaica.svg.png</t>
  </si>
  <si>
    <t>St James</t>
  </si>
  <si>
    <t>https://upload.wikimedia.org/wikipedia/commons/thumb/c/cc/Saint_James_in_Jamaica.svg/1200px-Saint_James_in_Jamaica.svg.png</t>
  </si>
  <si>
    <t>St Mary</t>
  </si>
  <si>
    <t>https://upload.wikimedia.org/wikipedia/commons/thumb/0/0b/Saint_Mary_in_Jamaica.svg/1200px-Saint_Mary_in_Jamaica.svg.png</t>
  </si>
  <si>
    <t>St Thomas</t>
  </si>
  <si>
    <t>https://upload.wikimedia.org/wikipedia/commons/thumb/e/ed/Saint_Thomas_in_Jamaica.svg/1200px-Saint_Thomas_in_Jamaica.svg.png</t>
  </si>
  <si>
    <t>stain</t>
  </si>
  <si>
    <t>https://d18vdu4p71yql0.cloudfront.net/libraries/arasaac/stain.png</t>
  </si>
  <si>
    <t>statue</t>
  </si>
  <si>
    <t>https://external-content.duckduckgo.com/iu/?u=https%3A%2F%2Fi.pinimg.com%2Foriginals%2F15%2F69%2Fbe%2F1569bef6f43353a9c89351639d3c82b0.png&amp;f=1&amp;nofb=1&amp;ipt=d04745b6c0108ca8f3d8b3af3f314b8f69caa61c20836feb81e726d921919602&amp;ipo=images</t>
  </si>
  <si>
    <t>step-brother</t>
  </si>
  <si>
    <t>https://d18vdu4p71yql0.cloudfront.net/libraries/tawasol/Brother.png</t>
  </si>
  <si>
    <t>step-father</t>
  </si>
  <si>
    <t>https://d18vdu4p71yql0.cloudfront.net/libraries/tawasol/Father.png</t>
  </si>
  <si>
    <t>step-mother</t>
  </si>
  <si>
    <t>https://d18vdu4p71yql0.cloudfront.net/libraries/tawasol/Mother.png</t>
  </si>
  <si>
    <t>step-sister</t>
  </si>
  <si>
    <t>https://d18vdu4p71yql0.cloudfront.net/libraries/tawasol/sister.png</t>
  </si>
  <si>
    <t>Stomach</t>
  </si>
  <si>
    <t>https://d18vdu4p71yql0.cloudfront.net/libraries/arasaac/stomach.png</t>
  </si>
  <si>
    <t>story</t>
  </si>
  <si>
    <t>straight</t>
  </si>
  <si>
    <t>https://d18vdu4p71yql0.cloudfront.net/libraries/mulberry/straight.svg</t>
  </si>
  <si>
    <t>https://d18vdu4p71yql0.cloudfront.net/libraries/arasaac/hair%20iron.png</t>
  </si>
  <si>
    <t>strategically</t>
  </si>
  <si>
    <t>stretch</t>
  </si>
  <si>
    <t>https://d18vdu4p71yql0.cloudfront.net/libraries/arasaac/stretch_3.png.variant-dark.png</t>
  </si>
  <si>
    <t>strive</t>
  </si>
  <si>
    <t>structure</t>
  </si>
  <si>
    <t>https://d18vdu4p71yql0.cloudfront.net/libraries/noun-project/Geodesic-Dome_522_11999.svg</t>
  </si>
  <si>
    <t>student</t>
  </si>
  <si>
    <t>https://d18vdu4p71yql0.cloudfront.net/libraries/arasaac/student.png.variant-medium-dark.png</t>
  </si>
  <si>
    <t>sub-heads</t>
  </si>
  <si>
    <t>suffixes</t>
  </si>
  <si>
    <t>summary</t>
  </si>
  <si>
    <t>https://d18vdu4p71yql0.cloudfront.net/libraries/noun-project/page_65_g.svg</t>
  </si>
  <si>
    <t>Sunday</t>
  </si>
  <si>
    <t>https://d18vdu4p71yql0.cloudfront.net/libraries/coughdrop_symbols/sunday.svg</t>
  </si>
  <si>
    <t>sunglasses</t>
  </si>
  <si>
    <t>https://d18vdu4p71yql0.cloudfront.net/libraries/icon_archive/sunglasses.png</t>
  </si>
  <si>
    <t>surprised</t>
  </si>
  <si>
    <t>https://d18vdu4p71yql0.cloudfront.net/libraries/arasaac/surprised_1.png</t>
  </si>
  <si>
    <t>surroundings</t>
  </si>
  <si>
    <t>https://d18vdu4p71yql0.cloudfront.net/libraries/arasaac/environment.png.variant-medium-dark.png</t>
  </si>
  <si>
    <t>survey</t>
  </si>
  <si>
    <t>https://d18vdu4p71yql0.cloudfront.net/libraries/noun-project/questionnaire_282_229116.svg</t>
  </si>
  <si>
    <t>sweater</t>
  </si>
  <si>
    <t>https://d18vdu4p71yql0.cloudfront.net/libraries/mulberry/sweatshirt.svg</t>
  </si>
  <si>
    <t>sweet</t>
  </si>
  <si>
    <t>https://d18vdu4p71yql0.cloudfront.net/libraries/arasaac/sweet_4.png.variant-medium-dark.png</t>
  </si>
  <si>
    <t>synonyms</t>
  </si>
  <si>
    <t>https://d18vdu4p71yql0.cloudfront.net/libraries/mulberry/same.svg</t>
  </si>
  <si>
    <t>T-shirt</t>
  </si>
  <si>
    <t>https://d18vdu4p71yql0.cloudfront.net/libraries/arasaac/T-shirt_1.png</t>
  </si>
  <si>
    <t>table</t>
  </si>
  <si>
    <t>https://d18vdu4p71yql0.cloudfront.net/libraries/arasaac/table.png</t>
  </si>
  <si>
    <t>tableaux</t>
  </si>
  <si>
    <t>https://d18vdu4p71yql0.cloudfront.net/libraries/arasaac/boards%20of%20communication.png</t>
  </si>
  <si>
    <t>talkative</t>
  </si>
  <si>
    <t>https://d18vdu4p71yql0.cloudfront.net/libraries/arasaac/to%20talk_1.png</t>
  </si>
  <si>
    <t>tall</t>
  </si>
  <si>
    <t>https://d18vdu4p71yql0.cloudfront.net/libraries/arasaac/high.png</t>
  </si>
  <si>
    <t>tap</t>
  </si>
  <si>
    <t>https://d18vdu4p71yql0.cloudfront.net/libraries/arasaac/to%20tap%20one's%20feet.png</t>
  </si>
  <si>
    <t>https://d18vdu4p71yql0.cloudfront.net/libraries/noun-project/Touch-879fc903b4.svg</t>
  </si>
  <si>
    <t>tasty</t>
  </si>
  <si>
    <t>team</t>
  </si>
  <si>
    <t>https://d18vdu4p71yql0.cloudfront.net/libraries/noun-project/Team-f326433ed9.svg</t>
  </si>
  <si>
    <t>teenager</t>
  </si>
  <si>
    <t>https://d18vdu4p71yql0.cloudfront.net/libraries/arasaac/teenager.png.variant-medium-dark.png</t>
  </si>
  <si>
    <t>teeny</t>
  </si>
  <si>
    <t>Teeth</t>
  </si>
  <si>
    <t>https://d18vdu4p71yql0.cloudfront.net/libraries/arasaac/teeth.png</t>
  </si>
  <si>
    <t>television</t>
  </si>
  <si>
    <t>https://d18vdu4p71yql0.cloudfront.net/libraries/mulberry/flatscreen%20tv.svg</t>
  </si>
  <si>
    <t>tell</t>
  </si>
  <si>
    <t>https://d18vdu4p71yql0.cloudfront.net/libraries/tawasol/Talk_1.png</t>
  </si>
  <si>
    <t>https://d18vdu4p71yql0.cloudfront.net/libraries/arasaac/tell.png.variant-dark.png</t>
  </si>
  <si>
    <t>temperature</t>
  </si>
  <si>
    <t xml:space="preserve">tempo </t>
  </si>
  <si>
    <t>https://d18vdu4p71yql0.cloudfront.net/libraries/tawasol/time.jpg</t>
  </si>
  <si>
    <t xml:space="preserve">tension </t>
  </si>
  <si>
    <t>https://d18vdu4p71yql0.cloudfront.net/libraries/arasaac/stretch_3.png.varianted-skin.png</t>
  </si>
  <si>
    <t>text</t>
  </si>
  <si>
    <t>https://d18vdu4p71yql0.cloudfront.net/libraries/mulberry/text%20mobile%20message%20,%20to.svg.variant-medium-dark.svg</t>
  </si>
  <si>
    <t>https://d18vdu4p71yql0.cloudfront.net/libraries/mulberry/text%20mobile%20message%20,%20to.svg.variant-dark.svg</t>
  </si>
  <si>
    <t>texture</t>
  </si>
  <si>
    <t>https://d18vdu4p71yql0.cloudfront.net/libraries/sclera/feel_5.png</t>
  </si>
  <si>
    <t>that</t>
  </si>
  <si>
    <t>https://d18vdu4p71yql0.cloudfront.net/libraries/arasaac/that_2.png</t>
  </si>
  <si>
    <t>the</t>
  </si>
  <si>
    <t>https://i.imgur.com/BzLBemi.png</t>
  </si>
  <si>
    <t>their</t>
  </si>
  <si>
    <t>https://d18vdu4p71yql0.cloudfront.net/libraries/arasaac/their.png</t>
  </si>
  <si>
    <t>theirs</t>
  </si>
  <si>
    <t>https://d18vdu4p71yql0.cloudfront.net/libraries/arasaac/theirs.png</t>
  </si>
  <si>
    <t>them</t>
  </si>
  <si>
    <t>https://d18vdu4p71yql0.cloudfront.net/libraries/arasaac/them.png.variant-dark.png</t>
  </si>
  <si>
    <t>themselves</t>
  </si>
  <si>
    <t>https://d18vdu4p71yql0.cloudfront.net/libraries/arasaac/them_2.png</t>
  </si>
  <si>
    <t>thesaurus</t>
  </si>
  <si>
    <t>https://d18vdu4p71yql0.cloudfront.net/libraries/arasaac/dictionary.png</t>
  </si>
  <si>
    <t>these</t>
  </si>
  <si>
    <t>https://d18vdu4p71yql0.cloudfront.net/libraries/arasaac/these.png</t>
  </si>
  <si>
    <t>they</t>
  </si>
  <si>
    <t>thigh</t>
  </si>
  <si>
    <t>https://d18vdu4p71yql0.cloudfront.net/libraries/arasaac/thigh.png.variant-medium-dark.png</t>
  </si>
  <si>
    <t>thing</t>
  </si>
  <si>
    <t>https://d18vdu4p71yql0.cloudfront.net/libraries/arasaac/things.png</t>
  </si>
  <si>
    <t>think</t>
  </si>
  <si>
    <t>https://d18vdu4p71yql0.cloudfront.net/libraries/sclera/think.png</t>
  </si>
  <si>
    <t>thirst</t>
  </si>
  <si>
    <t>https://d18vdu4p71yql0.cloudfront.net/libraries/arasaac/thirst_1.png</t>
  </si>
  <si>
    <t>thirsty</t>
  </si>
  <si>
    <t>https://d18vdu4p71yql0.cloudfront.net/libraries/sclera/thirsty.png</t>
  </si>
  <si>
    <t>this</t>
  </si>
  <si>
    <t>https://d18vdu4p71yql0.cloudfront.net/libraries/arasaac/this.png</t>
  </si>
  <si>
    <t>those</t>
  </si>
  <si>
    <t>https://d18vdu4p71yql0.cloudfront.net/libraries/arasaac/those.png</t>
  </si>
  <si>
    <t>throw</t>
  </si>
  <si>
    <t>https://d18vdu4p71yql0.cloudfront.net/libraries/arasaac/to%20throw%20(away)_2.png</t>
  </si>
  <si>
    <t>Thursday</t>
  </si>
  <si>
    <t>https://d18vdu4p71yql0.cloudfront.net/libraries/coughdrop_symbols/thursday.svg</t>
  </si>
  <si>
    <t>tie</t>
  </si>
  <si>
    <t>https://d18vdu4p71yql0.cloudfront.net/libraries/arasaac/tie.png</t>
  </si>
  <si>
    <t>tiny</t>
  </si>
  <si>
    <t>tired</t>
  </si>
  <si>
    <t>https://d18vdu4p71yql0.cloudfront.net/libraries/arasaac/yawn_1.png.varianted-skin.png</t>
  </si>
  <si>
    <t>title</t>
  </si>
  <si>
    <t>https://i.imgur.com/b6w9pnw.png</t>
  </si>
  <si>
    <t>to</t>
  </si>
  <si>
    <t>https://d18vdu4p71yql0.cloudfront.net/libraries/arasaac/to.png</t>
  </si>
  <si>
    <t>toddler</t>
  </si>
  <si>
    <t>https://www.opensymbols.org/symbols/noun-project/child-9a17e897?id=45781</t>
  </si>
  <si>
    <t>Toe</t>
  </si>
  <si>
    <t>https://d18vdu4p71yql0.cloudfront.net/libraries/mulberry/toe%20nail.svg.variant-medium-dark.svg</t>
  </si>
  <si>
    <t>tomorrow</t>
  </si>
  <si>
    <t>https://d18vdu4p71yql0.cloudfront.net/libraries/mulberry/tomorrow.svg</t>
  </si>
  <si>
    <t>https://d18vdu4p71yql0.cloudfront.net/libraries/sclera/tomorrow.png</t>
  </si>
  <si>
    <t xml:space="preserve">tone </t>
  </si>
  <si>
    <t>Tongue</t>
  </si>
  <si>
    <t>https://d18vdu4p71yql0.cloudfront.net/libraries/arasaac/tongue.png</t>
  </si>
  <si>
    <t>tonne</t>
  </si>
  <si>
    <t>tornado</t>
  </si>
  <si>
    <t>https://d18vdu4p71yql0.cloudfront.net/libraries/arasaac/tornado.png</t>
  </si>
  <si>
    <t>toss</t>
  </si>
  <si>
    <t>https://d18vdu4p71yql0.cloudfront.net/libraries/arasaac/to%20throw%20(away)_3.png.varianted-skin.png</t>
  </si>
  <si>
    <t>toy</t>
  </si>
  <si>
    <t>track</t>
  </si>
  <si>
    <t>https://d18vdu4p71yql0.cloudfront.net/libraries/arasaac/race_1.png</t>
  </si>
  <si>
    <t>traditional</t>
  </si>
  <si>
    <t>tree</t>
  </si>
  <si>
    <t>https://d18vdu4p71yql0.cloudfront.net/libraries/arasaac/tree_2.png</t>
  </si>
  <si>
    <t>Trelawny</t>
  </si>
  <si>
    <t>https://upload.wikimedia.org/wikipedia/commons/thumb/3/3c/Trelawny_in_Jamaica.svg/1200px-Trelawny_in_Jamaica.svg.png</t>
  </si>
  <si>
    <t>triangle</t>
  </si>
  <si>
    <t>https://d18vdu4p71yql0.cloudfront.net/libraries/noun-project/triangle_698_g.svg</t>
  </si>
  <si>
    <t>triangular</t>
  </si>
  <si>
    <t>https://d18vdu4p71yql0.cloudfront.net/libraries/mulberry/prism%20triangular.svg</t>
  </si>
  <si>
    <t>tsunami</t>
  </si>
  <si>
    <t>https://d18vdu4p71yql0.cloudfront.net/libraries/noun-project/Tsunami-56203db773.svg</t>
  </si>
  <si>
    <t>Tuesday</t>
  </si>
  <si>
    <t>https://d18vdu4p71yql0.cloudfront.net/libraries/coughdrop_symbols/tuesday.svg</t>
  </si>
  <si>
    <t>turn</t>
  </si>
  <si>
    <t>https://d18vdu4p71yql0.cloudfront.net/libraries/arasaac/turn_3.png.varianted-skin.png</t>
  </si>
  <si>
    <t>turtle</t>
  </si>
  <si>
    <t>https://d18vdu4p71yql0.cloudfront.net/libraries/arasaac/giant%20turtle_1.png</t>
  </si>
  <si>
    <t>ugly</t>
  </si>
  <si>
    <t>https://i.imgur.com/8BzAzlI.png</t>
  </si>
  <si>
    <t>https://d18vdu4p71yql0.cloudfront.net/libraries/twemoji/1f479.svg</t>
  </si>
  <si>
    <t>uncle</t>
  </si>
  <si>
    <t>https://d18vdu4p71yql0.cloudfront.net/libraries/arasaac/uncle.png.variant-dark.png</t>
  </si>
  <si>
    <t>under</t>
  </si>
  <si>
    <t>https://d18vdu4p71yql0.cloudfront.net/libraries/mulberry/under%201.svg</t>
  </si>
  <si>
    <t>up</t>
  </si>
  <si>
    <t>https://d18vdu4p71yql0.cloudfront.net/libraries/noun-project/up-arrow_998_g.svg</t>
  </si>
  <si>
    <t>urge</t>
  </si>
  <si>
    <t>urinate</t>
  </si>
  <si>
    <t>vacuum cleaner</t>
  </si>
  <si>
    <t>https://d18vdu4p71yql0.cloudfront.net/libraries/arasaac/vacuum.png</t>
  </si>
  <si>
    <t>values</t>
  </si>
  <si>
    <t>vendor</t>
  </si>
  <si>
    <t>https://d18vdu4p71yql0.cloudfront.net/libraries/arasaac/kiosk%20vendor_1.png.varianted-skin.png</t>
  </si>
  <si>
    <t xml:space="preserve">verse </t>
  </si>
  <si>
    <t>vest</t>
  </si>
  <si>
    <t>https://d18vdu4p71yql0.cloudfront.net/libraries/arasaac/waistcoat.png</t>
  </si>
  <si>
    <t>video</t>
  </si>
  <si>
    <t>https://d18vdu4p71yql0.cloudfront.net/libraries/arasaac/video%20camera_1.png</t>
  </si>
  <si>
    <t>visual</t>
  </si>
  <si>
    <t>https://d18vdu4p71yql0.cloudfront.net/libraries/sclera/mandala%20color.png</t>
  </si>
  <si>
    <t>walk</t>
  </si>
  <si>
    <t>https://d18vdu4p71yql0.cloudfront.net/libraries/tawasol/Walk%20(M).png</t>
  </si>
  <si>
    <t>https://d18vdu4p71yql0.cloudfront.net/libraries/arasaac/to%20walk_2.png</t>
  </si>
  <si>
    <t>warm</t>
  </si>
  <si>
    <t>https://d18vdu4p71yql0.cloudfront.net/libraries/arasaac/hot.png.varianted-skin.png</t>
  </si>
  <si>
    <t>https://d18vdu4p71yql0.cloudfront.net/libraries/mulberry/warm%20fire.svg.varianted-skin.svg</t>
  </si>
  <si>
    <t>warning</t>
  </si>
  <si>
    <t>https://d18vdu4p71yql0.cloudfront.net/libraries/icon_archive/warning.png</t>
  </si>
  <si>
    <t>washing machine</t>
  </si>
  <si>
    <t>https://d18vdu4p71yql0.cloudfront.net/libraries/arasaac/washing%20machine.png</t>
  </si>
  <si>
    <t>wasp</t>
  </si>
  <si>
    <t>https://d18vdu4p71yql0.cloudfront.net/libraries/arasaac/wasp.png</t>
  </si>
  <si>
    <t>water</t>
  </si>
  <si>
    <t>https://d18vdu4p71yql0.cloudfront.net/libraries/arasaac/glass%20of%20water.png</t>
  </si>
  <si>
    <t>https://d18vdu4p71yql0.cloudfront.net/libraries/arasaac/water.png.varianted-skin.png</t>
  </si>
  <si>
    <t>wavy</t>
  </si>
  <si>
    <t>https://d18vdu4p71yql0.cloudfront.net/libraries/mulberry/wavy.svg</t>
  </si>
  <si>
    <t>We</t>
  </si>
  <si>
    <t>https://d18vdu4p71yql0.cloudfront.net/libraries/arasaac/we.png.variant-medium-dark.png</t>
  </si>
  <si>
    <t>Wednesday</t>
  </si>
  <si>
    <t>https://d18vdu4p71yql0.cloudfront.net/libraries/coughdrop_symbols/wednesday.svg</t>
  </si>
  <si>
    <t>Westmoreland</t>
  </si>
  <si>
    <t>https://upload.wikimedia.org/wikipedia/commons/thumb/3/36/Westmoreland_in_Jamaica.svg/250px-Westmoreland_in_Jamaica.svg.png</t>
  </si>
  <si>
    <t>what</t>
  </si>
  <si>
    <t>https://d18vdu4p71yql0.cloudfront.net/libraries/arasaac/what.png</t>
  </si>
  <si>
    <t>when</t>
  </si>
  <si>
    <t>https://d18vdu4p71yql0.cloudfront.net/libraries/mulberry/where.svg</t>
  </si>
  <si>
    <t>https://d18vdu4p71yql0.cloudfront.net/libraries/mulberry/when.svg</t>
  </si>
  <si>
    <t>where</t>
  </si>
  <si>
    <t>which</t>
  </si>
  <si>
    <t>https://d18vdu4p71yql0.cloudfront.net/libraries/arasaac/which.png</t>
  </si>
  <si>
    <t>whistle</t>
  </si>
  <si>
    <t>https://d18vdu4p71yql0.cloudfront.net/libraries/arasaac/whistle_2.png.variant-medium-dark.png</t>
  </si>
  <si>
    <t>white</t>
  </si>
  <si>
    <t>https://d18vdu4p71yql0.cloudfront.net/libraries/mulberry/white.svg</t>
  </si>
  <si>
    <t>whiteboard</t>
  </si>
  <si>
    <t>https://d18vdu4p71yql0.cloudfront.net/libraries/mulberry/whiteboard.svg</t>
  </si>
  <si>
    <t>who</t>
  </si>
  <si>
    <t>https://d18vdu4p71yql0.cloudfront.net/libraries/arasaac/who.png</t>
  </si>
  <si>
    <t>why</t>
  </si>
  <si>
    <t>https://d18vdu4p71yql0.cloudfront.net/libraries/sclera/why_2.png</t>
  </si>
  <si>
    <t>wide</t>
  </si>
  <si>
    <t>https://d18vdu4p71yql0.cloudfront.net/libraries/arasaac/wide.png</t>
  </si>
  <si>
    <t>window</t>
  </si>
  <si>
    <t>https://d18vdu4p71yql0.cloudfront.net/libraries/mulberry/window.svg</t>
  </si>
  <si>
    <t>wish</t>
  </si>
  <si>
    <t>wishful</t>
  </si>
  <si>
    <t>https://d18vdu4p71yql0.cloudfront.net/libraries/arasaac/letters_2.png</t>
  </si>
  <si>
    <t>worried</t>
  </si>
  <si>
    <t>https://d18vdu4p71yql0.cloudfront.net/libraries/noun-project/worried_637_g.svg</t>
  </si>
  <si>
    <t>Wrist</t>
  </si>
  <si>
    <t>https://d18vdu4p71yql0.cloudfront.net/libraries/arasaac/wrist.png.variant-medium-dark.png</t>
  </si>
  <si>
    <t>yam</t>
  </si>
  <si>
    <t>yard</t>
  </si>
  <si>
    <t>year</t>
  </si>
  <si>
    <t>https://d18vdu4p71yql0.cloudfront.net/libraries/arasaac/year.png</t>
  </si>
  <si>
    <t>yearn</t>
  </si>
  <si>
    <t>yearning</t>
  </si>
  <si>
    <t>yellow</t>
  </si>
  <si>
    <t>https://d18vdu4p71yql0.cloudfront.net/libraries/mulberry/yellow.svg</t>
  </si>
  <si>
    <t>yesterday</t>
  </si>
  <si>
    <t>https://d18vdu4p71yql0.cloudfront.net/libraries/mulberry/yesterday.svg</t>
  </si>
  <si>
    <t>https://d18vdu4p71yql0.cloudfront.net/libraries/sclera/yesterday_1.png</t>
  </si>
  <si>
    <t>you</t>
  </si>
  <si>
    <t>https://d18vdu4p71yql0.cloudfront.net/libraries/arasaac/you_1.png</t>
  </si>
  <si>
    <t>young adult</t>
  </si>
  <si>
    <t>https://d18vdu4p71yql0.cloudfront.net/libraries/arasaac/young_3.png.varianted-skin.png</t>
  </si>
  <si>
    <t>younger</t>
  </si>
  <si>
    <t>https://d18vdu4p71yql0.cloudfront.net/libraries/mulberry/young.svg.varianted-skin.svg</t>
  </si>
  <si>
    <t>your</t>
  </si>
  <si>
    <t>https://d18vdu4p71yql0.cloudfront.net/libraries/arasaac/your.png</t>
  </si>
  <si>
    <t>yours</t>
  </si>
  <si>
    <t>https://d18vdu4p71yql0.cloudfront.net/libraries/arasaac/yours.png</t>
  </si>
  <si>
    <t>yourself</t>
  </si>
  <si>
    <t>yourselves</t>
  </si>
  <si>
    <t>zipper</t>
  </si>
  <si>
    <t>https://d18vdu4p71yql0.cloudfront.net/libraries/arasaac/zipper.png</t>
  </si>
  <si>
    <t>hello</t>
  </si>
  <si>
    <t>https://i.imgur.com/XeBvkMA.png</t>
  </si>
  <si>
    <t>want</t>
  </si>
  <si>
    <t>https://i.imgur.com/rgZmvn5.png</t>
  </si>
  <si>
    <t>not</t>
  </si>
  <si>
    <t>https://i.imgur.com/qyTTRxd.png</t>
  </si>
  <si>
    <t>bed</t>
  </si>
  <si>
    <t>https://i.imgur.com/beKufXh.png</t>
  </si>
  <si>
    <t>toothbrush</t>
  </si>
  <si>
    <t>https://i.imgur.com/7zK7UW7.png</t>
  </si>
  <si>
    <t>toothpaste</t>
  </si>
  <si>
    <t>https://i.imgur.com/GdDhPpD.png</t>
  </si>
  <si>
    <t>sit</t>
  </si>
  <si>
    <t>https://i.imgur.com/XJfGSDX.png</t>
  </si>
  <si>
    <t>term</t>
  </si>
  <si>
    <t>abbo</t>
  </si>
  <si>
    <t>abo</t>
  </si>
  <si>
    <t>alligatorbait</t>
  </si>
  <si>
    <t>anal</t>
  </si>
  <si>
    <t>analannie</t>
  </si>
  <si>
    <t>analsex</t>
  </si>
  <si>
    <t>angie</t>
  </si>
  <si>
    <t>anus</t>
  </si>
  <si>
    <t>areola</t>
  </si>
  <si>
    <t>argie</t>
  </si>
  <si>
    <t>aroused</t>
  </si>
  <si>
    <t>arse</t>
  </si>
  <si>
    <t>arsehole</t>
  </si>
  <si>
    <t>ass</t>
  </si>
  <si>
    <t>assassin</t>
  </si>
  <si>
    <t>assassinate</t>
  </si>
  <si>
    <t>assassination</t>
  </si>
  <si>
    <t>assault</t>
  </si>
  <si>
    <t>assbagger</t>
  </si>
  <si>
    <t>assblaster</t>
  </si>
  <si>
    <t>assclown</t>
  </si>
  <si>
    <t>asscowboy</t>
  </si>
  <si>
    <t>asses</t>
  </si>
  <si>
    <t>assfuck</t>
  </si>
  <si>
    <t>assfucker</t>
  </si>
  <si>
    <t>asshat</t>
  </si>
  <si>
    <t>asshole</t>
  </si>
  <si>
    <t>assholes</t>
  </si>
  <si>
    <t>asshore</t>
  </si>
  <si>
    <t>assjockey</t>
  </si>
  <si>
    <t>asskiss</t>
  </si>
  <si>
    <t>asskisser</t>
  </si>
  <si>
    <t>assklown</t>
  </si>
  <si>
    <t>asslick</t>
  </si>
  <si>
    <t>asslicker</t>
  </si>
  <si>
    <t>asslover</t>
  </si>
  <si>
    <t>assman</t>
  </si>
  <si>
    <t>assmonkey</t>
  </si>
  <si>
    <t>assmunch</t>
  </si>
  <si>
    <t>assmuncher</t>
  </si>
  <si>
    <t>asspacker</t>
  </si>
  <si>
    <t>asspirate</t>
  </si>
  <si>
    <t>asspuppies</t>
  </si>
  <si>
    <t>assranger</t>
  </si>
  <si>
    <t>asswhore</t>
  </si>
  <si>
    <t>asswipe</t>
  </si>
  <si>
    <t>athletesfoot</t>
  </si>
  <si>
    <t>babe</t>
  </si>
  <si>
    <t>backdoorman</t>
  </si>
  <si>
    <t>badfuck</t>
  </si>
  <si>
    <t>balllicker</t>
  </si>
  <si>
    <t>balls</t>
  </si>
  <si>
    <t>ballsack</t>
  </si>
  <si>
    <t>banging</t>
  </si>
  <si>
    <t>barelylegal</t>
  </si>
  <si>
    <t>barface</t>
  </si>
  <si>
    <t>barfface</t>
  </si>
  <si>
    <t>bast</t>
  </si>
  <si>
    <t>bastard</t>
  </si>
  <si>
    <t>bazongas</t>
  </si>
  <si>
    <t>bazooms</t>
  </si>
  <si>
    <t>beaner</t>
  </si>
  <si>
    <t>beast</t>
  </si>
  <si>
    <t>beastality</t>
  </si>
  <si>
    <t>beastial</t>
  </si>
  <si>
    <t>beastiality</t>
  </si>
  <si>
    <t>beatoff</t>
  </si>
  <si>
    <t>beat-off</t>
  </si>
  <si>
    <t>beatyourmeat</t>
  </si>
  <si>
    <t>beaver</t>
  </si>
  <si>
    <t>bestial</t>
  </si>
  <si>
    <t>bestiality</t>
  </si>
  <si>
    <t>biatch</t>
  </si>
  <si>
    <t>bicurious</t>
  </si>
  <si>
    <t>bigass</t>
  </si>
  <si>
    <t>bigbastard</t>
  </si>
  <si>
    <t>bigbutt</t>
  </si>
  <si>
    <t>bitch</t>
  </si>
  <si>
    <t>bitcher</t>
  </si>
  <si>
    <t>bitches</t>
  </si>
  <si>
    <t>bitchez</t>
  </si>
  <si>
    <t>bitchin</t>
  </si>
  <si>
    <t>bitching</t>
  </si>
  <si>
    <t>bitchslap</t>
  </si>
  <si>
    <t>bitchy</t>
  </si>
  <si>
    <t>biteme</t>
  </si>
  <si>
    <t>blackman</t>
  </si>
  <si>
    <t>blackout</t>
  </si>
  <si>
    <t>blacks</t>
  </si>
  <si>
    <t>blind</t>
  </si>
  <si>
    <t>blow</t>
  </si>
  <si>
    <t>blowjob</t>
  </si>
  <si>
    <t>boang</t>
  </si>
  <si>
    <t>bogan</t>
  </si>
  <si>
    <t>bohunk</t>
  </si>
  <si>
    <t>bollick</t>
  </si>
  <si>
    <t>bollock</t>
  </si>
  <si>
    <t>bomb</t>
  </si>
  <si>
    <t>bombers</t>
  </si>
  <si>
    <t>bombing</t>
  </si>
  <si>
    <t>bombs</t>
  </si>
  <si>
    <t>bomd</t>
  </si>
  <si>
    <t>bondage</t>
  </si>
  <si>
    <t>boner</t>
  </si>
  <si>
    <t>bong</t>
  </si>
  <si>
    <t>boob</t>
  </si>
  <si>
    <t>boobies</t>
  </si>
  <si>
    <t>boobs</t>
  </si>
  <si>
    <t>booby</t>
  </si>
  <si>
    <t>boody</t>
  </si>
  <si>
    <t>boom</t>
  </si>
  <si>
    <t>boong</t>
  </si>
  <si>
    <t>boonga</t>
  </si>
  <si>
    <t>boonie</t>
  </si>
  <si>
    <t>booty</t>
  </si>
  <si>
    <t>bootycall</t>
  </si>
  <si>
    <t>bountybar</t>
  </si>
  <si>
    <t>bra</t>
  </si>
  <si>
    <t>brea5t</t>
  </si>
  <si>
    <t>breast</t>
  </si>
  <si>
    <t>breastjob</t>
  </si>
  <si>
    <t>breastlover</t>
  </si>
  <si>
    <t>breastman</t>
  </si>
  <si>
    <t>brothel</t>
  </si>
  <si>
    <t>bugger</t>
  </si>
  <si>
    <t>buggered</t>
  </si>
  <si>
    <t>buggery</t>
  </si>
  <si>
    <t>bullcrap</t>
  </si>
  <si>
    <t>bulldike</t>
  </si>
  <si>
    <t>bulldyke</t>
  </si>
  <si>
    <t>bullshit</t>
  </si>
  <si>
    <t>bumblefuck</t>
  </si>
  <si>
    <t>bumfuck</t>
  </si>
  <si>
    <t>bunga</t>
  </si>
  <si>
    <t>bunghole</t>
  </si>
  <si>
    <t>buried</t>
  </si>
  <si>
    <t>butchbabes</t>
  </si>
  <si>
    <t>butchdike</t>
  </si>
  <si>
    <t>butchdyke</t>
  </si>
  <si>
    <t>butt</t>
  </si>
  <si>
    <t>buttbang</t>
  </si>
  <si>
    <t>butt-bang</t>
  </si>
  <si>
    <t>buttface</t>
  </si>
  <si>
    <t>buttfuck</t>
  </si>
  <si>
    <t>butt-fuck</t>
  </si>
  <si>
    <t>buttfucker</t>
  </si>
  <si>
    <t>butt-fucker</t>
  </si>
  <si>
    <t>buttfuckers</t>
  </si>
  <si>
    <t>butt-fuckers</t>
  </si>
  <si>
    <t>butthead</t>
  </si>
  <si>
    <t>buttman</t>
  </si>
  <si>
    <t>buttmunch</t>
  </si>
  <si>
    <t>buttmuncher</t>
  </si>
  <si>
    <t>buttpirate</t>
  </si>
  <si>
    <t>buttplug</t>
  </si>
  <si>
    <t>buttstain</t>
  </si>
  <si>
    <t>byatch</t>
  </si>
  <si>
    <t>cacker</t>
  </si>
  <si>
    <t>cameljockey</t>
  </si>
  <si>
    <t>cameltoe</t>
  </si>
  <si>
    <t>canadian</t>
  </si>
  <si>
    <t>cancer</t>
  </si>
  <si>
    <t>carpetmuncher</t>
  </si>
  <si>
    <t>carruth</t>
  </si>
  <si>
    <t>catholic</t>
  </si>
  <si>
    <t>catholics</t>
  </si>
  <si>
    <t>cemetery</t>
  </si>
  <si>
    <t>chav</t>
  </si>
  <si>
    <t>cherrypopper</t>
  </si>
  <si>
    <t>chickslick</t>
  </si>
  <si>
    <t>children's</t>
  </si>
  <si>
    <t>chin</t>
  </si>
  <si>
    <t>chinaman</t>
  </si>
  <si>
    <t>chinamen</t>
  </si>
  <si>
    <t>chinese</t>
  </si>
  <si>
    <t>chink</t>
  </si>
  <si>
    <t>chinky</t>
  </si>
  <si>
    <t>choad</t>
  </si>
  <si>
    <t>chode</t>
  </si>
  <si>
    <t>christ</t>
  </si>
  <si>
    <t>christian</t>
  </si>
  <si>
    <t>cigarette</t>
  </si>
  <si>
    <t>cigs</t>
  </si>
  <si>
    <t>clamdigger</t>
  </si>
  <si>
    <t>clamdiver</t>
  </si>
  <si>
    <t>clit</t>
  </si>
  <si>
    <t>clitoris</t>
  </si>
  <si>
    <t>clogwog</t>
  </si>
  <si>
    <t>cocaine</t>
  </si>
  <si>
    <t>cock</t>
  </si>
  <si>
    <t>cockblock</t>
  </si>
  <si>
    <t>cockblocker</t>
  </si>
  <si>
    <t>cockcowboy</t>
  </si>
  <si>
    <t>cockfight</t>
  </si>
  <si>
    <t>cockhead</t>
  </si>
  <si>
    <t>cockknob</t>
  </si>
  <si>
    <t>cocklicker</t>
  </si>
  <si>
    <t>cocklover</t>
  </si>
  <si>
    <t>cocknob</t>
  </si>
  <si>
    <t>cockqueen</t>
  </si>
  <si>
    <t>cockrider</t>
  </si>
  <si>
    <t>cocksman</t>
  </si>
  <si>
    <t>cocksmith</t>
  </si>
  <si>
    <t>cocksmoker</t>
  </si>
  <si>
    <t>cocksucer</t>
  </si>
  <si>
    <t>cocksuck</t>
  </si>
  <si>
    <t>cocksucked</t>
  </si>
  <si>
    <t>cocksucker</t>
  </si>
  <si>
    <t>cocksucking</t>
  </si>
  <si>
    <t>cocktail</t>
  </si>
  <si>
    <t>cocktease</t>
  </si>
  <si>
    <t>cocky</t>
  </si>
  <si>
    <t>cohee</t>
  </si>
  <si>
    <t>coitus</t>
  </si>
  <si>
    <t>color</t>
  </si>
  <si>
    <t>colored</t>
  </si>
  <si>
    <t>coloured</t>
  </si>
  <si>
    <t>commie</t>
  </si>
  <si>
    <t>communist</t>
  </si>
  <si>
    <t>condom</t>
  </si>
  <si>
    <t>conservative</t>
  </si>
  <si>
    <t>conspiracy</t>
  </si>
  <si>
    <t>coolie</t>
  </si>
  <si>
    <t>cooly</t>
  </si>
  <si>
    <t>coon</t>
  </si>
  <si>
    <t>coondog</t>
  </si>
  <si>
    <t>copulate</t>
  </si>
  <si>
    <t>cornhole</t>
  </si>
  <si>
    <t>corruption</t>
  </si>
  <si>
    <t>cra5h</t>
  </si>
  <si>
    <t>crabs</t>
  </si>
  <si>
    <t>crack</t>
  </si>
  <si>
    <t>crackpipe</t>
  </si>
  <si>
    <t>crackwhore</t>
  </si>
  <si>
    <t>crack-whore</t>
  </si>
  <si>
    <t>crap</t>
  </si>
  <si>
    <t>crapola</t>
  </si>
  <si>
    <t>crapper</t>
  </si>
  <si>
    <t>crappy</t>
  </si>
  <si>
    <t>crash</t>
  </si>
  <si>
    <t>creamy</t>
  </si>
  <si>
    <t>crime</t>
  </si>
  <si>
    <t>crimes</t>
  </si>
  <si>
    <t>criminal</t>
  </si>
  <si>
    <t>criminals</t>
  </si>
  <si>
    <t>crotch</t>
  </si>
  <si>
    <t>crotchjockey</t>
  </si>
  <si>
    <t>crotchmonkey</t>
  </si>
  <si>
    <t>crotchrot</t>
  </si>
  <si>
    <t>cum</t>
  </si>
  <si>
    <t>cumbubble</t>
  </si>
  <si>
    <t>cumfest</t>
  </si>
  <si>
    <t>cumjockey</t>
  </si>
  <si>
    <t>cumm</t>
  </si>
  <si>
    <t>cummer</t>
  </si>
  <si>
    <t>cumming</t>
  </si>
  <si>
    <t>cumquat</t>
  </si>
  <si>
    <t>cumqueen</t>
  </si>
  <si>
    <t>cumshot</t>
  </si>
  <si>
    <t>cunilingus</t>
  </si>
  <si>
    <t>cunillingus</t>
  </si>
  <si>
    <t>cunn</t>
  </si>
  <si>
    <t>cunnilingus</t>
  </si>
  <si>
    <t>cunntt</t>
  </si>
  <si>
    <t>cunt</t>
  </si>
  <si>
    <t>cunteyed</t>
  </si>
  <si>
    <t>cuntfuck</t>
  </si>
  <si>
    <t>cuntfucker</t>
  </si>
  <si>
    <t>cuntlick</t>
  </si>
  <si>
    <t>cuntlicker</t>
  </si>
  <si>
    <t>cuntlicking</t>
  </si>
  <si>
    <t>cuntsucker</t>
  </si>
  <si>
    <t>cybersex</t>
  </si>
  <si>
    <t>cyberslimer</t>
  </si>
  <si>
    <t>dago</t>
  </si>
  <si>
    <t>dahmer</t>
  </si>
  <si>
    <t>dammit</t>
  </si>
  <si>
    <t>damn</t>
  </si>
  <si>
    <t>damnation</t>
  </si>
  <si>
    <t>damnit</t>
  </si>
  <si>
    <t>darkie</t>
  </si>
  <si>
    <t>darky</t>
  </si>
  <si>
    <t>datnigga</t>
  </si>
  <si>
    <t>dead</t>
  </si>
  <si>
    <t>deapthroat</t>
  </si>
  <si>
    <t>death</t>
  </si>
  <si>
    <t>deepthroat</t>
  </si>
  <si>
    <t>dego</t>
  </si>
  <si>
    <t>demon</t>
  </si>
  <si>
    <t>deposit</t>
  </si>
  <si>
    <t>destroy</t>
  </si>
  <si>
    <t>deth</t>
  </si>
  <si>
    <t>devil</t>
  </si>
  <si>
    <t>devilworshipper</t>
  </si>
  <si>
    <t>dick</t>
  </si>
  <si>
    <t>dickbrain</t>
  </si>
  <si>
    <t>dickforbrains</t>
  </si>
  <si>
    <t>dickhead</t>
  </si>
  <si>
    <t>dickless</t>
  </si>
  <si>
    <t>dicklick</t>
  </si>
  <si>
    <t>dicklicker</t>
  </si>
  <si>
    <t>dickman</t>
  </si>
  <si>
    <t>dickwad</t>
  </si>
  <si>
    <t>dickweed</t>
  </si>
  <si>
    <t>diddle</t>
  </si>
  <si>
    <t>die</t>
  </si>
  <si>
    <t>died</t>
  </si>
  <si>
    <t>dies</t>
  </si>
  <si>
    <t>dike</t>
  </si>
  <si>
    <t>dildo</t>
  </si>
  <si>
    <t>dingleberry</t>
  </si>
  <si>
    <t>dink</t>
  </si>
  <si>
    <t>dipshit</t>
  </si>
  <si>
    <t>dipstick</t>
  </si>
  <si>
    <t>dirty</t>
  </si>
  <si>
    <t>disease</t>
  </si>
  <si>
    <t>diseases</t>
  </si>
  <si>
    <t>disturbed</t>
  </si>
  <si>
    <t>dive</t>
  </si>
  <si>
    <t>dix</t>
  </si>
  <si>
    <t>dixiedike</t>
  </si>
  <si>
    <t>dixiedyke</t>
  </si>
  <si>
    <t>doggiestyle</t>
  </si>
  <si>
    <t>doggystyle</t>
  </si>
  <si>
    <t>dong</t>
  </si>
  <si>
    <t>doodoo</t>
  </si>
  <si>
    <t>doo-doo</t>
  </si>
  <si>
    <t>doom</t>
  </si>
  <si>
    <t>dope</t>
  </si>
  <si>
    <t>dragqueen</t>
  </si>
  <si>
    <t>dragqween</t>
  </si>
  <si>
    <t>dripdick</t>
  </si>
  <si>
    <t>drug</t>
  </si>
  <si>
    <t>drunk</t>
  </si>
  <si>
    <t>drunken</t>
  </si>
  <si>
    <t>dumb</t>
  </si>
  <si>
    <t>dumbass</t>
  </si>
  <si>
    <t>dumbbitch</t>
  </si>
  <si>
    <t>dumbfuck</t>
  </si>
  <si>
    <t>dyefly</t>
  </si>
  <si>
    <t>dyke</t>
  </si>
  <si>
    <t>easyslut</t>
  </si>
  <si>
    <t>eatballs</t>
  </si>
  <si>
    <t>eatme</t>
  </si>
  <si>
    <t>eatpussy</t>
  </si>
  <si>
    <t>ecstacy</t>
  </si>
  <si>
    <t>ejaculate</t>
  </si>
  <si>
    <t>ejaculated</t>
  </si>
  <si>
    <t>ejaculating</t>
  </si>
  <si>
    <t>ejaculation</t>
  </si>
  <si>
    <t>enema</t>
  </si>
  <si>
    <t>enemy</t>
  </si>
  <si>
    <t>erect</t>
  </si>
  <si>
    <t>erection</t>
  </si>
  <si>
    <t>ero</t>
  </si>
  <si>
    <t>escort</t>
  </si>
  <si>
    <t>ethiopian</t>
  </si>
  <si>
    <t>european</t>
  </si>
  <si>
    <t>evl</t>
  </si>
  <si>
    <t>excrement</t>
  </si>
  <si>
    <t>execute</t>
  </si>
  <si>
    <t>executed</t>
  </si>
  <si>
    <t>execution</t>
  </si>
  <si>
    <t>executioner</t>
  </si>
  <si>
    <t>explosion</t>
  </si>
  <si>
    <t>facefucker</t>
  </si>
  <si>
    <t>faeces</t>
  </si>
  <si>
    <t>fag</t>
  </si>
  <si>
    <t>fagging</t>
  </si>
  <si>
    <t>faggot</t>
  </si>
  <si>
    <t>fagot</t>
  </si>
  <si>
    <t>failed</t>
  </si>
  <si>
    <t>failure</t>
  </si>
  <si>
    <t>fairies</t>
  </si>
  <si>
    <t>fairy</t>
  </si>
  <si>
    <t>faith</t>
  </si>
  <si>
    <t>fannyfucker</t>
  </si>
  <si>
    <t>fart</t>
  </si>
  <si>
    <t>farted</t>
  </si>
  <si>
    <t>farting</t>
  </si>
  <si>
    <t>farty</t>
  </si>
  <si>
    <t>fastfuck</t>
  </si>
  <si>
    <t>fatah</t>
  </si>
  <si>
    <t>fatass</t>
  </si>
  <si>
    <t>fatfuck</t>
  </si>
  <si>
    <t>fatfucker</t>
  </si>
  <si>
    <t>fatso</t>
  </si>
  <si>
    <t>fckcum</t>
  </si>
  <si>
    <t>fear</t>
  </si>
  <si>
    <t>feces</t>
  </si>
  <si>
    <t>felatio</t>
  </si>
  <si>
    <t>felch</t>
  </si>
  <si>
    <t>felcher</t>
  </si>
  <si>
    <t>felching</t>
  </si>
  <si>
    <t>fellatio</t>
  </si>
  <si>
    <t>feltch</t>
  </si>
  <si>
    <t>feltcher</t>
  </si>
  <si>
    <t>feltching</t>
  </si>
  <si>
    <t>fetish</t>
  </si>
  <si>
    <t>fight</t>
  </si>
  <si>
    <t>filipina</t>
  </si>
  <si>
    <t>filipino</t>
  </si>
  <si>
    <t>fingerfood</t>
  </si>
  <si>
    <t>fingerfuck</t>
  </si>
  <si>
    <t>fingerfucked</t>
  </si>
  <si>
    <t>fingerfucker</t>
  </si>
  <si>
    <t>fingerfuckers</t>
  </si>
  <si>
    <t>fingerfucking</t>
  </si>
  <si>
    <t>firing</t>
  </si>
  <si>
    <t>fister</t>
  </si>
  <si>
    <t>fistfuck</t>
  </si>
  <si>
    <t>fistfucked</t>
  </si>
  <si>
    <t>fistfucker</t>
  </si>
  <si>
    <t>fistfucking</t>
  </si>
  <si>
    <t>fisting</t>
  </si>
  <si>
    <t>flange</t>
  </si>
  <si>
    <t>flasher</t>
  </si>
  <si>
    <t>flatulence</t>
  </si>
  <si>
    <t>floo</t>
  </si>
  <si>
    <t>flydie</t>
  </si>
  <si>
    <t>flydye</t>
  </si>
  <si>
    <t>fok</t>
  </si>
  <si>
    <t>fondle</t>
  </si>
  <si>
    <t>footaction</t>
  </si>
  <si>
    <t>footfuck</t>
  </si>
  <si>
    <t>footfucker</t>
  </si>
  <si>
    <t>footlicker</t>
  </si>
  <si>
    <t>footstar</t>
  </si>
  <si>
    <t>fore</t>
  </si>
  <si>
    <t>foreskin</t>
  </si>
  <si>
    <t>forni</t>
  </si>
  <si>
    <t>fornicate</t>
  </si>
  <si>
    <t>foursome</t>
  </si>
  <si>
    <t>fourtwenty</t>
  </si>
  <si>
    <t>fraud</t>
  </si>
  <si>
    <t>freakfuck</t>
  </si>
  <si>
    <t>freakyfucker</t>
  </si>
  <si>
    <t>freefuck</t>
  </si>
  <si>
    <t>fu</t>
  </si>
  <si>
    <t>fubar</t>
  </si>
  <si>
    <t>fuc</t>
  </si>
  <si>
    <t>fucck</t>
  </si>
  <si>
    <t>fuck</t>
  </si>
  <si>
    <t>fucka</t>
  </si>
  <si>
    <t>fuckable</t>
  </si>
  <si>
    <t>fuckbag</t>
  </si>
  <si>
    <t>fuckbuddy</t>
  </si>
  <si>
    <t>fucked</t>
  </si>
  <si>
    <t>fuckedup</t>
  </si>
  <si>
    <t>fucker</t>
  </si>
  <si>
    <t>fuckers</t>
  </si>
  <si>
    <t>fuckface</t>
  </si>
  <si>
    <t>fuckfest</t>
  </si>
  <si>
    <t>fuckfreak</t>
  </si>
  <si>
    <t>fuckfriend</t>
  </si>
  <si>
    <t>fuckhead</t>
  </si>
  <si>
    <t>fuckher</t>
  </si>
  <si>
    <t>fuckin</t>
  </si>
  <si>
    <t>fuckina</t>
  </si>
  <si>
    <t>fucking</t>
  </si>
  <si>
    <t>fuckingbitch</t>
  </si>
  <si>
    <t>fuckinnuts</t>
  </si>
  <si>
    <t>fuckinright</t>
  </si>
  <si>
    <t>fuckit</t>
  </si>
  <si>
    <t>fuckknob</t>
  </si>
  <si>
    <t>fuckme</t>
  </si>
  <si>
    <t>fuckmehard</t>
  </si>
  <si>
    <t>fuckmonkey</t>
  </si>
  <si>
    <t>fuckoff</t>
  </si>
  <si>
    <t>fuckpig</t>
  </si>
  <si>
    <t>fucks</t>
  </si>
  <si>
    <t>fucktard</t>
  </si>
  <si>
    <t>fuckwhore</t>
  </si>
  <si>
    <t>fuckyou</t>
  </si>
  <si>
    <t>fudgepacker</t>
  </si>
  <si>
    <t>fugly</t>
  </si>
  <si>
    <t>fuk</t>
  </si>
  <si>
    <t>fuks</t>
  </si>
  <si>
    <t>funeral</t>
  </si>
  <si>
    <t>funfuck</t>
  </si>
  <si>
    <t>fungus</t>
  </si>
  <si>
    <t>fuuck</t>
  </si>
  <si>
    <t>gangbang</t>
  </si>
  <si>
    <t>gangbanged</t>
  </si>
  <si>
    <t>gangbanger</t>
  </si>
  <si>
    <t>gangsta</t>
  </si>
  <si>
    <t>gatorbait</t>
  </si>
  <si>
    <t>gay</t>
  </si>
  <si>
    <t>gaymuthafuckinwhore</t>
  </si>
  <si>
    <t>gaysex</t>
  </si>
  <si>
    <t>geez</t>
  </si>
  <si>
    <t>geezer</t>
  </si>
  <si>
    <t>geni</t>
  </si>
  <si>
    <t>genital</t>
  </si>
  <si>
    <t>german</t>
  </si>
  <si>
    <t>getiton</t>
  </si>
  <si>
    <t>gin</t>
  </si>
  <si>
    <t>ginzo</t>
  </si>
  <si>
    <t>gipp</t>
  </si>
  <si>
    <t>girls</t>
  </si>
  <si>
    <t>givehead</t>
  </si>
  <si>
    <t>glazeddonut</t>
  </si>
  <si>
    <t>gob</t>
  </si>
  <si>
    <t>god</t>
  </si>
  <si>
    <t>godammit</t>
  </si>
  <si>
    <t>goddamit</t>
  </si>
  <si>
    <t>goddammit</t>
  </si>
  <si>
    <t>goddamn</t>
  </si>
  <si>
    <t>goddamned</t>
  </si>
  <si>
    <t>goddamnes</t>
  </si>
  <si>
    <t>goddamnit</t>
  </si>
  <si>
    <t>goddamnmuthafucker</t>
  </si>
  <si>
    <t>goldenshower</t>
  </si>
  <si>
    <t>gonorrehea</t>
  </si>
  <si>
    <t>gonzagas</t>
  </si>
  <si>
    <t>gook</t>
  </si>
  <si>
    <t>gotohell</t>
  </si>
  <si>
    <t>goy</t>
  </si>
  <si>
    <t>goyim</t>
  </si>
  <si>
    <t>greaseball</t>
  </si>
  <si>
    <t>gringo</t>
  </si>
  <si>
    <t>groe</t>
  </si>
  <si>
    <t>gross</t>
  </si>
  <si>
    <t>grostulation</t>
  </si>
  <si>
    <t>gubba</t>
  </si>
  <si>
    <t>gummer</t>
  </si>
  <si>
    <t>gun</t>
  </si>
  <si>
    <t>gyp</t>
  </si>
  <si>
    <t>gypo</t>
  </si>
  <si>
    <t>gypp</t>
  </si>
  <si>
    <t>gyppie</t>
  </si>
  <si>
    <t>gyppo</t>
  </si>
  <si>
    <t>gyppy</t>
  </si>
  <si>
    <t>hamas</t>
  </si>
  <si>
    <t>handjob</t>
  </si>
  <si>
    <t>hapa</t>
  </si>
  <si>
    <t>harder</t>
  </si>
  <si>
    <t>hardon</t>
  </si>
  <si>
    <t>harem</t>
  </si>
  <si>
    <t>headfuck</t>
  </si>
  <si>
    <t>headlights</t>
  </si>
  <si>
    <t>hebe</t>
  </si>
  <si>
    <t>heeb</t>
  </si>
  <si>
    <t>hell</t>
  </si>
  <si>
    <t>henhouse</t>
  </si>
  <si>
    <t>heroin</t>
  </si>
  <si>
    <t>herpes</t>
  </si>
  <si>
    <t>heterosexual</t>
  </si>
  <si>
    <t>hijack</t>
  </si>
  <si>
    <t>hijacker</t>
  </si>
  <si>
    <t>hijacking</t>
  </si>
  <si>
    <t>hillbillies</t>
  </si>
  <si>
    <t>hindoo</t>
  </si>
  <si>
    <t>hiscock</t>
  </si>
  <si>
    <t>hitler</t>
  </si>
  <si>
    <t>hitlerism</t>
  </si>
  <si>
    <t>hitlerist</t>
  </si>
  <si>
    <t>hiv</t>
  </si>
  <si>
    <t>ho</t>
  </si>
  <si>
    <t>hobo</t>
  </si>
  <si>
    <t>hodgie</t>
  </si>
  <si>
    <t>hoes</t>
  </si>
  <si>
    <t>hole</t>
  </si>
  <si>
    <t>holestuffer</t>
  </si>
  <si>
    <t>homicide</t>
  </si>
  <si>
    <t>homo</t>
  </si>
  <si>
    <t>homobangers</t>
  </si>
  <si>
    <t>homosexual</t>
  </si>
  <si>
    <t>honger</t>
  </si>
  <si>
    <t>honk</t>
  </si>
  <si>
    <t>honkers</t>
  </si>
  <si>
    <t>honkey</t>
  </si>
  <si>
    <t>honky</t>
  </si>
  <si>
    <t>hook</t>
  </si>
  <si>
    <t>hooker</t>
  </si>
  <si>
    <t>hookers</t>
  </si>
  <si>
    <t>hooters</t>
  </si>
  <si>
    <t>hore</t>
  </si>
  <si>
    <t>hork</t>
  </si>
  <si>
    <t>horn</t>
  </si>
  <si>
    <t>horney</t>
  </si>
  <si>
    <t>horniest</t>
  </si>
  <si>
    <t>horny</t>
  </si>
  <si>
    <t>horseshit</t>
  </si>
  <si>
    <t>hosejob</t>
  </si>
  <si>
    <t>hoser</t>
  </si>
  <si>
    <t>hostage</t>
  </si>
  <si>
    <t>hotdamn</t>
  </si>
  <si>
    <t>hotpussy</t>
  </si>
  <si>
    <t>hottotrot</t>
  </si>
  <si>
    <t>hummer</t>
  </si>
  <si>
    <t>husky</t>
  </si>
  <si>
    <t>hussy</t>
  </si>
  <si>
    <t>hustler</t>
  </si>
  <si>
    <t>hymen</t>
  </si>
  <si>
    <t>hymie</t>
  </si>
  <si>
    <t>iblowu</t>
  </si>
  <si>
    <t>idiot</t>
  </si>
  <si>
    <t>ikey</t>
  </si>
  <si>
    <t>illegal</t>
  </si>
  <si>
    <t>incest</t>
  </si>
  <si>
    <t>insest</t>
  </si>
  <si>
    <t>intercourse</t>
  </si>
  <si>
    <t>interracial</t>
  </si>
  <si>
    <t>intheass</t>
  </si>
  <si>
    <t>inthebuff</t>
  </si>
  <si>
    <t>israel</t>
  </si>
  <si>
    <t>israeli</t>
  </si>
  <si>
    <t>israel's</t>
  </si>
  <si>
    <t>italiano</t>
  </si>
  <si>
    <t>itch</t>
  </si>
  <si>
    <t>jackass</t>
  </si>
  <si>
    <t>jackoff</t>
  </si>
  <si>
    <t>jackshit</t>
  </si>
  <si>
    <t>jacktheripper</t>
  </si>
  <si>
    <t>jade</t>
  </si>
  <si>
    <t>jap</t>
  </si>
  <si>
    <t>japanese</t>
  </si>
  <si>
    <t>japcrap</t>
  </si>
  <si>
    <t>jebus</t>
  </si>
  <si>
    <t>jeez</t>
  </si>
  <si>
    <t>jerkoff</t>
  </si>
  <si>
    <t>jesus</t>
  </si>
  <si>
    <t>jesuschrist</t>
  </si>
  <si>
    <t>jew</t>
  </si>
  <si>
    <t>jewish</t>
  </si>
  <si>
    <t>jiga</t>
  </si>
  <si>
    <t>jigaboo</t>
  </si>
  <si>
    <t>jigg</t>
  </si>
  <si>
    <t>jigga</t>
  </si>
  <si>
    <t>jiggabo</t>
  </si>
  <si>
    <t>jigger</t>
  </si>
  <si>
    <t>jiggy</t>
  </si>
  <si>
    <t>jihad</t>
  </si>
  <si>
    <t>jijjiboo</t>
  </si>
  <si>
    <t>jimfish</t>
  </si>
  <si>
    <t>jism</t>
  </si>
  <si>
    <t>jiz</t>
  </si>
  <si>
    <t>jizim</t>
  </si>
  <si>
    <t>jizjuice</t>
  </si>
  <si>
    <t>jizm</t>
  </si>
  <si>
    <t>jizz</t>
  </si>
  <si>
    <t>jizzim</t>
  </si>
  <si>
    <t>jizzum</t>
  </si>
  <si>
    <t>joint</t>
  </si>
  <si>
    <t>juggalo</t>
  </si>
  <si>
    <t>jugs</t>
  </si>
  <si>
    <t>junglebunny</t>
  </si>
  <si>
    <t>kaffer</t>
  </si>
  <si>
    <t>kaffir</t>
  </si>
  <si>
    <t>kaffre</t>
  </si>
  <si>
    <t>kafir</t>
  </si>
  <si>
    <t>kanake</t>
  </si>
  <si>
    <t>kid</t>
  </si>
  <si>
    <t>kigger</t>
  </si>
  <si>
    <t>kike</t>
  </si>
  <si>
    <t>kill</t>
  </si>
  <si>
    <t>killed</t>
  </si>
  <si>
    <t>killer</t>
  </si>
  <si>
    <t>killing</t>
  </si>
  <si>
    <t>kills</t>
  </si>
  <si>
    <t>kink</t>
  </si>
  <si>
    <t>kinky</t>
  </si>
  <si>
    <t>kissass</t>
  </si>
  <si>
    <t>kkk</t>
  </si>
  <si>
    <t>knife</t>
  </si>
  <si>
    <t>knockers</t>
  </si>
  <si>
    <t>kock</t>
  </si>
  <si>
    <t>kondum</t>
  </si>
  <si>
    <t>koon</t>
  </si>
  <si>
    <t>kotex</t>
  </si>
  <si>
    <t>krap</t>
  </si>
  <si>
    <t>krappy</t>
  </si>
  <si>
    <t>kraut</t>
  </si>
  <si>
    <t>kum</t>
  </si>
  <si>
    <t>kumbubble</t>
  </si>
  <si>
    <t>kumbullbe</t>
  </si>
  <si>
    <t>kummer</t>
  </si>
  <si>
    <t>kumming</t>
  </si>
  <si>
    <t>kumquat</t>
  </si>
  <si>
    <t>kums</t>
  </si>
  <si>
    <t>kunilingus</t>
  </si>
  <si>
    <t>kunnilingus</t>
  </si>
  <si>
    <t>kunt</t>
  </si>
  <si>
    <t>ky</t>
  </si>
  <si>
    <t>kyke</t>
  </si>
  <si>
    <t>lactate</t>
  </si>
  <si>
    <t>laid</t>
  </si>
  <si>
    <t>lapdance</t>
  </si>
  <si>
    <t>latin</t>
  </si>
  <si>
    <t>lesbain</t>
  </si>
  <si>
    <t>lesbayn</t>
  </si>
  <si>
    <t>lesbian</t>
  </si>
  <si>
    <t>lesbin</t>
  </si>
  <si>
    <t>lesbo</t>
  </si>
  <si>
    <t>lez</t>
  </si>
  <si>
    <t>lezbe</t>
  </si>
  <si>
    <t>lezbefriends</t>
  </si>
  <si>
    <t>lezbo</t>
  </si>
  <si>
    <t>lezz</t>
  </si>
  <si>
    <t>lezzo</t>
  </si>
  <si>
    <t>liberal</t>
  </si>
  <si>
    <t>libido</t>
  </si>
  <si>
    <t>licker</t>
  </si>
  <si>
    <t>lickme</t>
  </si>
  <si>
    <t>lies</t>
  </si>
  <si>
    <t>limey</t>
  </si>
  <si>
    <t>limpdick</t>
  </si>
  <si>
    <t>limy</t>
  </si>
  <si>
    <t>lingerie</t>
  </si>
  <si>
    <t>liquor</t>
  </si>
  <si>
    <t>livesex</t>
  </si>
  <si>
    <t>loadedgun</t>
  </si>
  <si>
    <t>lolita</t>
  </si>
  <si>
    <t>looser</t>
  </si>
  <si>
    <t>loser</t>
  </si>
  <si>
    <t>lotion</t>
  </si>
  <si>
    <t>lovebone</t>
  </si>
  <si>
    <t>lovegoo</t>
  </si>
  <si>
    <t>lovegun</t>
  </si>
  <si>
    <t>lovejuice</t>
  </si>
  <si>
    <t>lovemuscle</t>
  </si>
  <si>
    <t>lovepistol</t>
  </si>
  <si>
    <t>loverocket</t>
  </si>
  <si>
    <t>lowlife</t>
  </si>
  <si>
    <t>lsd</t>
  </si>
  <si>
    <t>lubejob</t>
  </si>
  <si>
    <t>lucifer</t>
  </si>
  <si>
    <t>luckycammeltoe</t>
  </si>
  <si>
    <t>lugan</t>
  </si>
  <si>
    <t>lynch</t>
  </si>
  <si>
    <t>macaca</t>
  </si>
  <si>
    <t>mafia</t>
  </si>
  <si>
    <t>magicwand</t>
  </si>
  <si>
    <t>mams</t>
  </si>
  <si>
    <t>manhater</t>
  </si>
  <si>
    <t>manpaste</t>
  </si>
  <si>
    <t>marijuana</t>
  </si>
  <si>
    <t>mastabate</t>
  </si>
  <si>
    <t>mastabater</t>
  </si>
  <si>
    <t>masterbate</t>
  </si>
  <si>
    <t>masterblaster</t>
  </si>
  <si>
    <t>mastrabator</t>
  </si>
  <si>
    <t>masturbate</t>
  </si>
  <si>
    <t>masturbating</t>
  </si>
  <si>
    <t>mattressprincess</t>
  </si>
  <si>
    <t>meatbeatter</t>
  </si>
  <si>
    <t>meatrack</t>
  </si>
  <si>
    <t>meth</t>
  </si>
  <si>
    <t>mexican</t>
  </si>
  <si>
    <t>mgger</t>
  </si>
  <si>
    <t>mggor</t>
  </si>
  <si>
    <t>mickeyfinn</t>
  </si>
  <si>
    <t>mideast</t>
  </si>
  <si>
    <t>milf</t>
  </si>
  <si>
    <t>minority</t>
  </si>
  <si>
    <t>mockey</t>
  </si>
  <si>
    <t>mockie</t>
  </si>
  <si>
    <t>mocky</t>
  </si>
  <si>
    <t>mofo</t>
  </si>
  <si>
    <t>moky</t>
  </si>
  <si>
    <t>moles</t>
  </si>
  <si>
    <t>molest</t>
  </si>
  <si>
    <t>molestation</t>
  </si>
  <si>
    <t>molester</t>
  </si>
  <si>
    <t>molestor</t>
  </si>
  <si>
    <t>moneyshot</t>
  </si>
  <si>
    <t>mooncricket</t>
  </si>
  <si>
    <t>mormon</t>
  </si>
  <si>
    <t>moron</t>
  </si>
  <si>
    <t>moslem</t>
  </si>
  <si>
    <t>mosshead</t>
  </si>
  <si>
    <t>mothafuck</t>
  </si>
  <si>
    <t>mothafucka</t>
  </si>
  <si>
    <t>mothafuckaz</t>
  </si>
  <si>
    <t>mothafucked</t>
  </si>
  <si>
    <t>mothafucker</t>
  </si>
  <si>
    <t>mothafuckin</t>
  </si>
  <si>
    <t>mothafucking</t>
  </si>
  <si>
    <t>mothafuckings</t>
  </si>
  <si>
    <t>motherfuck</t>
  </si>
  <si>
    <t>motherfucked</t>
  </si>
  <si>
    <t>motherfucker</t>
  </si>
  <si>
    <t>motherfuckin</t>
  </si>
  <si>
    <t>motherfucking</t>
  </si>
  <si>
    <t>motherfuckings</t>
  </si>
  <si>
    <t>motherlovebone</t>
  </si>
  <si>
    <t>muff</t>
  </si>
  <si>
    <t>muffdive</t>
  </si>
  <si>
    <t>muffdiver</t>
  </si>
  <si>
    <t>muffindiver</t>
  </si>
  <si>
    <t>mufflikcer</t>
  </si>
  <si>
    <t>mulatto</t>
  </si>
  <si>
    <t>muncher</t>
  </si>
  <si>
    <t>munt</t>
  </si>
  <si>
    <t>murder</t>
  </si>
  <si>
    <t>murderer</t>
  </si>
  <si>
    <t>muslim</t>
  </si>
  <si>
    <t>naked</t>
  </si>
  <si>
    <t>narcotic</t>
  </si>
  <si>
    <t>nasty</t>
  </si>
  <si>
    <t>nastybitch</t>
  </si>
  <si>
    <t>nastyho</t>
  </si>
  <si>
    <t>nastyslut</t>
  </si>
  <si>
    <t>nastywhore</t>
  </si>
  <si>
    <t>nazi</t>
  </si>
  <si>
    <t>necro</t>
  </si>
  <si>
    <t>negro</t>
  </si>
  <si>
    <t>negroes</t>
  </si>
  <si>
    <t>negroid</t>
  </si>
  <si>
    <t>negro's</t>
  </si>
  <si>
    <t>nig</t>
  </si>
  <si>
    <t>niger</t>
  </si>
  <si>
    <t>nigerian</t>
  </si>
  <si>
    <t>nigerians</t>
  </si>
  <si>
    <t>nigg</t>
  </si>
  <si>
    <t>nigga</t>
  </si>
  <si>
    <t>niggah</t>
  </si>
  <si>
    <t>niggaracci</t>
  </si>
  <si>
    <t>niggard</t>
  </si>
  <si>
    <t>niggarded</t>
  </si>
  <si>
    <t>niggarding</t>
  </si>
  <si>
    <t>niggardliness</t>
  </si>
  <si>
    <t>niggardliness's</t>
  </si>
  <si>
    <t>niggardly</t>
  </si>
  <si>
    <t>niggards</t>
  </si>
  <si>
    <t>niggard's</t>
  </si>
  <si>
    <t>niggaz</t>
  </si>
  <si>
    <t>nigger</t>
  </si>
  <si>
    <t>niggerhead</t>
  </si>
  <si>
    <t>niggerhole</t>
  </si>
  <si>
    <t>niggers</t>
  </si>
  <si>
    <t>nigger's</t>
  </si>
  <si>
    <t>niggle</t>
  </si>
  <si>
    <t>niggled</t>
  </si>
  <si>
    <t>niggles</t>
  </si>
  <si>
    <t>niggling</t>
  </si>
  <si>
    <t>nigglings</t>
  </si>
  <si>
    <t>niggor</t>
  </si>
  <si>
    <t>niggur</t>
  </si>
  <si>
    <t>niglet</t>
  </si>
  <si>
    <t>nignog</t>
  </si>
  <si>
    <t>nigr</t>
  </si>
  <si>
    <t>nigra</t>
  </si>
  <si>
    <t>nigre</t>
  </si>
  <si>
    <t>nip</t>
  </si>
  <si>
    <t>nipple</t>
  </si>
  <si>
    <t>nipplering</t>
  </si>
  <si>
    <t>nittit</t>
  </si>
  <si>
    <t>nlgger</t>
  </si>
  <si>
    <t>nlggor</t>
  </si>
  <si>
    <t>nofuckingway</t>
  </si>
  <si>
    <t>nook</t>
  </si>
  <si>
    <t>nookey</t>
  </si>
  <si>
    <t>nookie</t>
  </si>
  <si>
    <t>noonan</t>
  </si>
  <si>
    <t>nooner</t>
  </si>
  <si>
    <t>nude</t>
  </si>
  <si>
    <t>nudger</t>
  </si>
  <si>
    <t>nuke</t>
  </si>
  <si>
    <t>nutfucker</t>
  </si>
  <si>
    <t>nymph</t>
  </si>
  <si>
    <t>ontherag</t>
  </si>
  <si>
    <t>oral</t>
  </si>
  <si>
    <t>orga</t>
  </si>
  <si>
    <t>orgasim</t>
  </si>
  <si>
    <t>orgasm</t>
  </si>
  <si>
    <t>orgies</t>
  </si>
  <si>
    <t>orgy</t>
  </si>
  <si>
    <t>osama</t>
  </si>
  <si>
    <t>paki</t>
  </si>
  <si>
    <t>palesimian</t>
  </si>
  <si>
    <t>palestinian</t>
  </si>
  <si>
    <t>pansies</t>
  </si>
  <si>
    <t>pansy</t>
  </si>
  <si>
    <t>panti</t>
  </si>
  <si>
    <t>panties</t>
  </si>
  <si>
    <t>payo</t>
  </si>
  <si>
    <t>pearlnecklace</t>
  </si>
  <si>
    <t>peck</t>
  </si>
  <si>
    <t>pecker</t>
  </si>
  <si>
    <t>peckerwood</t>
  </si>
  <si>
    <t>pee</t>
  </si>
  <si>
    <t>peehole</t>
  </si>
  <si>
    <t>pee-pee</t>
  </si>
  <si>
    <t>peepshow</t>
  </si>
  <si>
    <t>peepshpw</t>
  </si>
  <si>
    <t>pendy</t>
  </si>
  <si>
    <t>penetration</t>
  </si>
  <si>
    <t>peni5</t>
  </si>
  <si>
    <t>penile</t>
  </si>
  <si>
    <t>penis</t>
  </si>
  <si>
    <t>penises</t>
  </si>
  <si>
    <t>penthouse</t>
  </si>
  <si>
    <t>period</t>
  </si>
  <si>
    <t>perv</t>
  </si>
  <si>
    <t>phonesex</t>
  </si>
  <si>
    <t>phuk</t>
  </si>
  <si>
    <t>phuked</t>
  </si>
  <si>
    <t>phuking</t>
  </si>
  <si>
    <t>phukked</t>
  </si>
  <si>
    <t>phukking</t>
  </si>
  <si>
    <t>phungky</t>
  </si>
  <si>
    <t>phuq</t>
  </si>
  <si>
    <t>pi55</t>
  </si>
  <si>
    <t>picaninny</t>
  </si>
  <si>
    <t>piccaninny</t>
  </si>
  <si>
    <t>pickaninny</t>
  </si>
  <si>
    <t>piker</t>
  </si>
  <si>
    <t>pikey</t>
  </si>
  <si>
    <t>piky</t>
  </si>
  <si>
    <t>pimp</t>
  </si>
  <si>
    <t>pimped</t>
  </si>
  <si>
    <t>pimper</t>
  </si>
  <si>
    <t>pimpjuic</t>
  </si>
  <si>
    <t>pimpjuice</t>
  </si>
  <si>
    <t>pimpsimp</t>
  </si>
  <si>
    <t>pindick</t>
  </si>
  <si>
    <t>piss</t>
  </si>
  <si>
    <t>pissed</t>
  </si>
  <si>
    <t>pisser</t>
  </si>
  <si>
    <t>pisses</t>
  </si>
  <si>
    <t>pisshead</t>
  </si>
  <si>
    <t>pissin</t>
  </si>
  <si>
    <t>pissing</t>
  </si>
  <si>
    <t>pissoff</t>
  </si>
  <si>
    <t>pistol</t>
  </si>
  <si>
    <t>pixie</t>
  </si>
  <si>
    <t>pixy</t>
  </si>
  <si>
    <t>playboy</t>
  </si>
  <si>
    <t>playgirl</t>
  </si>
  <si>
    <t>pocha</t>
  </si>
  <si>
    <t>pocho</t>
  </si>
  <si>
    <t>pocketpool</t>
  </si>
  <si>
    <t>pohm</t>
  </si>
  <si>
    <t>polack</t>
  </si>
  <si>
    <t>pom</t>
  </si>
  <si>
    <t>pommie</t>
  </si>
  <si>
    <t>pommy</t>
  </si>
  <si>
    <t>poo</t>
  </si>
  <si>
    <t>poon</t>
  </si>
  <si>
    <t>poontang</t>
  </si>
  <si>
    <t>poop</t>
  </si>
  <si>
    <t>pooper</t>
  </si>
  <si>
    <t>pooperscooper</t>
  </si>
  <si>
    <t>pooping</t>
  </si>
  <si>
    <t>poorwhitetrash</t>
  </si>
  <si>
    <t>popimp</t>
  </si>
  <si>
    <t>porchmonkey</t>
  </si>
  <si>
    <t>porn</t>
  </si>
  <si>
    <t>pornflick</t>
  </si>
  <si>
    <t>pornking</t>
  </si>
  <si>
    <t>porno</t>
  </si>
  <si>
    <t>pornography</t>
  </si>
  <si>
    <t>pornprincess</t>
  </si>
  <si>
    <t>pot</t>
  </si>
  <si>
    <t>poverty</t>
  </si>
  <si>
    <t>premature</t>
  </si>
  <si>
    <t>pric</t>
  </si>
  <si>
    <t>prick</t>
  </si>
  <si>
    <t>prickhead</t>
  </si>
  <si>
    <t>primetime</t>
  </si>
  <si>
    <t>propaganda</t>
  </si>
  <si>
    <t>pros</t>
  </si>
  <si>
    <t>prostitute</t>
  </si>
  <si>
    <t>protestant</t>
  </si>
  <si>
    <t>pu55i</t>
  </si>
  <si>
    <t>pu55y</t>
  </si>
  <si>
    <t>pube</t>
  </si>
  <si>
    <t>pubic</t>
  </si>
  <si>
    <t>pubiclice</t>
  </si>
  <si>
    <t>pud</t>
  </si>
  <si>
    <t>pudboy</t>
  </si>
  <si>
    <t>pudd</t>
  </si>
  <si>
    <t>puddboy</t>
  </si>
  <si>
    <t>puke</t>
  </si>
  <si>
    <t>puntang</t>
  </si>
  <si>
    <t>purinapricness</t>
  </si>
  <si>
    <t>puss</t>
  </si>
  <si>
    <t>pussie</t>
  </si>
  <si>
    <t>pussies</t>
  </si>
  <si>
    <t>pussy</t>
  </si>
  <si>
    <t>pussycat</t>
  </si>
  <si>
    <t>pussyeater</t>
  </si>
  <si>
    <t>pussyfucker</t>
  </si>
  <si>
    <t>pussylicker</t>
  </si>
  <si>
    <t>pussylips</t>
  </si>
  <si>
    <t>pussylover</t>
  </si>
  <si>
    <t>pussypounder</t>
  </si>
  <si>
    <t>pusy</t>
  </si>
  <si>
    <t>quashie</t>
  </si>
  <si>
    <t>queef</t>
  </si>
  <si>
    <t>queer</t>
  </si>
  <si>
    <t>quickie</t>
  </si>
  <si>
    <t>quim</t>
  </si>
  <si>
    <t>ra8s</t>
  </si>
  <si>
    <t>rabbi</t>
  </si>
  <si>
    <t>racial</t>
  </si>
  <si>
    <t>racist</t>
  </si>
  <si>
    <t>radical</t>
  </si>
  <si>
    <t>radicals</t>
  </si>
  <si>
    <t>raghead</t>
  </si>
  <si>
    <t>randy</t>
  </si>
  <si>
    <t>rape</t>
  </si>
  <si>
    <t>raped</t>
  </si>
  <si>
    <t>raper</t>
  </si>
  <si>
    <t>rapist</t>
  </si>
  <si>
    <t>rearend</t>
  </si>
  <si>
    <t>rearentry</t>
  </si>
  <si>
    <t>rectum</t>
  </si>
  <si>
    <t>redlight</t>
  </si>
  <si>
    <t>redneck</t>
  </si>
  <si>
    <t>reefer</t>
  </si>
  <si>
    <t>reestie</t>
  </si>
  <si>
    <t>refugee</t>
  </si>
  <si>
    <t>reject</t>
  </si>
  <si>
    <t>remains</t>
  </si>
  <si>
    <t>rentafuck</t>
  </si>
  <si>
    <t>republican</t>
  </si>
  <si>
    <t>rere</t>
  </si>
  <si>
    <t>retard</t>
  </si>
  <si>
    <t>retarded</t>
  </si>
  <si>
    <t>ribbed</t>
  </si>
  <si>
    <t>rigger</t>
  </si>
  <si>
    <t>rimjob</t>
  </si>
  <si>
    <t>rimming</t>
  </si>
  <si>
    <t>roach</t>
  </si>
  <si>
    <t>robber</t>
  </si>
  <si>
    <t>roundeye</t>
  </si>
  <si>
    <t>rump</t>
  </si>
  <si>
    <t>russki</t>
  </si>
  <si>
    <t>russkie</t>
  </si>
  <si>
    <t>sadis</t>
  </si>
  <si>
    <t>sadom</t>
  </si>
  <si>
    <t>samckdaddy</t>
  </si>
  <si>
    <t>sandm</t>
  </si>
  <si>
    <t>sandnigger</t>
  </si>
  <si>
    <t>satan</t>
  </si>
  <si>
    <t>scag</t>
  </si>
  <si>
    <t>scallywag</t>
  </si>
  <si>
    <t>scat</t>
  </si>
  <si>
    <t>schlong</t>
  </si>
  <si>
    <t>screw</t>
  </si>
  <si>
    <t>screwyou</t>
  </si>
  <si>
    <t>scrotum</t>
  </si>
  <si>
    <t>scum</t>
  </si>
  <si>
    <t>semen</t>
  </si>
  <si>
    <t>seppo</t>
  </si>
  <si>
    <t>servant</t>
  </si>
  <si>
    <t>sex</t>
  </si>
  <si>
    <t>sexed</t>
  </si>
  <si>
    <t>sexfarm</t>
  </si>
  <si>
    <t>sexhound</t>
  </si>
  <si>
    <t>sexhouse</t>
  </si>
  <si>
    <t>sexing</t>
  </si>
  <si>
    <t>sexkitten</t>
  </si>
  <si>
    <t>sexpot</t>
  </si>
  <si>
    <t>sexslave</t>
  </si>
  <si>
    <t>sextogo</t>
  </si>
  <si>
    <t>sextoy</t>
  </si>
  <si>
    <t>sextoys</t>
  </si>
  <si>
    <t>sexual</t>
  </si>
  <si>
    <t>sexually</t>
  </si>
  <si>
    <t>sexwhore</t>
  </si>
  <si>
    <t>sexy</t>
  </si>
  <si>
    <t>sexymoma</t>
  </si>
  <si>
    <t>sexy-slim</t>
  </si>
  <si>
    <t>shag</t>
  </si>
  <si>
    <t>shaggin</t>
  </si>
  <si>
    <t>shagging</t>
  </si>
  <si>
    <t>shat</t>
  </si>
  <si>
    <t>shav</t>
  </si>
  <si>
    <t>shawtypimp</t>
  </si>
  <si>
    <t>sheeney</t>
  </si>
  <si>
    <t>shhit</t>
  </si>
  <si>
    <t>shinola</t>
  </si>
  <si>
    <t>shit</t>
  </si>
  <si>
    <t>shitcan</t>
  </si>
  <si>
    <t>shitdick</t>
  </si>
  <si>
    <t>shite</t>
  </si>
  <si>
    <t>shiteater</t>
  </si>
  <si>
    <t>shited</t>
  </si>
  <si>
    <t>shitface</t>
  </si>
  <si>
    <t>shitfaced</t>
  </si>
  <si>
    <t>shitfit</t>
  </si>
  <si>
    <t>shitforbrains</t>
  </si>
  <si>
    <t>shitfuck</t>
  </si>
  <si>
    <t>shitfucker</t>
  </si>
  <si>
    <t>shitfull</t>
  </si>
  <si>
    <t>shithapens</t>
  </si>
  <si>
    <t>shithappens</t>
  </si>
  <si>
    <t>shithead</t>
  </si>
  <si>
    <t>shithouse</t>
  </si>
  <si>
    <t>shiting</t>
  </si>
  <si>
    <t>shitlist</t>
  </si>
  <si>
    <t>shitola</t>
  </si>
  <si>
    <t>shitoutofluck</t>
  </si>
  <si>
    <t>shits</t>
  </si>
  <si>
    <t>shitstain</t>
  </si>
  <si>
    <t>shitted</t>
  </si>
  <si>
    <t>shitter</t>
  </si>
  <si>
    <t>shitting</t>
  </si>
  <si>
    <t>shitty</t>
  </si>
  <si>
    <t>shooting</t>
  </si>
  <si>
    <t>shortfuck</t>
  </si>
  <si>
    <t>showtime</t>
  </si>
  <si>
    <t>sick</t>
  </si>
  <si>
    <t>sissy</t>
  </si>
  <si>
    <t>sixsixsix</t>
  </si>
  <si>
    <t>sixtynine</t>
  </si>
  <si>
    <t>sixtyniner</t>
  </si>
  <si>
    <t>skank</t>
  </si>
  <si>
    <t>skankbitch</t>
  </si>
  <si>
    <t>skankfuck</t>
  </si>
  <si>
    <t>skankwhore</t>
  </si>
  <si>
    <t>skanky</t>
  </si>
  <si>
    <t>skankybitch</t>
  </si>
  <si>
    <t>skankywhore</t>
  </si>
  <si>
    <t>skinflute</t>
  </si>
  <si>
    <t>skum</t>
  </si>
  <si>
    <t>skumbag</t>
  </si>
  <si>
    <t>slant</t>
  </si>
  <si>
    <t>slanteye</t>
  </si>
  <si>
    <t>slapper</t>
  </si>
  <si>
    <t>slaughter</t>
  </si>
  <si>
    <t>slav</t>
  </si>
  <si>
    <t>slave</t>
  </si>
  <si>
    <t>slavedriver</t>
  </si>
  <si>
    <t>sleezebag</t>
  </si>
  <si>
    <t>sleezeball</t>
  </si>
  <si>
    <t>slideitin</t>
  </si>
  <si>
    <t>slime</t>
  </si>
  <si>
    <t>slimeball</t>
  </si>
  <si>
    <t>slimebucket</t>
  </si>
  <si>
    <t>slopehead</t>
  </si>
  <si>
    <t>slopey</t>
  </si>
  <si>
    <t>slopy</t>
  </si>
  <si>
    <t>slut</t>
  </si>
  <si>
    <t>sluts</t>
  </si>
  <si>
    <t>slutt</t>
  </si>
  <si>
    <t>slutting</t>
  </si>
  <si>
    <t>slutty</t>
  </si>
  <si>
    <t>slutwear</t>
  </si>
  <si>
    <t>slutwhore</t>
  </si>
  <si>
    <t>smack</t>
  </si>
  <si>
    <t>smackthemonkey</t>
  </si>
  <si>
    <t>smut</t>
  </si>
  <si>
    <t>snatch</t>
  </si>
  <si>
    <t>snatchpatch</t>
  </si>
  <si>
    <t>snigger</t>
  </si>
  <si>
    <t>sniggered</t>
  </si>
  <si>
    <t>sniggering</t>
  </si>
  <si>
    <t>sniggers</t>
  </si>
  <si>
    <t>snigger's</t>
  </si>
  <si>
    <t>sniper</t>
  </si>
  <si>
    <t>snot</t>
  </si>
  <si>
    <t>snowback</t>
  </si>
  <si>
    <t>snownigger</t>
  </si>
  <si>
    <t>sob</t>
  </si>
  <si>
    <t>sodom</t>
  </si>
  <si>
    <t>sodomise</t>
  </si>
  <si>
    <t>sodomite</t>
  </si>
  <si>
    <t>sodomize</t>
  </si>
  <si>
    <t>sodomy</t>
  </si>
  <si>
    <t>sonofabitch</t>
  </si>
  <si>
    <t>sonofbitch</t>
  </si>
  <si>
    <t>sooty</t>
  </si>
  <si>
    <t>sos</t>
  </si>
  <si>
    <t>soviet</t>
  </si>
  <si>
    <t>spaghettibender</t>
  </si>
  <si>
    <t>spaghettinigger</t>
  </si>
  <si>
    <t>spank</t>
  </si>
  <si>
    <t>spankthemonkey</t>
  </si>
  <si>
    <t>sperm</t>
  </si>
  <si>
    <t>spermacide</t>
  </si>
  <si>
    <t>spermbag</t>
  </si>
  <si>
    <t>spermhearder</t>
  </si>
  <si>
    <t>spermherder</t>
  </si>
  <si>
    <t>spic</t>
  </si>
  <si>
    <t>spick</t>
  </si>
  <si>
    <t>spig</t>
  </si>
  <si>
    <t>spigotty</t>
  </si>
  <si>
    <t>spik</t>
  </si>
  <si>
    <t>spit</t>
  </si>
  <si>
    <t>spitter</t>
  </si>
  <si>
    <t>splittail</t>
  </si>
  <si>
    <t>spooge</t>
  </si>
  <si>
    <t>spreadeagle</t>
  </si>
  <si>
    <t>spunk</t>
  </si>
  <si>
    <t>spunky</t>
  </si>
  <si>
    <t>squaw</t>
  </si>
  <si>
    <t>stagg</t>
  </si>
  <si>
    <t>stiffy</t>
  </si>
  <si>
    <t>strapon</t>
  </si>
  <si>
    <t>stringer</t>
  </si>
  <si>
    <t>stripclub</t>
  </si>
  <si>
    <t>stroke</t>
  </si>
  <si>
    <t>stroking</t>
  </si>
  <si>
    <t>stupid</t>
  </si>
  <si>
    <t>stupidfuck</t>
  </si>
  <si>
    <t>stupidfucker</t>
  </si>
  <si>
    <t>suck</t>
  </si>
  <si>
    <t>suckdick</t>
  </si>
  <si>
    <t>sucker</t>
  </si>
  <si>
    <t>suckme</t>
  </si>
  <si>
    <t>suckmyass</t>
  </si>
  <si>
    <t>suckmydick</t>
  </si>
  <si>
    <t>suckmytit</t>
  </si>
  <si>
    <t>suckoff</t>
  </si>
  <si>
    <t>suicide</t>
  </si>
  <si>
    <t>swallow</t>
  </si>
  <si>
    <t>swallower</t>
  </si>
  <si>
    <t>swalow</t>
  </si>
  <si>
    <t>swastika</t>
  </si>
  <si>
    <t>sweetness</t>
  </si>
  <si>
    <t>syphilis</t>
  </si>
  <si>
    <t>taboo</t>
  </si>
  <si>
    <t>taff</t>
  </si>
  <si>
    <t>tampon</t>
  </si>
  <si>
    <t>tang</t>
  </si>
  <si>
    <t>tantra</t>
  </si>
  <si>
    <t>tarbaby</t>
  </si>
  <si>
    <t>tard</t>
  </si>
  <si>
    <t>teat</t>
  </si>
  <si>
    <t>terror</t>
  </si>
  <si>
    <t>terrorist</t>
  </si>
  <si>
    <t>teste</t>
  </si>
  <si>
    <t>testicle</t>
  </si>
  <si>
    <t>testicles</t>
  </si>
  <si>
    <t>thicklips</t>
  </si>
  <si>
    <t>thirdeye</t>
  </si>
  <si>
    <t>thirdleg</t>
  </si>
  <si>
    <t>threesome</t>
  </si>
  <si>
    <t>threeway</t>
  </si>
  <si>
    <t>timbernigger</t>
  </si>
  <si>
    <t>tinkle</t>
  </si>
  <si>
    <t>tit</t>
  </si>
  <si>
    <t>titbitnipply</t>
  </si>
  <si>
    <t>titfuck</t>
  </si>
  <si>
    <t>titfucker</t>
  </si>
  <si>
    <t>titfuckin</t>
  </si>
  <si>
    <t>titjob</t>
  </si>
  <si>
    <t>titlicker</t>
  </si>
  <si>
    <t>titlover</t>
  </si>
  <si>
    <t>tits</t>
  </si>
  <si>
    <t>tittie</t>
  </si>
  <si>
    <t>titties</t>
  </si>
  <si>
    <t>titty</t>
  </si>
  <si>
    <t>tnt</t>
  </si>
  <si>
    <t>toilet</t>
  </si>
  <si>
    <t>tongethruster</t>
  </si>
  <si>
    <t>tongue</t>
  </si>
  <si>
    <t>tonguethrust</t>
  </si>
  <si>
    <t>tonguetramp</t>
  </si>
  <si>
    <t>tortur</t>
  </si>
  <si>
    <t>torture</t>
  </si>
  <si>
    <t>tosser</t>
  </si>
  <si>
    <t>towelhead</t>
  </si>
  <si>
    <t>trailertrash</t>
  </si>
  <si>
    <t>tramp</t>
  </si>
  <si>
    <t>trannie</t>
  </si>
  <si>
    <t>tranny</t>
  </si>
  <si>
    <t>transexual</t>
  </si>
  <si>
    <t>transsexual</t>
  </si>
  <si>
    <t>transvestite</t>
  </si>
  <si>
    <t>triplex</t>
  </si>
  <si>
    <t>trisexual</t>
  </si>
  <si>
    <t>trojan</t>
  </si>
  <si>
    <t>trots</t>
  </si>
  <si>
    <t>tuckahoe</t>
  </si>
  <si>
    <t>tunneloflove</t>
  </si>
  <si>
    <t>turd</t>
  </si>
  <si>
    <t>turnon</t>
  </si>
  <si>
    <t>twat</t>
  </si>
  <si>
    <t>twink</t>
  </si>
  <si>
    <t>twinkie</t>
  </si>
  <si>
    <t>twobitwhore</t>
  </si>
  <si>
    <t>uck</t>
  </si>
  <si>
    <t>uk</t>
  </si>
  <si>
    <t>unfuckable</t>
  </si>
  <si>
    <t>upskirt</t>
  </si>
  <si>
    <t>uptheass</t>
  </si>
  <si>
    <t>upthebutt</t>
  </si>
  <si>
    <t>urinary</t>
  </si>
  <si>
    <t>urine</t>
  </si>
  <si>
    <t>usama</t>
  </si>
  <si>
    <t>uterus</t>
  </si>
  <si>
    <t>vagina</t>
  </si>
  <si>
    <t>vaginal</t>
  </si>
  <si>
    <t>vatican</t>
  </si>
  <si>
    <t>vibr</t>
  </si>
  <si>
    <t>vibrater</t>
  </si>
  <si>
    <t>vibrator</t>
  </si>
  <si>
    <t>vietcong</t>
  </si>
  <si>
    <t>violence</t>
  </si>
  <si>
    <t>virgin</t>
  </si>
  <si>
    <t>virginbreaker</t>
  </si>
  <si>
    <t>vomit</t>
  </si>
  <si>
    <t>vulva</t>
  </si>
  <si>
    <t>wab</t>
  </si>
  <si>
    <t>wank</t>
  </si>
  <si>
    <t>wanker</t>
  </si>
  <si>
    <t>wanking</t>
  </si>
  <si>
    <t>waysted</t>
  </si>
  <si>
    <t>weapon</t>
  </si>
  <si>
    <t>weenie</t>
  </si>
  <si>
    <t>weewee</t>
  </si>
  <si>
    <t>welcher</t>
  </si>
  <si>
    <t>welfare</t>
  </si>
  <si>
    <t>wetb</t>
  </si>
  <si>
    <t>wetback</t>
  </si>
  <si>
    <t>wetspot</t>
  </si>
  <si>
    <t>whacker</t>
  </si>
  <si>
    <t>whash</t>
  </si>
  <si>
    <t>whigger</t>
  </si>
  <si>
    <t>whiskey</t>
  </si>
  <si>
    <t>whiskeydick</t>
  </si>
  <si>
    <t>whiskydick</t>
  </si>
  <si>
    <t>whit</t>
  </si>
  <si>
    <t>whitenigger</t>
  </si>
  <si>
    <t>whites</t>
  </si>
  <si>
    <t>whitetrash</t>
  </si>
  <si>
    <t>whitey</t>
  </si>
  <si>
    <t>whiz</t>
  </si>
  <si>
    <t>whop</t>
  </si>
  <si>
    <t>whore</t>
  </si>
  <si>
    <t>whorefucker</t>
  </si>
  <si>
    <t>whorehouse</t>
  </si>
  <si>
    <t>wigger</t>
  </si>
  <si>
    <t>willie</t>
  </si>
  <si>
    <t>williewanker</t>
  </si>
  <si>
    <t>willy</t>
  </si>
  <si>
    <t>wn</t>
  </si>
  <si>
    <t>wog</t>
  </si>
  <si>
    <t>women's</t>
  </si>
  <si>
    <t>wop</t>
  </si>
  <si>
    <t>wtf</t>
  </si>
  <si>
    <t>wuss</t>
  </si>
  <si>
    <t>wuzzie</t>
  </si>
  <si>
    <t>xtc</t>
  </si>
  <si>
    <t>xxx</t>
  </si>
  <si>
    <t>yankee</t>
  </si>
  <si>
    <t>yellowman</t>
  </si>
  <si>
    <t>zigabo</t>
  </si>
  <si>
    <t>zipperhead</t>
  </si>
  <si>
    <t>saved_phrases</t>
  </si>
  <si>
    <t>I need to use the bathroom</t>
  </si>
  <si>
    <t>pos_id</t>
  </si>
  <si>
    <t>pos</t>
  </si>
  <si>
    <t>NOU</t>
  </si>
  <si>
    <t>noun</t>
  </si>
  <si>
    <t>PRO</t>
  </si>
  <si>
    <t>pronoun</t>
  </si>
  <si>
    <t>ADJ</t>
  </si>
  <si>
    <t>adjective</t>
  </si>
  <si>
    <t>ADV</t>
  </si>
  <si>
    <t>adverb</t>
  </si>
  <si>
    <t>PREP</t>
  </si>
  <si>
    <t>preposition</t>
  </si>
  <si>
    <t>CONJ</t>
  </si>
  <si>
    <t>conjuction</t>
  </si>
  <si>
    <t>ART</t>
  </si>
  <si>
    <t>article</t>
  </si>
  <si>
    <t>VRB</t>
  </si>
  <si>
    <t>verb</t>
  </si>
  <si>
    <t>word_id</t>
  </si>
  <si>
    <t>comparative</t>
  </si>
  <si>
    <t>superlative</t>
  </si>
  <si>
    <t>Redder</t>
  </si>
  <si>
    <t>Reddest</t>
  </si>
  <si>
    <t>Bluer</t>
  </si>
  <si>
    <t>Bluest</t>
  </si>
  <si>
    <t>Yellower</t>
  </si>
  <si>
    <t>Yellowest</t>
  </si>
  <si>
    <t>Browner</t>
  </si>
  <si>
    <t>Brownest</t>
  </si>
  <si>
    <t>Blacker</t>
  </si>
  <si>
    <t>Blackest</t>
  </si>
  <si>
    <t>Oranger</t>
  </si>
  <si>
    <t>Orangest</t>
  </si>
  <si>
    <t>Pinker</t>
  </si>
  <si>
    <t>Pinkest</t>
  </si>
  <si>
    <t>Greener</t>
  </si>
  <si>
    <t>Greenest</t>
  </si>
  <si>
    <t>Whiter</t>
  </si>
  <si>
    <t>Whitest</t>
  </si>
  <si>
    <t>Happier</t>
  </si>
  <si>
    <t>Happiest</t>
  </si>
  <si>
    <t>Sadder</t>
  </si>
  <si>
    <t>Saddest</t>
  </si>
  <si>
    <t>Angrier</t>
  </si>
  <si>
    <t>Angriest</t>
  </si>
  <si>
    <t>More excited</t>
  </si>
  <si>
    <t>Most excited</t>
  </si>
  <si>
    <t>More nervous</t>
  </si>
  <si>
    <t>Most nervous</t>
  </si>
  <si>
    <t>More scared</t>
  </si>
  <si>
    <t>Most scared</t>
  </si>
  <si>
    <t>More bored</t>
  </si>
  <si>
    <t>Most bored</t>
  </si>
  <si>
    <t>More curious</t>
  </si>
  <si>
    <t>Most curious</t>
  </si>
  <si>
    <t>Prouder</t>
  </si>
  <si>
    <t>Proudest</t>
  </si>
  <si>
    <t>More frustrated</t>
  </si>
  <si>
    <t>Most frustrated</t>
  </si>
  <si>
    <t>More surprised</t>
  </si>
  <si>
    <t>Most surprised</t>
  </si>
  <si>
    <t>More confused</t>
  </si>
  <si>
    <t>Most confused</t>
  </si>
  <si>
    <t>More embarrassed</t>
  </si>
  <si>
    <t>Most embarrassed</t>
  </si>
  <si>
    <t>More grateful</t>
  </si>
  <si>
    <t>Most grateful</t>
  </si>
  <si>
    <t>More jealous</t>
  </si>
  <si>
    <t>Most jealous</t>
  </si>
  <si>
    <t>Lonelier</t>
  </si>
  <si>
    <t>Loneliest</t>
  </si>
  <si>
    <t>More worried</t>
  </si>
  <si>
    <t>Most worried</t>
  </si>
  <si>
    <t>Larger</t>
  </si>
  <si>
    <t>Largest</t>
  </si>
  <si>
    <t>Bigger</t>
  </si>
  <si>
    <t>Biggest</t>
  </si>
  <si>
    <t>Tinier</t>
  </si>
  <si>
    <t>Tiniest</t>
  </si>
  <si>
    <t>Prettier</t>
  </si>
  <si>
    <t>Prettiest</t>
  </si>
  <si>
    <t>Nicer</t>
  </si>
  <si>
    <t>Nicest</t>
  </si>
  <si>
    <t>Quicker</t>
  </si>
  <si>
    <t>Quickest</t>
  </si>
  <si>
    <t>More silent</t>
  </si>
  <si>
    <t>Most silent</t>
  </si>
  <si>
    <t>Madder</t>
  </si>
  <si>
    <t>Maddest</t>
  </si>
  <si>
    <t>Noisier</t>
  </si>
  <si>
    <t>Noisiest</t>
  </si>
  <si>
    <t>Iller</t>
  </si>
  <si>
    <t>Illest</t>
  </si>
  <si>
    <t>Funnier</t>
  </si>
  <si>
    <t>Funniest</t>
  </si>
  <si>
    <t>Hotter</t>
  </si>
  <si>
    <t>Hottest</t>
  </si>
  <si>
    <t>Warmer</t>
  </si>
  <si>
    <t>Warmest</t>
  </si>
  <si>
    <t>Smarter</t>
  </si>
  <si>
    <t>Smartest</t>
  </si>
  <si>
    <t>More beautiful</t>
  </si>
  <si>
    <t>Most beautiful</t>
  </si>
  <si>
    <t>More playful</t>
  </si>
  <si>
    <t>Most playful</t>
  </si>
  <si>
    <t>More amazing</t>
  </si>
  <si>
    <t>Most amazing</t>
  </si>
  <si>
    <t>Friendlier</t>
  </si>
  <si>
    <t>Friendliest</t>
  </si>
  <si>
    <t>More helpful</t>
  </si>
  <si>
    <t>Most helpful</t>
  </si>
  <si>
    <t>More talkative</t>
  </si>
  <si>
    <t>Most talkative</t>
  </si>
  <si>
    <t>More original</t>
  </si>
  <si>
    <t>Most original</t>
  </si>
  <si>
    <t>More special</t>
  </si>
  <si>
    <t>Most special</t>
  </si>
  <si>
    <t>More creative</t>
  </si>
  <si>
    <t>Most creative</t>
  </si>
  <si>
    <t>Rarer</t>
  </si>
  <si>
    <t>Rarest</t>
  </si>
  <si>
    <t>More different</t>
  </si>
  <si>
    <t>Most different</t>
  </si>
  <si>
    <t>Greater</t>
  </si>
  <si>
    <t>Greatest</t>
  </si>
  <si>
    <t>Lesser</t>
  </si>
  <si>
    <t>Least</t>
  </si>
  <si>
    <t>Taller</t>
  </si>
  <si>
    <t>Tallest</t>
  </si>
  <si>
    <t>Shorter</t>
  </si>
  <si>
    <t>Shortest</t>
  </si>
  <si>
    <t>Longer</t>
  </si>
  <si>
    <t>Longest</t>
  </si>
  <si>
    <t>Heavier</t>
  </si>
  <si>
    <t>Heaviest</t>
  </si>
  <si>
    <t>Lighter</t>
  </si>
  <si>
    <t>Lightest</t>
  </si>
  <si>
    <t>Wider</t>
  </si>
  <si>
    <t>Widest</t>
  </si>
  <si>
    <t>Narrower</t>
  </si>
  <si>
    <t>Narrowest</t>
  </si>
  <si>
    <t>Rounder</t>
  </si>
  <si>
    <t>Roundest</t>
  </si>
  <si>
    <t>Squarer</t>
  </si>
  <si>
    <t>Squarest</t>
  </si>
  <si>
    <t>More triangular</t>
  </si>
  <si>
    <t>Most triangular</t>
  </si>
  <si>
    <t>More rectangular</t>
  </si>
  <si>
    <t>Most rectangular</t>
  </si>
  <si>
    <t>Ovaller</t>
  </si>
  <si>
    <t>Ovallest</t>
  </si>
  <si>
    <t>More curved</t>
  </si>
  <si>
    <t>Most curved</t>
  </si>
  <si>
    <t>Straighter</t>
  </si>
  <si>
    <t>Straightest</t>
  </si>
  <si>
    <t>Smoother</t>
  </si>
  <si>
    <t>Smoothest</t>
  </si>
  <si>
    <t>Bumpier</t>
  </si>
  <si>
    <t>Bumpiest</t>
  </si>
  <si>
    <t>Wavier</t>
  </si>
  <si>
    <t>Waviest</t>
  </si>
  <si>
    <t>More infant</t>
  </si>
  <si>
    <t>Most infant</t>
  </si>
  <si>
    <t>More toddler</t>
  </si>
  <si>
    <t>Most toddler</t>
  </si>
  <si>
    <t>Younger</t>
  </si>
  <si>
    <t>Youngest</t>
  </si>
  <si>
    <t>Older</t>
  </si>
  <si>
    <t>Oldest</t>
  </si>
  <si>
    <t>More senior</t>
  </si>
  <si>
    <t>Most senior</t>
  </si>
  <si>
    <t>Elder</t>
  </si>
  <si>
    <t>Eldest</t>
  </si>
  <si>
    <t>More elderly</t>
  </si>
  <si>
    <t>Most elderly</t>
  </si>
  <si>
    <t>Younger adult</t>
  </si>
  <si>
    <t>Youngest adult</t>
  </si>
  <si>
    <t>More middle-aged</t>
  </si>
  <si>
    <t>Most middle-aged</t>
  </si>
  <si>
    <t>Saltier</t>
  </si>
  <si>
    <t>Saltiest</t>
  </si>
  <si>
    <t>Sorer</t>
  </si>
  <si>
    <t>Sorest</t>
  </si>
  <si>
    <t>Bitterer</t>
  </si>
  <si>
    <t>Bitterest</t>
  </si>
  <si>
    <t>Sweeter</t>
  </si>
  <si>
    <t>Sweetest</t>
  </si>
  <si>
    <t>Righter</t>
  </si>
  <si>
    <t>Rightest</t>
  </si>
  <si>
    <t>Lefter</t>
  </si>
  <si>
    <t>Leftest</t>
  </si>
  <si>
    <t>Better</t>
  </si>
  <si>
    <t>Best</t>
  </si>
  <si>
    <t>Worse</t>
  </si>
  <si>
    <t>Worst</t>
  </si>
  <si>
    <t>More important</t>
  </si>
  <si>
    <t>Most important</t>
  </si>
  <si>
    <t>Colder</t>
  </si>
  <si>
    <t>Coldest</t>
  </si>
  <si>
    <t>Cooler</t>
  </si>
  <si>
    <t>Coolest</t>
  </si>
  <si>
    <t>Spinner</t>
  </si>
  <si>
    <t>Spinnest</t>
  </si>
  <si>
    <t>More delicious</t>
  </si>
  <si>
    <t>Most delicious</t>
  </si>
  <si>
    <t>Spicier</t>
  </si>
  <si>
    <t>Spiciest</t>
  </si>
  <si>
    <t>Tastier</t>
  </si>
  <si>
    <t>Tastiest</t>
  </si>
  <si>
    <t>Softer</t>
  </si>
  <si>
    <t>Softest</t>
  </si>
  <si>
    <t>Fluffier</t>
  </si>
  <si>
    <t>Fluffiest</t>
  </si>
  <si>
    <t>Squishier</t>
  </si>
  <si>
    <t>Squishiest</t>
  </si>
  <si>
    <t>Uglier</t>
  </si>
  <si>
    <t>Ugliest</t>
  </si>
  <si>
    <t>Smaller</t>
  </si>
  <si>
    <t>Smallest</t>
  </si>
  <si>
    <t>Teenier</t>
  </si>
  <si>
    <t>Teeniest</t>
  </si>
  <si>
    <t>plural</t>
  </si>
  <si>
    <t>possessive</t>
  </si>
  <si>
    <t>male</t>
  </si>
  <si>
    <t>Female</t>
  </si>
  <si>
    <t>Ills</t>
  </si>
  <si>
    <t>Ill's</t>
  </si>
  <si>
    <t>Dogs</t>
  </si>
  <si>
    <t>Dog's</t>
  </si>
  <si>
    <t>Dog</t>
  </si>
  <si>
    <t>Bitch</t>
  </si>
  <si>
    <t>Pigs</t>
  </si>
  <si>
    <t>Pig's</t>
  </si>
  <si>
    <t>Boar</t>
  </si>
  <si>
    <t>Sow</t>
  </si>
  <si>
    <t>Cats</t>
  </si>
  <si>
    <t>Cat's</t>
  </si>
  <si>
    <t>Tomcat</t>
  </si>
  <si>
    <t>Queen</t>
  </si>
  <si>
    <t>Bats</t>
  </si>
  <si>
    <t>Bat's</t>
  </si>
  <si>
    <t>Cows</t>
  </si>
  <si>
    <t>Cow's</t>
  </si>
  <si>
    <t>Bull</t>
  </si>
  <si>
    <t>Cow</t>
  </si>
  <si>
    <t>Rats</t>
  </si>
  <si>
    <t>Rat's</t>
  </si>
  <si>
    <t>Buck</t>
  </si>
  <si>
    <t>Doe</t>
  </si>
  <si>
    <t>Goats</t>
  </si>
  <si>
    <t>Goat's</t>
  </si>
  <si>
    <t>Billy</t>
  </si>
  <si>
    <t>Nanny</t>
  </si>
  <si>
    <t>Chickens</t>
  </si>
  <si>
    <t>Chicken's</t>
  </si>
  <si>
    <t>Cockerel</t>
  </si>
  <si>
    <t>Hen</t>
  </si>
  <si>
    <t>Fish</t>
  </si>
  <si>
    <t>Fish's</t>
  </si>
  <si>
    <t>Frogs</t>
  </si>
  <si>
    <t>Frog's</t>
  </si>
  <si>
    <t>Fowls</t>
  </si>
  <si>
    <t>Fowl's</t>
  </si>
  <si>
    <t>Hens</t>
  </si>
  <si>
    <t>Hen's</t>
  </si>
  <si>
    <t>Cock</t>
  </si>
  <si>
    <t>Johncrows</t>
  </si>
  <si>
    <t>Johncrow's</t>
  </si>
  <si>
    <t>Dolphins</t>
  </si>
  <si>
    <t>Dolphin's</t>
  </si>
  <si>
    <t>Sharks</t>
  </si>
  <si>
    <t>Shark's</t>
  </si>
  <si>
    <t>Monkeys</t>
  </si>
  <si>
    <t>Monkey's</t>
  </si>
  <si>
    <t>Male</t>
  </si>
  <si>
    <t>Lizards</t>
  </si>
  <si>
    <t>Lizard's</t>
  </si>
  <si>
    <t>Wasps</t>
  </si>
  <si>
    <t>Wasp's</t>
  </si>
  <si>
    <t>Drone</t>
  </si>
  <si>
    <t>Bees</t>
  </si>
  <si>
    <t>Bee's</t>
  </si>
  <si>
    <t>Dragon-flies</t>
  </si>
  <si>
    <t>Dragon-fly's</t>
  </si>
  <si>
    <t>Birds</t>
  </si>
  <si>
    <t>Bird's</t>
  </si>
  <si>
    <t>Crabs</t>
  </si>
  <si>
    <t>Crab's</t>
  </si>
  <si>
    <t>Hummingbirds</t>
  </si>
  <si>
    <t>Hummingbird's</t>
  </si>
  <si>
    <t>Turtles</t>
  </si>
  <si>
    <t>Turtle's</t>
  </si>
  <si>
    <t>Crocodiles</t>
  </si>
  <si>
    <t>Crocodile's</t>
  </si>
  <si>
    <t>Snakes</t>
  </si>
  <si>
    <t>Snake's</t>
  </si>
  <si>
    <t>Iguanas</t>
  </si>
  <si>
    <t>Iguana's</t>
  </si>
  <si>
    <t>Lions</t>
  </si>
  <si>
    <t>Lion's</t>
  </si>
  <si>
    <t>Lion</t>
  </si>
  <si>
    <t>Lioness</t>
  </si>
  <si>
    <t>Brooms</t>
  </si>
  <si>
    <t>Broom's</t>
  </si>
  <si>
    <t>Tables</t>
  </si>
  <si>
    <t>Table's</t>
  </si>
  <si>
    <t>Books</t>
  </si>
  <si>
    <t>Book's</t>
  </si>
  <si>
    <t>Hats</t>
  </si>
  <si>
    <t>Hat's</t>
  </si>
  <si>
    <t>Heads</t>
  </si>
  <si>
    <t>Head's</t>
  </si>
  <si>
    <t>Hair's</t>
  </si>
  <si>
    <t>Eyes</t>
  </si>
  <si>
    <t>Eye's</t>
  </si>
  <si>
    <t>Ears</t>
  </si>
  <si>
    <t>Ear's</t>
  </si>
  <si>
    <t>Noses</t>
  </si>
  <si>
    <t>Nose's</t>
  </si>
  <si>
    <t>Mouths</t>
  </si>
  <si>
    <t>Mouth's</t>
  </si>
  <si>
    <t>Teeth's</t>
  </si>
  <si>
    <t>Tongues</t>
  </si>
  <si>
    <t>Tongue's</t>
  </si>
  <si>
    <t>Necks</t>
  </si>
  <si>
    <t>Neck's</t>
  </si>
  <si>
    <t>Shoulders</t>
  </si>
  <si>
    <t>Shoulder's</t>
  </si>
  <si>
    <t>Arms</t>
  </si>
  <si>
    <t>Arm's</t>
  </si>
  <si>
    <t>Elbows</t>
  </si>
  <si>
    <t>Elbow's</t>
  </si>
  <si>
    <t>Wrists</t>
  </si>
  <si>
    <t>Wrist's</t>
  </si>
  <si>
    <t>Hands</t>
  </si>
  <si>
    <t>Hand's</t>
  </si>
  <si>
    <t>Fingers'</t>
  </si>
  <si>
    <t>Chests</t>
  </si>
  <si>
    <t>Chest's</t>
  </si>
  <si>
    <t>Stomachs</t>
  </si>
  <si>
    <t>Stomach's</t>
  </si>
  <si>
    <t>Backs</t>
  </si>
  <si>
    <t>Back's</t>
  </si>
  <si>
    <t>Hips</t>
  </si>
  <si>
    <t>Hip's</t>
  </si>
  <si>
    <t>Legs</t>
  </si>
  <si>
    <t>Leg's</t>
  </si>
  <si>
    <t>Knees</t>
  </si>
  <si>
    <t>Knee's</t>
  </si>
  <si>
    <t>Ankles</t>
  </si>
  <si>
    <t>Ankle's</t>
  </si>
  <si>
    <t>Feet</t>
  </si>
  <si>
    <t>Foot's</t>
  </si>
  <si>
    <t>Bellies</t>
  </si>
  <si>
    <t>Belly's</t>
  </si>
  <si>
    <t>Toes</t>
  </si>
  <si>
    <t>Toe's</t>
  </si>
  <si>
    <t>Mondays</t>
  </si>
  <si>
    <t>Monday's</t>
  </si>
  <si>
    <t>Tuesdays</t>
  </si>
  <si>
    <t>Tuesday's</t>
  </si>
  <si>
    <t>Wednesdays</t>
  </si>
  <si>
    <t>Wednesday's</t>
  </si>
  <si>
    <t>Thursdays</t>
  </si>
  <si>
    <t>Thursday's</t>
  </si>
  <si>
    <t>Fridays</t>
  </si>
  <si>
    <t>Friday's</t>
  </si>
  <si>
    <t>Saturdays</t>
  </si>
  <si>
    <t>Saturday's</t>
  </si>
  <si>
    <t>Sundays</t>
  </si>
  <si>
    <t>Sunday's</t>
  </si>
  <si>
    <t>Milk's</t>
  </si>
  <si>
    <t>Families</t>
  </si>
  <si>
    <t>Family's</t>
  </si>
  <si>
    <t>Mothers</t>
  </si>
  <si>
    <t>Mother's</t>
  </si>
  <si>
    <t>Fathers</t>
  </si>
  <si>
    <t>Father's</t>
  </si>
  <si>
    <t>Brothers</t>
  </si>
  <si>
    <t>Brother's</t>
  </si>
  <si>
    <t>Sisters</t>
  </si>
  <si>
    <t>Sister's</t>
  </si>
  <si>
    <t>Aunts</t>
  </si>
  <si>
    <t>Aunt's</t>
  </si>
  <si>
    <t>Uncles</t>
  </si>
  <si>
    <t>Uncle's</t>
  </si>
  <si>
    <t>Grandmothers</t>
  </si>
  <si>
    <t>Grandmother's</t>
  </si>
  <si>
    <t>Grandfathers</t>
  </si>
  <si>
    <t>Grandfather's</t>
  </si>
  <si>
    <t>Cousins</t>
  </si>
  <si>
    <t>Cousin's</t>
  </si>
  <si>
    <t>Nieces</t>
  </si>
  <si>
    <t>Niece's</t>
  </si>
  <si>
    <t>Nephews</t>
  </si>
  <si>
    <t>Nephew's</t>
  </si>
  <si>
    <t>Step-mothers</t>
  </si>
  <si>
    <t>Step-mother's</t>
  </si>
  <si>
    <t>Step-fathers</t>
  </si>
  <si>
    <t>Step-father's</t>
  </si>
  <si>
    <t>Step-brothers</t>
  </si>
  <si>
    <t>Step-brother's</t>
  </si>
  <si>
    <t>Step-sisters</t>
  </si>
  <si>
    <t>Step-sister's</t>
  </si>
  <si>
    <t>Parents</t>
  </si>
  <si>
    <t>Parent's</t>
  </si>
  <si>
    <t>Grandparents</t>
  </si>
  <si>
    <t>Grandparent's</t>
  </si>
  <si>
    <t>Yams</t>
  </si>
  <si>
    <t>Yam's</t>
  </si>
  <si>
    <t>Rice's</t>
  </si>
  <si>
    <t>Cakes</t>
  </si>
  <si>
    <t>Cake's</t>
  </si>
  <si>
    <t>Mangoes</t>
  </si>
  <si>
    <t>Mango's</t>
  </si>
  <si>
    <t>January's</t>
  </si>
  <si>
    <t>February's</t>
  </si>
  <si>
    <t>March's</t>
  </si>
  <si>
    <t>April's</t>
  </si>
  <si>
    <t>May's</t>
  </si>
  <si>
    <t>June's</t>
  </si>
  <si>
    <t>July's</t>
  </si>
  <si>
    <t>August's</t>
  </si>
  <si>
    <t>September's</t>
  </si>
  <si>
    <t>October's</t>
  </si>
  <si>
    <t>November's</t>
  </si>
  <si>
    <t>December's</t>
  </si>
  <si>
    <t>Kingston's</t>
  </si>
  <si>
    <t>St Andrew's</t>
  </si>
  <si>
    <t>St Catherine's</t>
  </si>
  <si>
    <t>Clarendon's</t>
  </si>
  <si>
    <t>Manchester's</t>
  </si>
  <si>
    <t>St Elizabeth's</t>
  </si>
  <si>
    <t>Westmoreland's</t>
  </si>
  <si>
    <t>Hanover's</t>
  </si>
  <si>
    <t>St James's</t>
  </si>
  <si>
    <t>Trelawny's</t>
  </si>
  <si>
    <t>St Ann's</t>
  </si>
  <si>
    <t>St Mary's</t>
  </si>
  <si>
    <t>Portland's</t>
  </si>
  <si>
    <t>St Thomas's</t>
  </si>
  <si>
    <t>girl's</t>
  </si>
  <si>
    <t>boy</t>
  </si>
  <si>
    <t>classrooms</t>
  </si>
  <si>
    <t>classroom's</t>
  </si>
  <si>
    <t>playgrounds</t>
  </si>
  <si>
    <t>playground's</t>
  </si>
  <si>
    <t>churches</t>
  </si>
  <si>
    <t>church's</t>
  </si>
  <si>
    <t>schools</t>
  </si>
  <si>
    <t>school's</t>
  </si>
  <si>
    <t>kitchens</t>
  </si>
  <si>
    <t>kitchen's</t>
  </si>
  <si>
    <t>yards</t>
  </si>
  <si>
    <t>yard's</t>
  </si>
  <si>
    <t>pencils</t>
  </si>
  <si>
    <t>pencil's</t>
  </si>
  <si>
    <t>chairs</t>
  </si>
  <si>
    <t>chair's</t>
  </si>
  <si>
    <t>ball's</t>
  </si>
  <si>
    <t>runs</t>
  </si>
  <si>
    <t>run's</t>
  </si>
  <si>
    <t>cars</t>
  </si>
  <si>
    <t>car's</t>
  </si>
  <si>
    <t>foreheads</t>
  </si>
  <si>
    <t>forehead's</t>
  </si>
  <si>
    <t>foot</t>
  </si>
  <si>
    <t>pumpkins</t>
  </si>
  <si>
    <t>pumpkin's</t>
  </si>
  <si>
    <t>callaloo's</t>
  </si>
  <si>
    <t>friends</t>
  </si>
  <si>
    <t>friend's</t>
  </si>
  <si>
    <t>stories</t>
  </si>
  <si>
    <t>story's</t>
  </si>
  <si>
    <t>mornings</t>
  </si>
  <si>
    <t>morning's</t>
  </si>
  <si>
    <t>nights</t>
  </si>
  <si>
    <t>night's</t>
  </si>
  <si>
    <t>evenings</t>
  </si>
  <si>
    <t>evening's</t>
  </si>
  <si>
    <t>illustrations</t>
  </si>
  <si>
    <t>illustration's</t>
  </si>
  <si>
    <t>pages</t>
  </si>
  <si>
    <t>page's</t>
  </si>
  <si>
    <t>skies</t>
  </si>
  <si>
    <t>sky's</t>
  </si>
  <si>
    <t>names</t>
  </si>
  <si>
    <t>name's</t>
  </si>
  <si>
    <t>month's</t>
  </si>
  <si>
    <t>N</t>
  </si>
  <si>
    <t>communities</t>
  </si>
  <si>
    <t>community's</t>
  </si>
  <si>
    <t>countries</t>
  </si>
  <si>
    <t>country's</t>
  </si>
  <si>
    <t>chalkboards</t>
  </si>
  <si>
    <t>chalkboard's</t>
  </si>
  <si>
    <t>whiteboards</t>
  </si>
  <si>
    <t>whiteboard's</t>
  </si>
  <si>
    <t>birthdays</t>
  </si>
  <si>
    <t>birthday's</t>
  </si>
  <si>
    <t>calendars</t>
  </si>
  <si>
    <t>calendar's</t>
  </si>
  <si>
    <t>students</t>
  </si>
  <si>
    <t>student's</t>
  </si>
  <si>
    <t>years</t>
  </si>
  <si>
    <t>year's</t>
  </si>
  <si>
    <t>netballs</t>
  </si>
  <si>
    <t>netball's</t>
  </si>
  <si>
    <t>basketballs</t>
  </si>
  <si>
    <t>basketball's</t>
  </si>
  <si>
    <t>footballs</t>
  </si>
  <si>
    <t>football's</t>
  </si>
  <si>
    <t>games</t>
  </si>
  <si>
    <t>game's</t>
  </si>
  <si>
    <t>medicines</t>
  </si>
  <si>
    <t>medicine's</t>
  </si>
  <si>
    <t>safeties</t>
  </si>
  <si>
    <t>safety's</t>
  </si>
  <si>
    <t>nostrils</t>
  </si>
  <si>
    <t>nostril's</t>
  </si>
  <si>
    <t>thighs</t>
  </si>
  <si>
    <t>thigh's</t>
  </si>
  <si>
    <t>penis's</t>
  </si>
  <si>
    <t>vaginas</t>
  </si>
  <si>
    <t>vagina's</t>
  </si>
  <si>
    <t>tongues</t>
  </si>
  <si>
    <t>tongue's</t>
  </si>
  <si>
    <t>hours</t>
  </si>
  <si>
    <t>hour's</t>
  </si>
  <si>
    <t>times</t>
  </si>
  <si>
    <t>time's</t>
  </si>
  <si>
    <t>minutes</t>
  </si>
  <si>
    <t>minute's</t>
  </si>
  <si>
    <t>seconds</t>
  </si>
  <si>
    <t>second's</t>
  </si>
  <si>
    <t>bodies</t>
  </si>
  <si>
    <t>body's</t>
  </si>
  <si>
    <t>trees</t>
  </si>
  <si>
    <t>tree's</t>
  </si>
  <si>
    <t>rivers</t>
  </si>
  <si>
    <t>river's</t>
  </si>
  <si>
    <t>beaches</t>
  </si>
  <si>
    <t>beach's</t>
  </si>
  <si>
    <t>mountains</t>
  </si>
  <si>
    <t>mountain's</t>
  </si>
  <si>
    <t>hills</t>
  </si>
  <si>
    <t>hill's</t>
  </si>
  <si>
    <t>lip</t>
  </si>
  <si>
    <t>things</t>
  </si>
  <si>
    <t>thing's</t>
  </si>
  <si>
    <t>meals</t>
  </si>
  <si>
    <t>meal's</t>
  </si>
  <si>
    <t>breakfasts</t>
  </si>
  <si>
    <t>breakfast's</t>
  </si>
  <si>
    <t>lunches</t>
  </si>
  <si>
    <t>lunch's</t>
  </si>
  <si>
    <t>dinners</t>
  </si>
  <si>
    <t>dinner's</t>
  </si>
  <si>
    <t>bananas</t>
  </si>
  <si>
    <t>banana's</t>
  </si>
  <si>
    <t>carbohydrates</t>
  </si>
  <si>
    <t>carbohydrates'</t>
  </si>
  <si>
    <t>legumes</t>
  </si>
  <si>
    <t>legumes'</t>
  </si>
  <si>
    <t>proteins</t>
  </si>
  <si>
    <t>protein's</t>
  </si>
  <si>
    <t>cereals</t>
  </si>
  <si>
    <t>cereal's</t>
  </si>
  <si>
    <t>oats'</t>
  </si>
  <si>
    <t>potatoes</t>
  </si>
  <si>
    <t>potato's</t>
  </si>
  <si>
    <t>bacons</t>
  </si>
  <si>
    <t>bacon's</t>
  </si>
  <si>
    <t>ohtaheites</t>
  </si>
  <si>
    <t>ohtaheite's</t>
  </si>
  <si>
    <t>mangoes</t>
  </si>
  <si>
    <t>mango's</t>
  </si>
  <si>
    <t>beans'</t>
  </si>
  <si>
    <t>farmers</t>
  </si>
  <si>
    <t>farmer's</t>
  </si>
  <si>
    <t>farmerette</t>
  </si>
  <si>
    <t>vendors</t>
  </si>
  <si>
    <t>vendor's</t>
  </si>
  <si>
    <t>vendorette</t>
  </si>
  <si>
    <t>parents</t>
  </si>
  <si>
    <t>parent's</t>
  </si>
  <si>
    <t>guardians</t>
  </si>
  <si>
    <t>guardian's</t>
  </si>
  <si>
    <t>past</t>
  </si>
  <si>
    <t>present_cont</t>
  </si>
  <si>
    <t>future</t>
  </si>
  <si>
    <t>perfect</t>
  </si>
  <si>
    <t>past_cont plur</t>
  </si>
  <si>
    <t>past_cont sing</t>
  </si>
  <si>
    <t>eats</t>
  </si>
  <si>
    <t>ate</t>
  </si>
  <si>
    <t>eating</t>
  </si>
  <si>
    <t>will eat</t>
  </si>
  <si>
    <t>have eaten</t>
  </si>
  <si>
    <t>were eating</t>
  </si>
  <si>
    <t>was eating</t>
  </si>
  <si>
    <t>bawls</t>
  </si>
  <si>
    <t>bawled</t>
  </si>
  <si>
    <t>bawling</t>
  </si>
  <si>
    <t>will bawl</t>
  </si>
  <si>
    <t>have bawled</t>
  </si>
  <si>
    <t>were bawling</t>
  </si>
  <si>
    <t>was bawling</t>
  </si>
  <si>
    <t>titles</t>
  </si>
  <si>
    <t>titled</t>
  </si>
  <si>
    <t>titling</t>
  </si>
  <si>
    <t>will title</t>
  </si>
  <si>
    <t>have titled</t>
  </si>
  <si>
    <t>were titling</t>
  </si>
  <si>
    <t>was titling</t>
  </si>
  <si>
    <t>texts</t>
  </si>
  <si>
    <t>texted</t>
  </si>
  <si>
    <t>texting</t>
  </si>
  <si>
    <t>will text</t>
  </si>
  <si>
    <t>have texted</t>
  </si>
  <si>
    <t>were texting</t>
  </si>
  <si>
    <t>was texting</t>
  </si>
  <si>
    <t>tells</t>
  </si>
  <si>
    <t>told</t>
  </si>
  <si>
    <t>telling</t>
  </si>
  <si>
    <t>will tell</t>
  </si>
  <si>
    <t>have told</t>
  </si>
  <si>
    <t>were telling</t>
  </si>
  <si>
    <t>was telling</t>
  </si>
  <si>
    <t>walks</t>
  </si>
  <si>
    <t>walked</t>
  </si>
  <si>
    <t>walking</t>
  </si>
  <si>
    <t>will walk</t>
  </si>
  <si>
    <t>have walked</t>
  </si>
  <si>
    <t>were walking</t>
  </si>
  <si>
    <t>was walking</t>
  </si>
  <si>
    <t>reads</t>
  </si>
  <si>
    <t>reading</t>
  </si>
  <si>
    <t>will read</t>
  </si>
  <si>
    <t>have read</t>
  </si>
  <si>
    <t>were reading</t>
  </si>
  <si>
    <t>was reading</t>
  </si>
  <si>
    <t>throws</t>
  </si>
  <si>
    <t>threw</t>
  </si>
  <si>
    <t>throwing</t>
  </si>
  <si>
    <t>will throw</t>
  </si>
  <si>
    <t>have thrown</t>
  </si>
  <si>
    <t>were throwing</t>
  </si>
  <si>
    <t>was throwing</t>
  </si>
  <si>
    <t>sees</t>
  </si>
  <si>
    <t>saw</t>
  </si>
  <si>
    <t>seeing</t>
  </si>
  <si>
    <t>will see</t>
  </si>
  <si>
    <t>have seen</t>
  </si>
  <si>
    <t>were seeing</t>
  </si>
  <si>
    <t>was seeing</t>
  </si>
  <si>
    <t>are</t>
  </si>
  <si>
    <t>was/were</t>
  </si>
  <si>
    <t>being</t>
  </si>
  <si>
    <t>will be</t>
  </si>
  <si>
    <t>have been</t>
  </si>
  <si>
    <t>were being</t>
  </si>
  <si>
    <t>was being</t>
  </si>
  <si>
    <t>went</t>
  </si>
  <si>
    <t>going</t>
  </si>
  <si>
    <t>will go</t>
  </si>
  <si>
    <t>have gone</t>
  </si>
  <si>
    <t>were going</t>
  </si>
  <si>
    <t>was going</t>
  </si>
  <si>
    <t>had</t>
  </si>
  <si>
    <t>having</t>
  </si>
  <si>
    <t>will have</t>
  </si>
  <si>
    <t>have had</t>
  </si>
  <si>
    <t>were having</t>
  </si>
  <si>
    <t>was having</t>
  </si>
  <si>
    <t>marches</t>
  </si>
  <si>
    <t>marched</t>
  </si>
  <si>
    <t>marching</t>
  </si>
  <si>
    <t>will march</t>
  </si>
  <si>
    <t>have marched</t>
  </si>
  <si>
    <t>were marching</t>
  </si>
  <si>
    <t>was marching</t>
  </si>
  <si>
    <t>taps</t>
  </si>
  <si>
    <t>tapped</t>
  </si>
  <si>
    <t>tapping</t>
  </si>
  <si>
    <t>will tap</t>
  </si>
  <si>
    <t>have tapped</t>
  </si>
  <si>
    <t>were tapping</t>
  </si>
  <si>
    <t>was tapping</t>
  </si>
  <si>
    <t>snaps</t>
  </si>
  <si>
    <t>snapped</t>
  </si>
  <si>
    <t>snapping</t>
  </si>
  <si>
    <t>will snap</t>
  </si>
  <si>
    <t>have snapped</t>
  </si>
  <si>
    <t>were snapping</t>
  </si>
  <si>
    <t>was snapping</t>
  </si>
  <si>
    <t>claps</t>
  </si>
  <si>
    <t>clapped</t>
  </si>
  <si>
    <t>clapping</t>
  </si>
  <si>
    <t>will clap</t>
  </si>
  <si>
    <t>have clapped</t>
  </si>
  <si>
    <t>were clapping</t>
  </si>
  <si>
    <t>was clapping</t>
  </si>
  <si>
    <t>kicks</t>
  </si>
  <si>
    <t>kicked</t>
  </si>
  <si>
    <t>kicking</t>
  </si>
  <si>
    <t>will kick</t>
  </si>
  <si>
    <t>have kicked</t>
  </si>
  <si>
    <t>were kicking</t>
  </si>
  <si>
    <t>was kicking</t>
  </si>
  <si>
    <t>shoots</t>
  </si>
  <si>
    <t>shot</t>
  </si>
  <si>
    <t>will shoot</t>
  </si>
  <si>
    <t>have shot</t>
  </si>
  <si>
    <t>were shooting</t>
  </si>
  <si>
    <t>was shooting</t>
  </si>
  <si>
    <t>dances</t>
  </si>
  <si>
    <t>danced</t>
  </si>
  <si>
    <t>dancing</t>
  </si>
  <si>
    <t>will dance</t>
  </si>
  <si>
    <t>have danced</t>
  </si>
  <si>
    <t>were dancing</t>
  </si>
  <si>
    <t>was dancing</t>
  </si>
  <si>
    <t>sings</t>
  </si>
  <si>
    <t>sang</t>
  </si>
  <si>
    <t>singing</t>
  </si>
  <si>
    <t>will sing</t>
  </si>
  <si>
    <t>have sung</t>
  </si>
  <si>
    <t>were singing</t>
  </si>
  <si>
    <t>was singing</t>
  </si>
  <si>
    <t>jumps</t>
  </si>
  <si>
    <t>jumped</t>
  </si>
  <si>
    <t>jumping</t>
  </si>
  <si>
    <t>will jump</t>
  </si>
  <si>
    <t>have jumped</t>
  </si>
  <si>
    <t>were jumping</t>
  </si>
  <si>
    <t>was jumping</t>
  </si>
  <si>
    <t>bends</t>
  </si>
  <si>
    <t>bent</t>
  </si>
  <si>
    <t>bending</t>
  </si>
  <si>
    <t>will bend</t>
  </si>
  <si>
    <t>have bent</t>
  </si>
  <si>
    <t>were bending</t>
  </si>
  <si>
    <t>was bending</t>
  </si>
  <si>
    <t>stretches</t>
  </si>
  <si>
    <t>stretched</t>
  </si>
  <si>
    <t>stretching</t>
  </si>
  <si>
    <t>will stretch</t>
  </si>
  <si>
    <t>have stretched</t>
  </si>
  <si>
    <t>were stretching</t>
  </si>
  <si>
    <t>was stretching</t>
  </si>
  <si>
    <t>grows</t>
  </si>
  <si>
    <t>grew</t>
  </si>
  <si>
    <t>growing</t>
  </si>
  <si>
    <t>will grow</t>
  </si>
  <si>
    <t>have grown</t>
  </si>
  <si>
    <t>were growing</t>
  </si>
  <si>
    <t>was growing</t>
  </si>
  <si>
    <t>urinates</t>
  </si>
  <si>
    <t>urinated</t>
  </si>
  <si>
    <t>urinating</t>
  </si>
  <si>
    <t>will urinate</t>
  </si>
  <si>
    <t>have urinated</t>
  </si>
  <si>
    <t>were urinating</t>
  </si>
  <si>
    <t>was urinating</t>
  </si>
  <si>
    <t>defecates</t>
  </si>
  <si>
    <t>defecated</t>
  </si>
  <si>
    <t>defecating</t>
  </si>
  <si>
    <t>will defecate</t>
  </si>
  <si>
    <t>have defecated</t>
  </si>
  <si>
    <t>were defecating</t>
  </si>
  <si>
    <t>was defecating</t>
  </si>
  <si>
    <t>dodges</t>
  </si>
  <si>
    <t>dodged</t>
  </si>
  <si>
    <t>dodging</t>
  </si>
  <si>
    <t>will dodge</t>
  </si>
  <si>
    <t>have dodged</t>
  </si>
  <si>
    <t>were dodging</t>
  </si>
  <si>
    <t>was dodging</t>
  </si>
  <si>
    <t>catches</t>
  </si>
  <si>
    <t>caught</t>
  </si>
  <si>
    <t>catching</t>
  </si>
  <si>
    <t>will catch</t>
  </si>
  <si>
    <t>have caught</t>
  </si>
  <si>
    <t>were catching</t>
  </si>
  <si>
    <t>was catching</t>
  </si>
  <si>
    <t>bounces</t>
  </si>
  <si>
    <t>bounced</t>
  </si>
  <si>
    <t>bouncing</t>
  </si>
  <si>
    <t>will bounce</t>
  </si>
  <si>
    <t>have bounced</t>
  </si>
  <si>
    <t>were bouncing</t>
  </si>
  <si>
    <t>was bouncing</t>
  </si>
  <si>
    <t>thrown</t>
  </si>
  <si>
    <t>exercises</t>
  </si>
  <si>
    <t>exercised</t>
  </si>
  <si>
    <t>exercising</t>
  </si>
  <si>
    <t>will exercise</t>
  </si>
  <si>
    <t>have exercised</t>
  </si>
  <si>
    <t>were exercising</t>
  </si>
  <si>
    <t>was exercising</t>
  </si>
  <si>
    <t>were</t>
  </si>
  <si>
    <t>shares</t>
  </si>
  <si>
    <t>shared</t>
  </si>
  <si>
    <t>sharing</t>
  </si>
  <si>
    <t>will share</t>
  </si>
  <si>
    <t>have shared</t>
  </si>
  <si>
    <t>do</t>
  </si>
  <si>
    <t>did</t>
  </si>
  <si>
    <t>doing</t>
  </si>
  <si>
    <t>will do</t>
  </si>
  <si>
    <t>have done</t>
  </si>
  <si>
    <t>were doing</t>
  </si>
  <si>
    <t>was doing</t>
  </si>
  <si>
    <t>presentTense</t>
  </si>
  <si>
    <t>pastTense</t>
  </si>
  <si>
    <t>futureTense</t>
  </si>
  <si>
    <t>partofspeech</t>
  </si>
  <si>
    <t>photo</t>
  </si>
  <si>
    <t>Adjective</t>
  </si>
  <si>
    <t>Colour</t>
  </si>
  <si>
    <t>Places/Parishes</t>
  </si>
  <si>
    <t>days of the week</t>
  </si>
  <si>
    <t>Emotion</t>
  </si>
  <si>
    <t>Excited</t>
  </si>
  <si>
    <t>Nervous</t>
  </si>
  <si>
    <t>Scared</t>
  </si>
  <si>
    <t>https://wordtype.org/of/classroom</t>
  </si>
  <si>
    <t>Bored</t>
  </si>
  <si>
    <t>Curious</t>
  </si>
  <si>
    <t>Proud</t>
  </si>
  <si>
    <t>Surprised</t>
  </si>
  <si>
    <t>Confused</t>
  </si>
  <si>
    <t>Embarrassed</t>
  </si>
  <si>
    <t>Grateful</t>
  </si>
  <si>
    <t>Jealous</t>
  </si>
  <si>
    <t>Lonely</t>
  </si>
  <si>
    <t>Worried</t>
  </si>
  <si>
    <t>Size</t>
  </si>
  <si>
    <t>UNASSIGNED</t>
  </si>
  <si>
    <t xml:space="preserve">lizard </t>
  </si>
  <si>
    <t>Ankle</t>
  </si>
  <si>
    <t>Day</t>
  </si>
  <si>
    <t>Drink</t>
  </si>
  <si>
    <t xml:space="preserve">cousin </t>
  </si>
  <si>
    <t>Month</t>
  </si>
  <si>
    <t>Parish</t>
  </si>
  <si>
    <t>Person</t>
  </si>
  <si>
    <t xml:space="preserve">classroom </t>
  </si>
  <si>
    <t>Place</t>
  </si>
  <si>
    <t>Vehicle</t>
  </si>
  <si>
    <t>Position</t>
  </si>
  <si>
    <t xml:space="preserve">down </t>
  </si>
  <si>
    <t>bawl</t>
  </si>
  <si>
    <t xml:space="preserve">warm </t>
  </si>
  <si>
    <t>running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</si>
</sst>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26">
    <font>
      <sz val="10.0"/>
      <color rgb="FF000000"/>
      <name val="Arial"/>
      <scheme val="minor"/>
    </font>
    <font>
      <color rgb="FF000000"/>
      <name val="Arial"/>
    </font>
    <font>
      <b/>
      <sz val="12.0"/>
      <color rgb="FF000000"/>
      <name val="Arial"/>
    </font>
    <font>
      <b/>
      <color rgb="FF000000"/>
      <name val="Arial"/>
    </font>
    <font>
      <color theme="1"/>
      <name val="Arial"/>
      <scheme val="minor"/>
    </font>
    <font>
      <sz val="12.0"/>
      <color theme="1"/>
      <name val="Times New Roman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theme="1"/>
      <name val="Arial"/>
    </font>
    <font>
      <sz val="12.0"/>
      <color rgb="FF000000"/>
      <name val="Times New Roman"/>
    </font>
    <font>
      <sz val="11.0"/>
      <color theme="1"/>
      <name val="Arial"/>
      <scheme val="minor"/>
    </font>
    <font>
      <u/>
      <color rgb="FF1155CC"/>
      <name val="Arial"/>
    </font>
    <font>
      <color rgb="FF000000"/>
    </font>
    <font>
      <u/>
      <color rgb="FF0000FF"/>
      <name val="Arial"/>
    </font>
    <font>
      <u/>
      <color rgb="FF0000FF"/>
    </font>
    <font>
      <sz val="12.0"/>
      <color rgb="FF000000"/>
      <name val="&quot;Times New Roman&quot;"/>
    </font>
    <font>
      <u/>
      <color rgb="FF0000FF"/>
    </font>
    <font>
      <u/>
      <color rgb="FF0000FF"/>
    </font>
    <font>
      <u/>
      <color rgb="FF0000FF"/>
      <name val="Arial"/>
    </font>
    <font>
      <u/>
      <sz val="11.0"/>
      <color rgb="FF0000FF"/>
    </font>
    <font>
      <u/>
      <color rgb="FF0000FF"/>
    </font>
    <font>
      <u/>
      <color rgb="FF1155CC"/>
      <name val="&quot;Arial&quot;"/>
    </font>
    <font>
      <b/>
      <color theme="1"/>
      <name val="Arial"/>
      <scheme val="minor"/>
    </font>
    <font>
      <sz val="9.0"/>
      <color rgb="FF000000"/>
      <name val="&quot;Google Sans Mono&quot;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3" xfId="0" applyAlignment="1" applyFont="1" applyNumberFormat="1">
      <alignment readingOrder="0"/>
    </xf>
    <xf borderId="0" fillId="0" fontId="5" numFmtId="164" xfId="0" applyAlignment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5" numFmtId="164" xfId="0" applyAlignment="1" applyBorder="1" applyFont="1" applyNumberFormat="1">
      <alignment horizontal="left" readingOrder="0"/>
    </xf>
    <xf borderId="1" fillId="0" fontId="4" numFmtId="0" xfId="0" applyAlignment="1" applyBorder="1" applyFont="1">
      <alignment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5" numFmtId="0" xfId="0" applyAlignment="1" applyFont="1">
      <alignment horizontal="left" readingOrder="0"/>
    </xf>
    <xf borderId="0" fillId="0" fontId="4" numFmtId="0" xfId="0" applyFont="1"/>
    <xf borderId="0" fillId="0" fontId="9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0" numFmtId="0" xfId="0" applyAlignment="1" applyFont="1">
      <alignment vertical="bottom"/>
    </xf>
    <xf borderId="0" fillId="2" fontId="4" numFmtId="0" xfId="0" applyFill="1" applyFont="1"/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3" fontId="11" numFmtId="0" xfId="0" applyAlignment="1" applyFill="1" applyFont="1">
      <alignment horizontal="left" readingOrder="0"/>
    </xf>
    <xf borderId="0" fillId="3" fontId="4" numFmtId="0" xfId="0" applyAlignment="1" applyFont="1">
      <alignment readingOrder="0"/>
    </xf>
    <xf borderId="0" fillId="3" fontId="4" numFmtId="0" xfId="0" applyFont="1"/>
    <xf borderId="0" fillId="4" fontId="11" numFmtId="0" xfId="0" applyAlignment="1" applyFill="1" applyFont="1">
      <alignment horizontal="left" readingOrder="0"/>
    </xf>
    <xf borderId="0" fillId="4" fontId="4" numFmtId="0" xfId="0" applyAlignment="1" applyFont="1">
      <alignment readingOrder="0"/>
    </xf>
    <xf borderId="0" fillId="4" fontId="4" numFmtId="0" xfId="0" applyFont="1"/>
    <xf borderId="0" fillId="4" fontId="16" numFmtId="0" xfId="0" applyAlignment="1" applyFont="1">
      <alignment readingOrder="0"/>
    </xf>
    <xf borderId="0" fillId="5" fontId="17" numFmtId="0" xfId="0" applyAlignment="1" applyFill="1" applyFont="1">
      <alignment horizontal="left" readingOrder="0"/>
    </xf>
    <xf borderId="0" fillId="0" fontId="5" numFmtId="0" xfId="0" applyAlignment="1" applyFont="1">
      <alignment horizontal="left" vertical="bottom"/>
    </xf>
    <xf borderId="0" fillId="0" fontId="10" numFmtId="0" xfId="0" applyAlignment="1" applyFont="1">
      <alignment readingOrder="0" vertical="bottom"/>
    </xf>
    <xf borderId="0" fillId="2" fontId="18" numFmtId="0" xfId="0" applyAlignment="1" applyFont="1">
      <alignment readingOrder="0"/>
    </xf>
    <xf borderId="0" fillId="6" fontId="5" numFmtId="0" xfId="0" applyAlignment="1" applyFill="1" applyFont="1">
      <alignment horizontal="left" readingOrder="0"/>
    </xf>
    <xf borderId="0" fillId="6" fontId="4" numFmtId="0" xfId="0" applyAlignment="1" applyFont="1">
      <alignment readingOrder="0"/>
    </xf>
    <xf borderId="0" fillId="6" fontId="4" numFmtId="0" xfId="0" applyFont="1"/>
    <xf borderId="0" fillId="6" fontId="19" numFmtId="0" xfId="0" applyAlignment="1" applyFont="1">
      <alignment readingOrder="0"/>
    </xf>
    <xf borderId="0" fillId="0" fontId="20" numFmtId="0" xfId="0" applyAlignment="1" applyFont="1">
      <alignment readingOrder="0" vertical="bottom"/>
    </xf>
    <xf borderId="0" fillId="0" fontId="21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0" fillId="3" fontId="22" numFmtId="0" xfId="0" applyAlignment="1" applyFont="1">
      <alignment readingOrder="0"/>
    </xf>
    <xf borderId="0" fillId="4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23" numFmtId="0" xfId="0" applyAlignment="1" applyFont="1">
      <alignment readingOrder="0"/>
    </xf>
    <xf borderId="0" fillId="0" fontId="5" numFmtId="0" xfId="0" applyAlignment="1" applyFont="1">
      <alignment horizontal="left"/>
    </xf>
    <xf borderId="0" fillId="0" fontId="24" numFmtId="0" xfId="0" applyAlignment="1" applyFont="1">
      <alignment readingOrder="0"/>
    </xf>
    <xf borderId="0" fillId="0" fontId="24" numFmtId="0" xfId="0" applyFont="1"/>
    <xf borderId="0" fillId="0" fontId="24" numFmtId="3" xfId="0" applyFont="1" applyNumberFormat="1"/>
    <xf borderId="0" fillId="0" fontId="4" numFmtId="0" xfId="0" applyAlignment="1" applyFont="1">
      <alignment readingOrder="0"/>
    </xf>
    <xf borderId="0" fillId="0" fontId="4" numFmtId="164" xfId="0" applyFont="1" applyNumberFormat="1"/>
    <xf borderId="0" fillId="7" fontId="24" numFmtId="0" xfId="0" applyAlignment="1" applyFill="1" applyFont="1">
      <alignment readingOrder="0"/>
    </xf>
    <xf borderId="0" fillId="7" fontId="4" numFmtId="0" xfId="0" applyAlignment="1" applyFont="1">
      <alignment readingOrder="0"/>
    </xf>
    <xf borderId="0" fillId="7" fontId="4" numFmtId="0" xfId="0" applyFont="1"/>
    <xf borderId="0" fillId="0" fontId="4" numFmtId="3" xfId="0" applyFont="1" applyNumberFormat="1"/>
    <xf borderId="0" fillId="5" fontId="25" numFmtId="3" xfId="0" applyFont="1" applyNumberFormat="1"/>
    <xf borderId="1" fillId="0" fontId="2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18vdu4p71yql0.cloudfront.net/libraries/sclera/choke.png" TargetMode="External"/><Relationship Id="rId194" Type="http://schemas.openxmlformats.org/officeDocument/2006/relationships/hyperlink" Target="https://d18vdu4p71yql0.cloudfront.net/libraries/mulberry/pie%20chart.svg" TargetMode="External"/><Relationship Id="rId193" Type="http://schemas.openxmlformats.org/officeDocument/2006/relationships/hyperlink" Target="https://d18vdu4p71yql0.cloudfront.net/libraries/arasaac/church.png" TargetMode="External"/><Relationship Id="rId192" Type="http://schemas.openxmlformats.org/officeDocument/2006/relationships/hyperlink" Target="https://d18vdu4p71yql0.cloudfront.net/libraries/arasaac/Christmas%20period.png" TargetMode="External"/><Relationship Id="rId191" Type="http://schemas.openxmlformats.org/officeDocument/2006/relationships/hyperlink" Target="https://d18vdu4p71yql0.cloudfront.net/libraries/sclera/dance%20party.png" TargetMode="External"/><Relationship Id="rId187" Type="http://schemas.openxmlformats.org/officeDocument/2006/relationships/hyperlink" Target="https://d18vdu4p71yql0.cloudfront.net/libraries/arasaac/chest.png.variant-medium-dark.png" TargetMode="External"/><Relationship Id="rId186" Type="http://schemas.openxmlformats.org/officeDocument/2006/relationships/hyperlink" Target="https://d18vdu4p71yql0.cloudfront.net/libraries/sclera/checklist.png" TargetMode="External"/><Relationship Id="rId185" Type="http://schemas.openxmlformats.org/officeDocument/2006/relationships/hyperlink" Target="https://d18vdu4p71yql0.cloudfront.net/libraries/arasaac/cartoon.png" TargetMode="External"/><Relationship Id="rId184" Type="http://schemas.openxmlformats.org/officeDocument/2006/relationships/hyperlink" Target="https://d18vdu4p71yql0.cloudfront.net/libraries/arasaac/cartoon.png" TargetMode="External"/><Relationship Id="rId189" Type="http://schemas.openxmlformats.org/officeDocument/2006/relationships/hyperlink" Target="https://d18vdu4p71yql0.cloudfront.net/libraries/noun-project/Child_985_g.svg" TargetMode="External"/><Relationship Id="rId188" Type="http://schemas.openxmlformats.org/officeDocument/2006/relationships/hyperlink" Target="https://d18vdu4p71yql0.cloudfront.net/libraries/arasaac/chicken.png" TargetMode="External"/><Relationship Id="rId183" Type="http://schemas.openxmlformats.org/officeDocument/2006/relationships/hyperlink" Target="https://d18vdu4p71yql0.cloudfront.net/libraries/sclera/book_1.png" TargetMode="External"/><Relationship Id="rId182" Type="http://schemas.openxmlformats.org/officeDocument/2006/relationships/hyperlink" Target="https://d18vdu4p71yql0.cloudfront.net/libraries/sclera/chalkboard.png" TargetMode="External"/><Relationship Id="rId181" Type="http://schemas.openxmlformats.org/officeDocument/2006/relationships/hyperlink" Target="https://d18vdu4p71yql0.cloudfront.net/libraries/mulberry/chair.svg" TargetMode="External"/><Relationship Id="rId180" Type="http://schemas.openxmlformats.org/officeDocument/2006/relationships/hyperlink" Target="https://d18vdu4p71yql0.cloudfront.net/libraries/arasaac/cereals.png" TargetMode="External"/><Relationship Id="rId176" Type="http://schemas.openxmlformats.org/officeDocument/2006/relationships/hyperlink" Target="https://d18vdu4p71yql0.cloudfront.net/libraries/arasaac/to%20catch_2.png.varianted-skin.png" TargetMode="External"/><Relationship Id="rId175" Type="http://schemas.openxmlformats.org/officeDocument/2006/relationships/hyperlink" Target="https://d18vdu4p71yql0.cloudfront.net/libraries/arasaac/to%20catch_2.png.varianted-skin.png" TargetMode="External"/><Relationship Id="rId174" Type="http://schemas.openxmlformats.org/officeDocument/2006/relationships/hyperlink" Target="https://d18vdu4p71yql0.cloudfront.net/libraries/arasaac/toys'%20catalog.png" TargetMode="External"/><Relationship Id="rId173" Type="http://schemas.openxmlformats.org/officeDocument/2006/relationships/hyperlink" Target="https://d18vdu4p71yql0.cloudfront.net/libraries/mulberry/cat.svg" TargetMode="External"/><Relationship Id="rId179" Type="http://schemas.openxmlformats.org/officeDocument/2006/relationships/hyperlink" Target="https://d18vdu4p71yql0.cloudfront.net/libraries/noun-project/Temperature_912_748588.svg" TargetMode="External"/><Relationship Id="rId178" Type="http://schemas.openxmlformats.org/officeDocument/2006/relationships/hyperlink" Target="https://d18vdu4p71yql0.cloudfront.net/libraries/arasaac/mobile%20phone.png" TargetMode="External"/><Relationship Id="rId177" Type="http://schemas.openxmlformats.org/officeDocument/2006/relationships/hyperlink" Target="https://d18vdu4p71yql0.cloudfront.net/libraries/tawasol/problem.jpg" TargetMode="External"/><Relationship Id="rId198" Type="http://schemas.openxmlformats.org/officeDocument/2006/relationships/hyperlink" Target="https://d18vdu4p71yql0.cloudfront.net/libraries/arasaac/classroom_2.png" TargetMode="External"/><Relationship Id="rId197" Type="http://schemas.openxmlformats.org/officeDocument/2006/relationships/hyperlink" Target="https://upload.wikimedia.org/wikipedia/commons/thumb/9/90/Clarendon_in_Jamaica.svg/250px-Clarendon_in_Jamaica.svg.png" TargetMode="External"/><Relationship Id="rId196" Type="http://schemas.openxmlformats.org/officeDocument/2006/relationships/hyperlink" Target="https://d18vdu4p71yql0.cloudfront.net/libraries/arasaac/to%20clap.png.variant-dark.png" TargetMode="External"/><Relationship Id="rId195" Type="http://schemas.openxmlformats.org/officeDocument/2006/relationships/hyperlink" Target="https://d18vdu4p71yql0.cloudfront.net/libraries/arasaac/to%20clap.png.varianted-skin.png" TargetMode="External"/><Relationship Id="rId199" Type="http://schemas.openxmlformats.org/officeDocument/2006/relationships/hyperlink" Target="https://d18vdu4p71yql0.cloudfront.net/libraries/arasaac/coat.png" TargetMode="External"/><Relationship Id="rId150" Type="http://schemas.openxmlformats.org/officeDocument/2006/relationships/hyperlink" Target="https://d18vdu4p71yql0.cloudfront.net/libraries/arasaac/breakfast.png.varianted-skin.png" TargetMode="External"/><Relationship Id="rId392" Type="http://schemas.openxmlformats.org/officeDocument/2006/relationships/hyperlink" Target="https://d18vdu4p71yql0.cloudfront.net/libraries/arasaac/he.png.variant-dark.png" TargetMode="External"/><Relationship Id="rId391" Type="http://schemas.openxmlformats.org/officeDocument/2006/relationships/hyperlink" Target="https://d18vdu4p71yql0.cloudfront.net/libraries/arasaac/he.png.variant-medium-dark.png" TargetMode="External"/><Relationship Id="rId390" Type="http://schemas.openxmlformats.org/officeDocument/2006/relationships/hyperlink" Target="https://d18vdu4p71yql0.cloudfront.net/libraries/noun-project/Hazard_766_g.sv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18vdu4p71yql0.cloudfront.net/libraries/arasaac/exactly%20twelve%20o'clock.png" TargetMode="External"/><Relationship Id="rId3" Type="http://schemas.openxmlformats.org/officeDocument/2006/relationships/hyperlink" Target="https://d18vdu4p71yql0.cloudfront.net/libraries/arasaac/one%20o'clock.png" TargetMode="External"/><Relationship Id="rId149" Type="http://schemas.openxmlformats.org/officeDocument/2006/relationships/hyperlink" Target="https://d18vdu4p71yql0.cloudfront.net/libraries/mulberry/bread.svg" TargetMode="External"/><Relationship Id="rId4" Type="http://schemas.openxmlformats.org/officeDocument/2006/relationships/hyperlink" Target="https://d18vdu4p71yql0.cloudfront.net/libraries/arasaac/two%20o'clock.png" TargetMode="External"/><Relationship Id="rId148" Type="http://schemas.openxmlformats.org/officeDocument/2006/relationships/hyperlink" Target="https://d18vdu4p71yql0.cloudfront.net/libraries/arasaac/bread_1.png" TargetMode="External"/><Relationship Id="rId9" Type="http://schemas.openxmlformats.org/officeDocument/2006/relationships/hyperlink" Target="https://d18vdu4p71yql0.cloudfront.net/libraries/arasaac/seven%20o'clock.png" TargetMode="External"/><Relationship Id="rId143" Type="http://schemas.openxmlformats.org/officeDocument/2006/relationships/hyperlink" Target="https://d18vdu4p71yql0.cloudfront.net/libraries/sclera/bore.png" TargetMode="External"/><Relationship Id="rId385" Type="http://schemas.openxmlformats.org/officeDocument/2006/relationships/hyperlink" Target="https://d18vdu4p71yql0.cloudfront.net/libraries/arasaac/hat.png" TargetMode="External"/><Relationship Id="rId142" Type="http://schemas.openxmlformats.org/officeDocument/2006/relationships/hyperlink" Target="https://d18vdu4p71yql0.cloudfront.net/libraries/mulberry/wellington%20boots.svg" TargetMode="External"/><Relationship Id="rId384" Type="http://schemas.openxmlformats.org/officeDocument/2006/relationships/hyperlink" Target="https://d18vdu4p71yql0.cloudfront.net/libraries/arasaac/hand.png.variant-medium-dark.png" TargetMode="External"/><Relationship Id="rId141" Type="http://schemas.openxmlformats.org/officeDocument/2006/relationships/hyperlink" Target="https://d18vdu4p71yql0.cloudfront.net/libraries/arasaac/book.png" TargetMode="External"/><Relationship Id="rId383" Type="http://schemas.openxmlformats.org/officeDocument/2006/relationships/hyperlink" Target="https://d18vdu4p71yql0.cloudfront.net/libraries/twemoji/1f468-1f3fe-200d-1f9b1.svg" TargetMode="External"/><Relationship Id="rId140" Type="http://schemas.openxmlformats.org/officeDocument/2006/relationships/hyperlink" Target="https://d18vdu4p71yql0.cloudfront.net/libraries/sclera/kettle%20boils.png" TargetMode="External"/><Relationship Id="rId382" Type="http://schemas.openxmlformats.org/officeDocument/2006/relationships/hyperlink" Target="https://d18vdu4p71yql0.cloudfront.net/libraries/noun-project/Writing_846_g.svg" TargetMode="External"/><Relationship Id="rId5" Type="http://schemas.openxmlformats.org/officeDocument/2006/relationships/hyperlink" Target="https://d18vdu4p71yql0.cloudfront.net/libraries/arasaac/three%20o'clock.png" TargetMode="External"/><Relationship Id="rId147" Type="http://schemas.openxmlformats.org/officeDocument/2006/relationships/hyperlink" Target="https://d18vdu4p71yql0.cloudfront.net/libraries/sclera/brainstorming.png" TargetMode="External"/><Relationship Id="rId389" Type="http://schemas.openxmlformats.org/officeDocument/2006/relationships/hyperlink" Target="https://d18vdu4p71yql0.cloudfront.net/libraries/arasaac/to%20have_4.png.variant-medium-dark.png" TargetMode="External"/><Relationship Id="rId6" Type="http://schemas.openxmlformats.org/officeDocument/2006/relationships/hyperlink" Target="https://d18vdu4p71yql0.cloudfront.net/libraries/arasaac/four%20o'clock.png" TargetMode="External"/><Relationship Id="rId146" Type="http://schemas.openxmlformats.org/officeDocument/2006/relationships/hyperlink" Target="https://d18vdu4p71yql0.cloudfront.net/libraries/arasaac/boxing.png.varianted-skin.png" TargetMode="External"/><Relationship Id="rId388" Type="http://schemas.openxmlformats.org/officeDocument/2006/relationships/hyperlink" Target="https://d18vdu4p71yql0.cloudfront.net/libraries/arasaac/hard.png.varianted-skin.png" TargetMode="External"/><Relationship Id="rId7" Type="http://schemas.openxmlformats.org/officeDocument/2006/relationships/hyperlink" Target="https://d18vdu4p71yql0.cloudfront.net/libraries/arasaac/five%20o'clock.png" TargetMode="External"/><Relationship Id="rId145" Type="http://schemas.openxmlformats.org/officeDocument/2006/relationships/hyperlink" Target="https://d18vdu4p71yql0.cloudfront.net/libraries/arasaac/to%20bounce.png.variant-dark.png" TargetMode="External"/><Relationship Id="rId387" Type="http://schemas.openxmlformats.org/officeDocument/2006/relationships/hyperlink" Target="https://d18vdu4p71yql0.cloudfront.net/libraries/noun-project/Happy_517_g.svg" TargetMode="External"/><Relationship Id="rId8" Type="http://schemas.openxmlformats.org/officeDocument/2006/relationships/hyperlink" Target="https://d18vdu4p71yql0.cloudfront.net/libraries/arasaac/six%20o'clock.png" TargetMode="External"/><Relationship Id="rId144" Type="http://schemas.openxmlformats.org/officeDocument/2006/relationships/hyperlink" Target="https://d18vdu4p71yql0.cloudfront.net/libraries/arasaac/to%20bounce.png.varianted-skin.png" TargetMode="External"/><Relationship Id="rId386" Type="http://schemas.openxmlformats.org/officeDocument/2006/relationships/hyperlink" Target="https://upload.wikimedia.org/wikipedia/commons/thumb/d/d9/Hanover_in_Jamaica.svg/1200px-Hanover_in_Jamaica.svg.png" TargetMode="External"/><Relationship Id="rId381" Type="http://schemas.openxmlformats.org/officeDocument/2006/relationships/hyperlink" Target="https://d18vdu4p71yql0.cloudfront.net/libraries/sclera/guardian.png" TargetMode="External"/><Relationship Id="rId380" Type="http://schemas.openxmlformats.org/officeDocument/2006/relationships/hyperlink" Target="https://d18vdu4p71yql0.cloudfront.net/libraries/arasaac/growth_1.png" TargetMode="External"/><Relationship Id="rId139" Type="http://schemas.openxmlformats.org/officeDocument/2006/relationships/hyperlink" Target="https://d18vdu4p71yql0.cloudfront.net/libraries/arasaac/to%20boil.png" TargetMode="External"/><Relationship Id="rId138" Type="http://schemas.openxmlformats.org/officeDocument/2006/relationships/hyperlink" Target="https://d18vdu4p71yql0.cloudfront.net/libraries/arasaac/body_4.png.variant-medium.png" TargetMode="External"/><Relationship Id="rId137" Type="http://schemas.openxmlformats.org/officeDocument/2006/relationships/hyperlink" Target="https://images.rove.me/w_1920,q_85/sw5dxjw4bauegz6dhjdy/jamaica-blue-mountain-peak-hiking.jpg" TargetMode="External"/><Relationship Id="rId379" Type="http://schemas.openxmlformats.org/officeDocument/2006/relationships/hyperlink" Target="https://d18vdu4p71yql0.cloudfront.net/libraries/arasaac/to%20grow_1.png" TargetMode="External"/><Relationship Id="rId132" Type="http://schemas.openxmlformats.org/officeDocument/2006/relationships/hyperlink" Target="https://d18vdu4p71yql0.cloudfront.net/libraries/mulberry/black.svg" TargetMode="External"/><Relationship Id="rId374" Type="http://schemas.openxmlformats.org/officeDocument/2006/relationships/hyperlink" Target="https://d18vdu4p71yql0.cloudfront.net/libraries/arasaac/is%20greater%20than.png" TargetMode="External"/><Relationship Id="rId131" Type="http://schemas.openxmlformats.org/officeDocument/2006/relationships/hyperlink" Target="https://www.shutterstock.com/image-vector/vector-illustration-grimacing-face-sticking-260nw-622236248.jpg" TargetMode="External"/><Relationship Id="rId373" Type="http://schemas.openxmlformats.org/officeDocument/2006/relationships/hyperlink" Target="https://d18vdu4p71yql0.cloudfront.net/libraries/noun-project/grin_354_625251.svg" TargetMode="External"/><Relationship Id="rId130" Type="http://schemas.openxmlformats.org/officeDocument/2006/relationships/hyperlink" Target="https://d18vdu4p71yql0.cloudfront.net/libraries/arasaac/birthdays_5.png.variant-dark.png" TargetMode="External"/><Relationship Id="rId372" Type="http://schemas.openxmlformats.org/officeDocument/2006/relationships/hyperlink" Target="https://d18vdu4p71yql0.cloudfront.net/libraries/arasaac/graphic%20design_1.png.varianted-skin.png" TargetMode="External"/><Relationship Id="rId371" Type="http://schemas.openxmlformats.org/officeDocument/2006/relationships/hyperlink" Target="https://d18vdu4p71yql0.cloudfront.net/libraries/arasaac/grandparents_4.png.variant-dark.png" TargetMode="External"/><Relationship Id="rId136" Type="http://schemas.openxmlformats.org/officeDocument/2006/relationships/hyperlink" Target="https://d18vdu4p71yql0.cloudfront.net/libraries/mulberry/blue.svg" TargetMode="External"/><Relationship Id="rId378" Type="http://schemas.openxmlformats.org/officeDocument/2006/relationships/hyperlink" Target="https://d18vdu4p71yql0.cloudfront.net/libraries/arasaac/group%20therapy.png.varianted-skin.png" TargetMode="External"/><Relationship Id="rId135" Type="http://schemas.openxmlformats.org/officeDocument/2006/relationships/hyperlink" Target="https://d18vdu4p71yql0.cloudfront.net/libraries/arasaac/blouse.png" TargetMode="External"/><Relationship Id="rId377" Type="http://schemas.openxmlformats.org/officeDocument/2006/relationships/hyperlink" Target="https://d18vdu4p71yql0.cloudfront.net/libraries/arasaac/groups.png.varianted-skin.png" TargetMode="External"/><Relationship Id="rId134" Type="http://schemas.openxmlformats.org/officeDocument/2006/relationships/hyperlink" Target="https://d18vdu4p71yql0.cloudfront.net/libraries/arasaac/jacket_3.png" TargetMode="External"/><Relationship Id="rId376" Type="http://schemas.openxmlformats.org/officeDocument/2006/relationships/hyperlink" Target="https://d18vdu4p71yql0.cloudfront.net/libraries/arasaac/group.png.variant-medium-dark.png" TargetMode="External"/><Relationship Id="rId133" Type="http://schemas.openxmlformats.org/officeDocument/2006/relationships/hyperlink" Target="https://d18vdu4p71yql0.cloudfront.net/libraries/arasaac/blanket_1.png" TargetMode="External"/><Relationship Id="rId375" Type="http://schemas.openxmlformats.org/officeDocument/2006/relationships/hyperlink" Target="https://d18vdu4p71yql0.cloudfront.net/libraries/mulberry/green.svg" TargetMode="External"/><Relationship Id="rId172" Type="http://schemas.openxmlformats.org/officeDocument/2006/relationships/hyperlink" Target="https://d18vdu4p71yql0.cloudfront.net/libraries/arasaac/cartoon.png" TargetMode="External"/><Relationship Id="rId171" Type="http://schemas.openxmlformats.org/officeDocument/2006/relationships/hyperlink" Target="https://d18vdu4p71yql0.cloudfront.net/libraries/arasaac/carpet.png" TargetMode="External"/><Relationship Id="rId170" Type="http://schemas.openxmlformats.org/officeDocument/2006/relationships/hyperlink" Target="https://d18vdu4p71yql0.cloudfront.net/libraries/noun-project/short-jeans_19_g.svg" TargetMode="External"/><Relationship Id="rId165" Type="http://schemas.openxmlformats.org/officeDocument/2006/relationships/hyperlink" Target="https://d18vdu4p71yql0.cloudfront.net/libraries/arasaac/captain.png.varianted-skin.png" TargetMode="External"/><Relationship Id="rId164" Type="http://schemas.openxmlformats.org/officeDocument/2006/relationships/hyperlink" Target="https://upload.wikimedia.org/wikipedia/commons/f/f3/Assamese_fried_leafy_vegetable.jpg" TargetMode="External"/><Relationship Id="rId163" Type="http://schemas.openxmlformats.org/officeDocument/2006/relationships/hyperlink" Target="https://d18vdu4p71yql0.cloudfront.net/libraries/arasaac/call.png.varianted-skin.png" TargetMode="External"/><Relationship Id="rId162" Type="http://schemas.openxmlformats.org/officeDocument/2006/relationships/hyperlink" Target="https://d18vdu4p71yql0.cloudfront.net/libraries/arasaac/calendar.png" TargetMode="External"/><Relationship Id="rId169" Type="http://schemas.openxmlformats.org/officeDocument/2006/relationships/hyperlink" Target="https://d18vdu4p71yql0.cloudfront.net/libraries/arasaac/job_3.png.varianted-skin.png" TargetMode="External"/><Relationship Id="rId168" Type="http://schemas.openxmlformats.org/officeDocument/2006/relationships/hyperlink" Target="https://d18vdu4p71yql0.cloudfront.net/libraries/arasaac/jacket_4.png" TargetMode="External"/><Relationship Id="rId167" Type="http://schemas.openxmlformats.org/officeDocument/2006/relationships/hyperlink" Target="https://d18vdu4p71yql0.cloudfront.net/libraries/mulberry/carbohydrates.svg" TargetMode="External"/><Relationship Id="rId166" Type="http://schemas.openxmlformats.org/officeDocument/2006/relationships/hyperlink" Target="https://d18vdu4p71yql0.cloudfront.net/libraries/arasaac/car.png" TargetMode="External"/><Relationship Id="rId161" Type="http://schemas.openxmlformats.org/officeDocument/2006/relationships/hyperlink" Target="https://d18vdu4p71yql0.cloudfront.net/libraries/arasaac/cake.png" TargetMode="External"/><Relationship Id="rId160" Type="http://schemas.openxmlformats.org/officeDocument/2006/relationships/hyperlink" Target="https://d18vdu4p71yql0.cloudfront.net/libraries/arasaac/to%20unbutton.png.varianted-skin.png" TargetMode="External"/><Relationship Id="rId159" Type="http://schemas.openxmlformats.org/officeDocument/2006/relationships/hyperlink" Target="https://d18vdu4p71yql0.cloudfront.net/libraries/arasaac/spread_1.png.varianted-skin.png" TargetMode="External"/><Relationship Id="rId154" Type="http://schemas.openxmlformats.org/officeDocument/2006/relationships/hyperlink" Target="https://d18vdu4p71yql0.cloudfront.net/libraries/mulberry/brown.svg" TargetMode="External"/><Relationship Id="rId396" Type="http://schemas.openxmlformats.org/officeDocument/2006/relationships/hyperlink" Target="https://d18vdu4p71yql0.cloudfront.net/libraries/noun-project/help_510_g.svg" TargetMode="External"/><Relationship Id="rId153" Type="http://schemas.openxmlformats.org/officeDocument/2006/relationships/hyperlink" Target="https://d18vdu4p71yql0.cloudfront.net/libraries/arasaac/brother.png.variant-dark.png" TargetMode="External"/><Relationship Id="rId395" Type="http://schemas.openxmlformats.org/officeDocument/2006/relationships/hyperlink" Target="https://d18vdu4p71yql0.cloudfront.net/libraries/mulberry/heavy.svg" TargetMode="External"/><Relationship Id="rId152" Type="http://schemas.openxmlformats.org/officeDocument/2006/relationships/hyperlink" Target="https://d18vdu4p71yql0.cloudfront.net/libraries/arasaac/broom.png" TargetMode="External"/><Relationship Id="rId394" Type="http://schemas.openxmlformats.org/officeDocument/2006/relationships/hyperlink" Target="https://d18vdu4p71yql0.cloudfront.net/libraries/twemoji/1f3cb-var1f3ffUNI.svg" TargetMode="External"/><Relationship Id="rId151" Type="http://schemas.openxmlformats.org/officeDocument/2006/relationships/hyperlink" Target="https://d18vdu4p71yql0.cloudfront.net/libraries/arasaac/breakfast.png.varianted-skin.png" TargetMode="External"/><Relationship Id="rId393" Type="http://schemas.openxmlformats.org/officeDocument/2006/relationships/hyperlink" Target="https://d18vdu4p71yql0.cloudfront.net/libraries/noun-project/Head_396_g.svg" TargetMode="External"/><Relationship Id="rId158" Type="http://schemas.openxmlformats.org/officeDocument/2006/relationships/hyperlink" Target="https://d18vdu4p71yql0.cloudfront.net/libraries/arasaac/butter.png" TargetMode="External"/><Relationship Id="rId157" Type="http://schemas.openxmlformats.org/officeDocument/2006/relationships/hyperlink" Target="https://d18vdu4p71yql0.cloudfront.net/libraries/arasaac/burn.png.varianted-skin.png" TargetMode="External"/><Relationship Id="rId399" Type="http://schemas.openxmlformats.org/officeDocument/2006/relationships/hyperlink" Target="https://d18vdu4p71yql0.cloudfront.net/libraries/arasaac/chicken.png" TargetMode="External"/><Relationship Id="rId156" Type="http://schemas.openxmlformats.org/officeDocument/2006/relationships/hyperlink" Target="https://d18vdu4p71yql0.cloudfront.net/libraries/arasaac/wrinkled_2.png.variant-medium-dark.png" TargetMode="External"/><Relationship Id="rId398" Type="http://schemas.openxmlformats.org/officeDocument/2006/relationships/hyperlink" Target="https://d18vdu4p71yql0.cloudfront.net/libraries/arasaac/hood.png" TargetMode="External"/><Relationship Id="rId155" Type="http://schemas.openxmlformats.org/officeDocument/2006/relationships/hyperlink" Target="https://d18vdu4p71yql0.cloudfront.net/libraries/arasaac/Blind%20man's%20buff_1.png.variant-dark.png" TargetMode="External"/><Relationship Id="rId397" Type="http://schemas.openxmlformats.org/officeDocument/2006/relationships/hyperlink" Target="https://i.imgur.com/E1mE6fa.png" TargetMode="External"/><Relationship Id="rId808" Type="http://schemas.openxmlformats.org/officeDocument/2006/relationships/hyperlink" Target="https://upload.wikimedia.org/wikipedia/commons/thumb/0/0b/Saint_Mary_in_Jamaica.svg/1200px-Saint_Mary_in_Jamaica.svg.png" TargetMode="External"/><Relationship Id="rId807" Type="http://schemas.openxmlformats.org/officeDocument/2006/relationships/hyperlink" Target="https://upload.wikimedia.org/wikipedia/commons/thumb/c/cc/Saint_James_in_Jamaica.svg/1200px-Saint_James_in_Jamaica.svg.png" TargetMode="External"/><Relationship Id="rId806" Type="http://schemas.openxmlformats.org/officeDocument/2006/relationships/hyperlink" Target="https://upload.wikimedia.org/wikipedia/commons/thumb/d/da/Saint_Elizabeth_in_Jamaica.svg/1200px-Saint_Elizabeth_in_Jamaica.svg.png" TargetMode="External"/><Relationship Id="rId805" Type="http://schemas.openxmlformats.org/officeDocument/2006/relationships/hyperlink" Target="https://upload.wikimedia.org/wikipedia/commons/thumb/d/df/Saint_Catherine_in_Jamaica.svg/1200px-Saint_Catherine_in_Jamaica.svg.png" TargetMode="External"/><Relationship Id="rId809" Type="http://schemas.openxmlformats.org/officeDocument/2006/relationships/hyperlink" Target="https://upload.wikimedia.org/wikipedia/commons/thumb/e/ed/Saint_Thomas_in_Jamaica.svg/1200px-Saint_Thomas_in_Jamaica.svg.png" TargetMode="External"/><Relationship Id="rId800" Type="http://schemas.openxmlformats.org/officeDocument/2006/relationships/hyperlink" Target="https://d18vdu4p71yql0.cloudfront.net/libraries/noun-project/square_6403_21b550c3-17e0-4d65-9ac9-e19f36b13354.svg" TargetMode="External"/><Relationship Id="rId804" Type="http://schemas.openxmlformats.org/officeDocument/2006/relationships/hyperlink" Target="https://upload.wikimedia.org/wikipedia/commons/thumb/7/7a/Saint_Ann_in_Jamaica.svg/1200px-Saint_Ann_in_Jamaica.svg.png" TargetMode="External"/><Relationship Id="rId803" Type="http://schemas.openxmlformats.org/officeDocument/2006/relationships/hyperlink" Target="https://encrypted-tbn0.gstatic.com/images?q=tbn:ANd9GcQIUHjfXbUeiz4n8wkbaT--P0-uc3xd7ofq-xfjKGmeDi9lJtZ5BPdh2zBDxDyDHrQs0UI&amp;usqp=CAU" TargetMode="External"/><Relationship Id="rId802" Type="http://schemas.openxmlformats.org/officeDocument/2006/relationships/hyperlink" Target="https://d18vdu4p71yql0.cloudfront.net/libraries/arasaac/to%20crush.png.variant-dark.png" TargetMode="External"/><Relationship Id="rId801" Type="http://schemas.openxmlformats.org/officeDocument/2006/relationships/hyperlink" Target="https://d18vdu4p71yql0.cloudfront.net/libraries/noun-project/square_197_g.svg" TargetMode="External"/><Relationship Id="rId40" Type="http://schemas.openxmlformats.org/officeDocument/2006/relationships/hyperlink" Target="https://d18vdu4p71yql0.cloudfront.net/libraries/tawasol/Mall.png" TargetMode="External"/><Relationship Id="rId42" Type="http://schemas.openxmlformats.org/officeDocument/2006/relationships/hyperlink" Target="https://d18vdu4p71yql0.cloudfront.net/libraries/mulberry/after.svg" TargetMode="External"/><Relationship Id="rId41" Type="http://schemas.openxmlformats.org/officeDocument/2006/relationships/hyperlink" Target="https://d18vdu4p71yql0.cloudfront.net/libraries/noun-project/africa_30_3354.svg" TargetMode="External"/><Relationship Id="rId44" Type="http://schemas.openxmlformats.org/officeDocument/2006/relationships/hyperlink" Target="https://d18vdu4p71yql0.cloudfront.net/libraries/arasaac/against.png" TargetMode="External"/><Relationship Id="rId43" Type="http://schemas.openxmlformats.org/officeDocument/2006/relationships/hyperlink" Target="https://d18vdu4p71yql0.cloudfront.net/libraries/noun-project/Repeat-a1aac40990.svg" TargetMode="External"/><Relationship Id="rId46" Type="http://schemas.openxmlformats.org/officeDocument/2006/relationships/hyperlink" Target="https://d18vdu4p71yql0.cloudfront.net/libraries/arasaac/alive.png" TargetMode="External"/><Relationship Id="rId45" Type="http://schemas.openxmlformats.org/officeDocument/2006/relationships/hyperlink" Target="https://d18vdu4p71yql0.cloudfront.net/libraries/noun-project/Target-20946d36bd.svg" TargetMode="External"/><Relationship Id="rId509" Type="http://schemas.openxmlformats.org/officeDocument/2006/relationships/hyperlink" Target="https://i.imgur.com/xwFyLQN.png" TargetMode="External"/><Relationship Id="rId508" Type="http://schemas.openxmlformats.org/officeDocument/2006/relationships/hyperlink" Target="https://i.imgur.com/xwFyLQN.png" TargetMode="External"/><Relationship Id="rId503" Type="http://schemas.openxmlformats.org/officeDocument/2006/relationships/hyperlink" Target="http://jis.gov.jm/media/vitae-640x425.jpg" TargetMode="External"/><Relationship Id="rId745" Type="http://schemas.openxmlformats.org/officeDocument/2006/relationships/hyperlink" Target="https://d18vdu4p71yql0.cloudfront.net/libraries/coughdrop_symbols/september.png" TargetMode="External"/><Relationship Id="rId502" Type="http://schemas.openxmlformats.org/officeDocument/2006/relationships/hyperlink" Target="https://d18vdu4p71yql0.cloudfront.net/libraries/arasaac/ray.png" TargetMode="External"/><Relationship Id="rId744" Type="http://schemas.openxmlformats.org/officeDocument/2006/relationships/hyperlink" Target="https://d18vdu4p71yql0.cloudfront.net/libraries/sclera/senses.png" TargetMode="External"/><Relationship Id="rId501" Type="http://schemas.openxmlformats.org/officeDocument/2006/relationships/hyperlink" Target="https://d18vdu4p71yql0.cloudfront.net/libraries/mulberry/light.svg" TargetMode="External"/><Relationship Id="rId743" Type="http://schemas.openxmlformats.org/officeDocument/2006/relationships/hyperlink" Target="https://d18vdu4p71yql0.cloudfront.net/libraries/arasaac/senses.png.varianted-skin.png" TargetMode="External"/><Relationship Id="rId500" Type="http://schemas.openxmlformats.org/officeDocument/2006/relationships/hyperlink" Target="https://d18vdu4p71yql0.cloudfront.net/libraries/mulberry/light.svg" TargetMode="External"/><Relationship Id="rId742" Type="http://schemas.openxmlformats.org/officeDocument/2006/relationships/hyperlink" Target="https://d18vdu4p71yql0.cloudfront.net/libraries/arasaac/old%20person_1.png.variant-dark.png" TargetMode="External"/><Relationship Id="rId507" Type="http://schemas.openxmlformats.org/officeDocument/2006/relationships/hyperlink" Target="https://i.imgur.com/xwFyLQN.png" TargetMode="External"/><Relationship Id="rId749" Type="http://schemas.openxmlformats.org/officeDocument/2006/relationships/hyperlink" Target="https://d18vdu4p71yql0.cloudfront.net/libraries/arasaac/drum%20set.png" TargetMode="External"/><Relationship Id="rId506" Type="http://schemas.openxmlformats.org/officeDocument/2006/relationships/hyperlink" Target="https://i.imgur.com/xwFyLQN.png" TargetMode="External"/><Relationship Id="rId748" Type="http://schemas.openxmlformats.org/officeDocument/2006/relationships/hyperlink" Target="https://d18vdu4p71yql0.cloudfront.net/libraries/arasaac/set.png.varianted-skin.png" TargetMode="External"/><Relationship Id="rId505" Type="http://schemas.openxmlformats.org/officeDocument/2006/relationships/hyperlink" Target="https://i.imgur.com/xwFyLQN.png" TargetMode="External"/><Relationship Id="rId747" Type="http://schemas.openxmlformats.org/officeDocument/2006/relationships/hyperlink" Target="https://d18vdu4p71yql0.cloudfront.net/libraries/arasaac/set.png.varianted-skin.png" TargetMode="External"/><Relationship Id="rId504" Type="http://schemas.openxmlformats.org/officeDocument/2006/relationships/hyperlink" Target="https://i.imgur.com/xwFyLQN.png" TargetMode="External"/><Relationship Id="rId746" Type="http://schemas.openxmlformats.org/officeDocument/2006/relationships/hyperlink" Target="https://d18vdu4p71yql0.cloudfront.net/libraries/arasaac/sequence.png" TargetMode="External"/><Relationship Id="rId48" Type="http://schemas.openxmlformats.org/officeDocument/2006/relationships/hyperlink" Target="https://d18vdu4p71yql0.cloudfront.net/libraries/sclera/paper%20alternating%20stacked%20copy.png" TargetMode="External"/><Relationship Id="rId47" Type="http://schemas.openxmlformats.org/officeDocument/2006/relationships/hyperlink" Target="https://d18vdu4p71yql0.cloudfront.net/libraries/arasaac/alone.png.varianted-skin.png" TargetMode="External"/><Relationship Id="rId49" Type="http://schemas.openxmlformats.org/officeDocument/2006/relationships/hyperlink" Target="https://d18vdu4p71yql0.cloudfront.net/libraries/arasaac/although.png" TargetMode="External"/><Relationship Id="rId741" Type="http://schemas.openxmlformats.org/officeDocument/2006/relationships/hyperlink" Target="https://d18vdu4p71yql0.cloudfront.net/libraries/noun-project/old-man_409_g.svg" TargetMode="External"/><Relationship Id="rId740" Type="http://schemas.openxmlformats.org/officeDocument/2006/relationships/hyperlink" Target="https://d18vdu4p71yql0.cloudfront.net/libraries/noun-project/choose_683_86700.svg" TargetMode="External"/><Relationship Id="rId31" Type="http://schemas.openxmlformats.org/officeDocument/2006/relationships/hyperlink" Target="https://d18vdu4p71yql0.cloudfront.net/libraries/arasaac/accident_2.png" TargetMode="External"/><Relationship Id="rId30" Type="http://schemas.openxmlformats.org/officeDocument/2006/relationships/hyperlink" Target="https://d18vdu4p71yql0.cloudfront.net/libraries/arasaac/above.png" TargetMode="External"/><Relationship Id="rId33" Type="http://schemas.openxmlformats.org/officeDocument/2006/relationships/hyperlink" Target="https://d18vdu4p71yql0.cloudfront.net/libraries/arasaac/according%20to.png" TargetMode="External"/><Relationship Id="rId32" Type="http://schemas.openxmlformats.org/officeDocument/2006/relationships/hyperlink" Target="https://d18vdu4p71yql0.cloudfront.net/libraries/noun-project/Checklist_661_g.svg" TargetMode="External"/><Relationship Id="rId35" Type="http://schemas.openxmlformats.org/officeDocument/2006/relationships/hyperlink" Target="https://ychef.files.bbci.co.uk/976x549/p099bkjt.jpg" TargetMode="External"/><Relationship Id="rId34" Type="http://schemas.openxmlformats.org/officeDocument/2006/relationships/hyperlink" Target="https://d18vdu4p71yql0.cloudfront.net/libraries/noun-project/Trophy_765_g.svg" TargetMode="External"/><Relationship Id="rId739" Type="http://schemas.openxmlformats.org/officeDocument/2006/relationships/hyperlink" Target="https://d18vdu4p71yql0.cloudfront.net/libraries/arasaac/segment.png" TargetMode="External"/><Relationship Id="rId734" Type="http://schemas.openxmlformats.org/officeDocument/2006/relationships/hyperlink" Target="https://d18vdu4p71yql0.cloudfront.net/libraries/sclera/scream_2.png" TargetMode="External"/><Relationship Id="rId976" Type="http://schemas.openxmlformats.org/officeDocument/2006/relationships/vmlDrawing" Target="../drawings/vmlDrawing1.vml"/><Relationship Id="rId733" Type="http://schemas.openxmlformats.org/officeDocument/2006/relationships/hyperlink" Target="https://d18vdu4p71yql0.cloudfront.net/libraries/arasaac/to%20scream.png" TargetMode="External"/><Relationship Id="rId975" Type="http://schemas.openxmlformats.org/officeDocument/2006/relationships/drawing" Target="../drawings/drawing1.xml"/><Relationship Id="rId732" Type="http://schemas.openxmlformats.org/officeDocument/2006/relationships/hyperlink" Target="https://d18vdu4p71yql0.cloudfront.net/libraries/arasaac/score.png" TargetMode="External"/><Relationship Id="rId974" Type="http://schemas.openxmlformats.org/officeDocument/2006/relationships/hyperlink" Target="https://i.imgur.com/XJfGSDX.png" TargetMode="External"/><Relationship Id="rId731" Type="http://schemas.openxmlformats.org/officeDocument/2006/relationships/hyperlink" Target="https://d18vdu4p71yql0.cloudfront.net/libraries/arasaac/number%2030.png" TargetMode="External"/><Relationship Id="rId973" Type="http://schemas.openxmlformats.org/officeDocument/2006/relationships/hyperlink" Target="https://i.imgur.com/GdDhPpD.png" TargetMode="External"/><Relationship Id="rId738" Type="http://schemas.openxmlformats.org/officeDocument/2006/relationships/hyperlink" Target="https://d18vdu4p71yql0.cloudfront.net/libraries/arasaac/to%20search_1.png.varianted-skin.png" TargetMode="External"/><Relationship Id="rId737" Type="http://schemas.openxmlformats.org/officeDocument/2006/relationships/hyperlink" Target="https://d18vdu4p71yql0.cloudfront.net/libraries/arasaac/to%20see_5.png" TargetMode="External"/><Relationship Id="rId736" Type="http://schemas.openxmlformats.org/officeDocument/2006/relationships/hyperlink" Target="https://d18vdu4p71yql0.cloudfront.net/libraries/arasaac/to%20see_4.png.varianted-skin.png" TargetMode="External"/><Relationship Id="rId735" Type="http://schemas.openxmlformats.org/officeDocument/2006/relationships/hyperlink" Target="https://d18vdu4p71yql0.cloudfront.net/libraries/mulberry/second.svg" TargetMode="External"/><Relationship Id="rId37" Type="http://schemas.openxmlformats.org/officeDocument/2006/relationships/hyperlink" Target="https://d18vdu4p71yql0.cloudfront.net/libraries/noun-project/add_207_49519.svg" TargetMode="External"/><Relationship Id="rId36" Type="http://schemas.openxmlformats.org/officeDocument/2006/relationships/hyperlink" Target="https://d18vdu4p71yql0.cloudfront.net/libraries/mulberry/across.svg" TargetMode="External"/><Relationship Id="rId39" Type="http://schemas.openxmlformats.org/officeDocument/2006/relationships/hyperlink" Target="https://d18vdu4p71yql0.cloudfront.net/libraries/arasaac/adventure.png.varianted-skin.png" TargetMode="External"/><Relationship Id="rId38" Type="http://schemas.openxmlformats.org/officeDocument/2006/relationships/hyperlink" Target="https://d18vdu4p71yql0.cloudfront.net/libraries/noun-project/Person-1361bc9acf.svg" TargetMode="External"/><Relationship Id="rId730" Type="http://schemas.openxmlformats.org/officeDocument/2006/relationships/hyperlink" Target="https://d18vdu4p71yql0.cloudfront.net/libraries/arasaac/high%20school%20-%20secondary%20school.png" TargetMode="External"/><Relationship Id="rId972" Type="http://schemas.openxmlformats.org/officeDocument/2006/relationships/hyperlink" Target="https://i.imgur.com/7zK7UW7.png" TargetMode="External"/><Relationship Id="rId971" Type="http://schemas.openxmlformats.org/officeDocument/2006/relationships/hyperlink" Target="https://i.imgur.com/beKufXh.png" TargetMode="External"/><Relationship Id="rId970" Type="http://schemas.openxmlformats.org/officeDocument/2006/relationships/hyperlink" Target="https://i.imgur.com/qyTTRxd.png" TargetMode="External"/><Relationship Id="rId20" Type="http://schemas.openxmlformats.org/officeDocument/2006/relationships/hyperlink" Target="https://d18vdu4p71yql0.cloudfront.net/libraries/arasaac/six%20o'clock.png" TargetMode="External"/><Relationship Id="rId22" Type="http://schemas.openxmlformats.org/officeDocument/2006/relationships/hyperlink" Target="https://d18vdu4p71yql0.cloudfront.net/libraries/arasaac/eight%20o'clock.png" TargetMode="External"/><Relationship Id="rId21" Type="http://schemas.openxmlformats.org/officeDocument/2006/relationships/hyperlink" Target="https://d18vdu4p71yql0.cloudfront.net/libraries/arasaac/seven%20o'clock.png" TargetMode="External"/><Relationship Id="rId24" Type="http://schemas.openxmlformats.org/officeDocument/2006/relationships/hyperlink" Target="https://d18vdu4p71yql0.cloudfront.net/libraries/arasaac/ten%20o'clock.png" TargetMode="External"/><Relationship Id="rId23" Type="http://schemas.openxmlformats.org/officeDocument/2006/relationships/hyperlink" Target="https://d18vdu4p71yql0.cloudfront.net/libraries/arasaac/nine%20o'clock.png" TargetMode="External"/><Relationship Id="rId525" Type="http://schemas.openxmlformats.org/officeDocument/2006/relationships/hyperlink" Target="https://d18vdu4p71yql0.cloudfront.net/libraries/noun-project/high-volume_161_g.svg" TargetMode="External"/><Relationship Id="rId767" Type="http://schemas.openxmlformats.org/officeDocument/2006/relationships/hyperlink" Target="https://d18vdu4p71yql0.cloudfront.net/libraries/arasaac/sister.png.variant-dark.png" TargetMode="External"/><Relationship Id="rId524" Type="http://schemas.openxmlformats.org/officeDocument/2006/relationships/hyperlink" Target="https://d18vdu4p71yql0.cloudfront.net/libraries/icomoon/loop-alt1.svg" TargetMode="External"/><Relationship Id="rId766" Type="http://schemas.openxmlformats.org/officeDocument/2006/relationships/hyperlink" Target="https://d18vdu4p71yql0.cloudfront.net/libraries/arasaac/siren_1.png" TargetMode="External"/><Relationship Id="rId523" Type="http://schemas.openxmlformats.org/officeDocument/2006/relationships/hyperlink" Target="https://d18vdu4p71yql0.cloudfront.net/libraries/mulberry/long.svg" TargetMode="External"/><Relationship Id="rId765" Type="http://schemas.openxmlformats.org/officeDocument/2006/relationships/hyperlink" Target="https://d18vdu4p71yql0.cloudfront.net/libraries/arasaac/to%20sing_1.png.variant-medium-dark.png" TargetMode="External"/><Relationship Id="rId522" Type="http://schemas.openxmlformats.org/officeDocument/2006/relationships/hyperlink" Target="https://d18vdu4p71yql0.cloudfront.net/libraries/mulberry/long.svg" TargetMode="External"/><Relationship Id="rId764" Type="http://schemas.openxmlformats.org/officeDocument/2006/relationships/hyperlink" Target="https://d18vdu4p71yql0.cloudfront.net/libraries/arasaac/to%20sing_2.png" TargetMode="External"/><Relationship Id="rId529" Type="http://schemas.openxmlformats.org/officeDocument/2006/relationships/hyperlink" Target="https://d18vdu4p71yql0.cloudfront.net/libraries/sclera/idea.png" TargetMode="External"/><Relationship Id="rId528" Type="http://schemas.openxmlformats.org/officeDocument/2006/relationships/hyperlink" Target="https://d18vdu4p71yql0.cloudfront.net/libraries/arasaac/to%20get%20angry%20with_4.png" TargetMode="External"/><Relationship Id="rId527" Type="http://schemas.openxmlformats.org/officeDocument/2006/relationships/hyperlink" Target="https://d18vdu4p71yql0.cloudfront.net/libraries/mulberry/lunch%202.svg" TargetMode="External"/><Relationship Id="rId769" Type="http://schemas.openxmlformats.org/officeDocument/2006/relationships/hyperlink" Target="https://d18vdu4p71yql0.cloudfront.net/libraries/arasaac/to%20read_3.png" TargetMode="External"/><Relationship Id="rId526" Type="http://schemas.openxmlformats.org/officeDocument/2006/relationships/hyperlink" Target="https://d18vdu4p71yql0.cloudfront.net/libraries/mulberry/lunch%202.svg" TargetMode="External"/><Relationship Id="rId768" Type="http://schemas.openxmlformats.org/officeDocument/2006/relationships/hyperlink" Target="https://d18vdu4p71yql0.cloudfront.net/libraries/arasaac/skateboard.png" TargetMode="External"/><Relationship Id="rId26" Type="http://schemas.openxmlformats.org/officeDocument/2006/relationships/hyperlink" Target="https://d18vdu4p71yql0.cloudfront.net/libraries/arasaac/a.png" TargetMode="External"/><Relationship Id="rId25" Type="http://schemas.openxmlformats.org/officeDocument/2006/relationships/hyperlink" Target="https://d18vdu4p71yql0.cloudfront.net/libraries/arasaac/eleven%20o'clock.png" TargetMode="External"/><Relationship Id="rId28" Type="http://schemas.openxmlformats.org/officeDocument/2006/relationships/hyperlink" Target="https://d18vdu4p71yql0.cloudfront.net/libraries/arasaac/above.png" TargetMode="External"/><Relationship Id="rId27" Type="http://schemas.openxmlformats.org/officeDocument/2006/relationships/hyperlink" Target="https://d18vdu4p71yql0.cloudfront.net/libraries/mulberry/above.svg" TargetMode="External"/><Relationship Id="rId521" Type="http://schemas.openxmlformats.org/officeDocument/2006/relationships/hyperlink" Target="https://d18vdu4p71yql0.cloudfront.net/libraries/sclera/lonely_1.png" TargetMode="External"/><Relationship Id="rId763" Type="http://schemas.openxmlformats.org/officeDocument/2006/relationships/hyperlink" Target="https://d18vdu4p71yql0.cloudfront.net/libraries/sclera/compare%20diet.png" TargetMode="External"/><Relationship Id="rId29" Type="http://schemas.openxmlformats.org/officeDocument/2006/relationships/hyperlink" Target="https://d18vdu4p71yql0.cloudfront.net/libraries/arasaac/above.png" TargetMode="External"/><Relationship Id="rId520" Type="http://schemas.openxmlformats.org/officeDocument/2006/relationships/hyperlink" Target="https://d18vdu4p71yql0.cloudfront.net/libraries/arasaac/lizard.png" TargetMode="External"/><Relationship Id="rId762" Type="http://schemas.openxmlformats.org/officeDocument/2006/relationships/hyperlink" Target="https://d18vdu4p71yql0.cloudfront.net/libraries/sclera/be%20silent.png" TargetMode="External"/><Relationship Id="rId761" Type="http://schemas.openxmlformats.org/officeDocument/2006/relationships/hyperlink" Target="https://d18vdu4p71yql0.cloudfront.net/libraries/sclera/keep%20silent.png" TargetMode="External"/><Relationship Id="rId760" Type="http://schemas.openxmlformats.org/officeDocument/2006/relationships/hyperlink" Target="https://d18vdu4p71yql0.cloudfront.net/libraries/noun-project/Silence-c838e0b5c4.svg" TargetMode="External"/><Relationship Id="rId11" Type="http://schemas.openxmlformats.org/officeDocument/2006/relationships/hyperlink" Target="https://d18vdu4p71yql0.cloudfront.net/libraries/arasaac/nine%20o'clock.png" TargetMode="External"/><Relationship Id="rId10" Type="http://schemas.openxmlformats.org/officeDocument/2006/relationships/hyperlink" Target="https://d18vdu4p71yql0.cloudfront.net/libraries/arasaac/eight%20o'clock.png" TargetMode="External"/><Relationship Id="rId13" Type="http://schemas.openxmlformats.org/officeDocument/2006/relationships/hyperlink" Target="https://d18vdu4p71yql0.cloudfront.net/libraries/arasaac/eleven%20o'clock.png" TargetMode="External"/><Relationship Id="rId12" Type="http://schemas.openxmlformats.org/officeDocument/2006/relationships/hyperlink" Target="https://d18vdu4p71yql0.cloudfront.net/libraries/arasaac/ten%20o'clock.png" TargetMode="External"/><Relationship Id="rId519" Type="http://schemas.openxmlformats.org/officeDocument/2006/relationships/hyperlink" Target="https://d18vdu4p71yql0.cloudfront.net/libraries/tawasol/Majlis%20(living%20room%20qatari).jpg" TargetMode="External"/><Relationship Id="rId514" Type="http://schemas.openxmlformats.org/officeDocument/2006/relationships/hyperlink" Target="https://d18vdu4p71yql0.cloudfront.net/libraries/noun-project/Line%20Graph-a93ff1d067.svg" TargetMode="External"/><Relationship Id="rId756" Type="http://schemas.openxmlformats.org/officeDocument/2006/relationships/hyperlink" Target="https://d18vdu4p71yql0.cloudfront.net/libraries/sclera/korfball%20basket%20shooting.png" TargetMode="External"/><Relationship Id="rId513" Type="http://schemas.openxmlformats.org/officeDocument/2006/relationships/hyperlink" Target="https://d18vdu4p71yql0.cloudfront.net/libraries/noun-project/line_214_g.svg" TargetMode="External"/><Relationship Id="rId755" Type="http://schemas.openxmlformats.org/officeDocument/2006/relationships/hyperlink" Target="https://d18vdu4p71yql0.cloudfront.net/libraries/mulberry/shoe%20-%20mans.svg.varianted-skin.svg" TargetMode="External"/><Relationship Id="rId512" Type="http://schemas.openxmlformats.org/officeDocument/2006/relationships/hyperlink" Target="https://d18vdu4p71yql0.cloudfront.net/libraries/noun-project/Writing_846_g.svg" TargetMode="External"/><Relationship Id="rId754" Type="http://schemas.openxmlformats.org/officeDocument/2006/relationships/hyperlink" Target="https://d18vdu4p71yql0.cloudfront.net/libraries/mulberry/shirt.svg" TargetMode="External"/><Relationship Id="rId511" Type="http://schemas.openxmlformats.org/officeDocument/2006/relationships/hyperlink" Target="https://i.imgur.com/xwFyLQN.png" TargetMode="External"/><Relationship Id="rId753" Type="http://schemas.openxmlformats.org/officeDocument/2006/relationships/hyperlink" Target="https://d18vdu4p71yql0.cloudfront.net/libraries/arasaac/she.png.variant-medium-dark.png" TargetMode="External"/><Relationship Id="rId518" Type="http://schemas.openxmlformats.org/officeDocument/2006/relationships/hyperlink" Target="https://d18vdu4p71yql0.cloudfront.net/libraries/arasaac/litre.png" TargetMode="External"/><Relationship Id="rId517" Type="http://schemas.openxmlformats.org/officeDocument/2006/relationships/hyperlink" Target="https://d18vdu4p71yql0.cloudfront.net/libraries/arasaac/listener.png" TargetMode="External"/><Relationship Id="rId759" Type="http://schemas.openxmlformats.org/officeDocument/2006/relationships/hyperlink" Target="https://d18vdu4p71yql0.cloudfront.net/libraries/arasaac/shoulder.png.variant-medium-dark.png" TargetMode="External"/><Relationship Id="rId516" Type="http://schemas.openxmlformats.org/officeDocument/2006/relationships/hyperlink" Target="https://d18vdu4p71yql0.cloudfront.net/libraries/arasaac/lips.png" TargetMode="External"/><Relationship Id="rId758" Type="http://schemas.openxmlformats.org/officeDocument/2006/relationships/hyperlink" Target="https://d18vdu4p71yql0.cloudfront.net/libraries/mulberry/shorts.svg" TargetMode="External"/><Relationship Id="rId515" Type="http://schemas.openxmlformats.org/officeDocument/2006/relationships/hyperlink" Target="https://d18vdu4p71yql0.cloudfront.net/libraries/arasaac/lion.png" TargetMode="External"/><Relationship Id="rId757" Type="http://schemas.openxmlformats.org/officeDocument/2006/relationships/hyperlink" Target="https://d18vdu4p71yql0.cloudfront.net/libraries/arasaac/low.png" TargetMode="External"/><Relationship Id="rId15" Type="http://schemas.openxmlformats.org/officeDocument/2006/relationships/hyperlink" Target="https://d18vdu4p71yql0.cloudfront.net/libraries/arasaac/one%20o'clock.png" TargetMode="External"/><Relationship Id="rId14" Type="http://schemas.openxmlformats.org/officeDocument/2006/relationships/hyperlink" Target="https://d18vdu4p71yql0.cloudfront.net/libraries/arasaac/exactly%20twelve%20o'clock.png" TargetMode="External"/><Relationship Id="rId17" Type="http://schemas.openxmlformats.org/officeDocument/2006/relationships/hyperlink" Target="https://d18vdu4p71yql0.cloudfront.net/libraries/arasaac/three%20o'clock.png" TargetMode="External"/><Relationship Id="rId16" Type="http://schemas.openxmlformats.org/officeDocument/2006/relationships/hyperlink" Target="https://d18vdu4p71yql0.cloudfront.net/libraries/arasaac/two%20o'clock.png" TargetMode="External"/><Relationship Id="rId19" Type="http://schemas.openxmlformats.org/officeDocument/2006/relationships/hyperlink" Target="https://d18vdu4p71yql0.cloudfront.net/libraries/arasaac/five%20o'clock.png" TargetMode="External"/><Relationship Id="rId510" Type="http://schemas.openxmlformats.org/officeDocument/2006/relationships/hyperlink" Target="https://i.imgur.com/xwFyLQN.png" TargetMode="External"/><Relationship Id="rId752" Type="http://schemas.openxmlformats.org/officeDocument/2006/relationships/hyperlink" Target="https://d18vdu4p71yql0.cloudfront.net/libraries/arasaac/shark.png" TargetMode="External"/><Relationship Id="rId18" Type="http://schemas.openxmlformats.org/officeDocument/2006/relationships/hyperlink" Target="https://d18vdu4p71yql0.cloudfront.net/libraries/arasaac/four%20o'clock.png" TargetMode="External"/><Relationship Id="rId751" Type="http://schemas.openxmlformats.org/officeDocument/2006/relationships/hyperlink" Target="https://d18vdu4p71yql0.cloudfront.net/libraries/arasaac/to%20share.png.variant-medium-dark.png" TargetMode="External"/><Relationship Id="rId750" Type="http://schemas.openxmlformats.org/officeDocument/2006/relationships/hyperlink" Target="https://d18vdu4p71yql0.cloudfront.net/libraries/arasaac/to%20sew.png.varianted-skin.png" TargetMode="External"/><Relationship Id="rId84" Type="http://schemas.openxmlformats.org/officeDocument/2006/relationships/hyperlink" Target="https://d18vdu4p71yql0.cloudfront.net/libraries/arasaac/back.png.variant-medium-dark.png" TargetMode="External"/><Relationship Id="rId83" Type="http://schemas.openxmlformats.org/officeDocument/2006/relationships/hyperlink" Target="https://d18vdu4p71yql0.cloudfront.net/libraries/arasaac/baby.png.variant-dark.png" TargetMode="External"/><Relationship Id="rId86" Type="http://schemas.openxmlformats.org/officeDocument/2006/relationships/hyperlink" Target="https://d18vdu4p71yql0.cloudfront.net/libraries/mulberry/back%201.svg.varianted-skin.svg" TargetMode="External"/><Relationship Id="rId85" Type="http://schemas.openxmlformats.org/officeDocument/2006/relationships/hyperlink" Target="https://d18vdu4p71yql0.cloudfront.net/libraries/mulberry/back%201.svg.varianted-skin.svg" TargetMode="External"/><Relationship Id="rId88" Type="http://schemas.openxmlformats.org/officeDocument/2006/relationships/hyperlink" Target="https://d18vdu4p71yql0.cloudfront.net/libraries/mulberry/back%201.svg.varianted-skin.svg" TargetMode="External"/><Relationship Id="rId87" Type="http://schemas.openxmlformats.org/officeDocument/2006/relationships/hyperlink" Target="https://d18vdu4p71yql0.cloudfront.net/libraries/mulberry/back%201.svg.varianted-skin.svg" TargetMode="External"/><Relationship Id="rId89" Type="http://schemas.openxmlformats.org/officeDocument/2006/relationships/hyperlink" Target="https://d18vdu4p71yql0.cloudfront.net/libraries/mulberry/school%20bag.svg" TargetMode="External"/><Relationship Id="rId709" Type="http://schemas.openxmlformats.org/officeDocument/2006/relationships/hyperlink" Target="https://d18vdu4p71yql0.cloudfront.net/libraries/icomoon/arrow-right3.svg" TargetMode="External"/><Relationship Id="rId708" Type="http://schemas.openxmlformats.org/officeDocument/2006/relationships/hyperlink" Target="https://d18vdu4p71yql0.cloudfront.net/libraries/icomoon/arrow-right3.svg" TargetMode="External"/><Relationship Id="rId707" Type="http://schemas.openxmlformats.org/officeDocument/2006/relationships/hyperlink" Target="https://d18vdu4p71yql0.cloudfront.net/libraries/icomoon/arrow-right3.svg" TargetMode="External"/><Relationship Id="rId949" Type="http://schemas.openxmlformats.org/officeDocument/2006/relationships/hyperlink" Target="https://d18vdu4p71yql0.cloudfront.net/libraries/arasaac/wide.png" TargetMode="External"/><Relationship Id="rId706" Type="http://schemas.openxmlformats.org/officeDocument/2006/relationships/hyperlink" Target="https://d18vdu4p71yql0.cloudfront.net/libraries/arasaac/rice%20and%20tomato%20sauce.png" TargetMode="External"/><Relationship Id="rId948" Type="http://schemas.openxmlformats.org/officeDocument/2006/relationships/hyperlink" Target="https://d18vdu4p71yql0.cloudfront.net/libraries/arasaac/wide.png" TargetMode="External"/><Relationship Id="rId80" Type="http://schemas.openxmlformats.org/officeDocument/2006/relationships/hyperlink" Target="https://d18vdu4p71yql0.cloudfront.net/libraries/arasaac/awareness.png.variant-medium-dark.png" TargetMode="External"/><Relationship Id="rId82" Type="http://schemas.openxmlformats.org/officeDocument/2006/relationships/hyperlink" Target="https://d18vdu4p71yql0.cloudfront.net/libraries/twemoji/1f476-var1f3fdUNI.svg" TargetMode="External"/><Relationship Id="rId81" Type="http://schemas.openxmlformats.org/officeDocument/2006/relationships/hyperlink" Target="https://d18vdu4p71yql0.cloudfront.net/libraries/twemoji/1f476-var1f3fdUNI.svg" TargetMode="External"/><Relationship Id="rId701" Type="http://schemas.openxmlformats.org/officeDocument/2006/relationships/hyperlink" Target="https://d18vdu4p71yql0.cloudfront.net/libraries/noun-project/human-resources_653_g.svg" TargetMode="External"/><Relationship Id="rId943" Type="http://schemas.openxmlformats.org/officeDocument/2006/relationships/hyperlink" Target="https://d18vdu4p71yql0.cloudfront.net/libraries/mulberry/white.svg" TargetMode="External"/><Relationship Id="rId700" Type="http://schemas.openxmlformats.org/officeDocument/2006/relationships/hyperlink" Target="https://d18vdu4p71yql0.cloudfront.net/libraries/arasaac/rescue.png.varianted-skin.png" TargetMode="External"/><Relationship Id="rId942" Type="http://schemas.openxmlformats.org/officeDocument/2006/relationships/hyperlink" Target="https://d18vdu4p71yql0.cloudfront.net/libraries/arasaac/whistle_2.png.variant-medium-dark.png" TargetMode="External"/><Relationship Id="rId941" Type="http://schemas.openxmlformats.org/officeDocument/2006/relationships/hyperlink" Target="https://d18vdu4p71yql0.cloudfront.net/libraries/arasaac/which.png" TargetMode="External"/><Relationship Id="rId940" Type="http://schemas.openxmlformats.org/officeDocument/2006/relationships/hyperlink" Target="https://d18vdu4p71yql0.cloudfront.net/libraries/mulberry/where.svg" TargetMode="External"/><Relationship Id="rId705" Type="http://schemas.openxmlformats.org/officeDocument/2006/relationships/hyperlink" Target="https://d18vdu4p71yql0.cloudfront.net/libraries/sclera/rice.png" TargetMode="External"/><Relationship Id="rId947" Type="http://schemas.openxmlformats.org/officeDocument/2006/relationships/hyperlink" Target="https://d18vdu4p71yql0.cloudfront.net/libraries/sclera/why_2.png" TargetMode="External"/><Relationship Id="rId704" Type="http://schemas.openxmlformats.org/officeDocument/2006/relationships/hyperlink" Target="https://d18vdu4p71yql0.cloudfront.net/libraries/mulberry/rice.svg" TargetMode="External"/><Relationship Id="rId946" Type="http://schemas.openxmlformats.org/officeDocument/2006/relationships/hyperlink" Target="https://d18vdu4p71yql0.cloudfront.net/libraries/mulberry/where.svg" TargetMode="External"/><Relationship Id="rId703" Type="http://schemas.openxmlformats.org/officeDocument/2006/relationships/hyperlink" Target="https://d18vdu4p71yql0.cloudfront.net/libraries/sclera/rhyme.png" TargetMode="External"/><Relationship Id="rId945" Type="http://schemas.openxmlformats.org/officeDocument/2006/relationships/hyperlink" Target="https://d18vdu4p71yql0.cloudfront.net/libraries/arasaac/who.png" TargetMode="External"/><Relationship Id="rId702" Type="http://schemas.openxmlformats.org/officeDocument/2006/relationships/hyperlink" Target="https://d18vdu4p71yql0.cloudfront.net/libraries/sclera/rhyme.png" TargetMode="External"/><Relationship Id="rId944" Type="http://schemas.openxmlformats.org/officeDocument/2006/relationships/hyperlink" Target="https://d18vdu4p71yql0.cloudfront.net/libraries/mulberry/whiteboard.svg" TargetMode="External"/><Relationship Id="rId73" Type="http://schemas.openxmlformats.org/officeDocument/2006/relationships/hyperlink" Target="https://d18vdu4p71yql0.cloudfront.net/libraries/sclera/athletics_1.png" TargetMode="External"/><Relationship Id="rId72" Type="http://schemas.openxmlformats.org/officeDocument/2006/relationships/hyperlink" Target="https://d18vdu4p71yql0.cloudfront.net/libraries/icomoon/at.svg" TargetMode="External"/><Relationship Id="rId75" Type="http://schemas.openxmlformats.org/officeDocument/2006/relationships/hyperlink" Target="https://d18vdu4p71yql0.cloudfront.net/libraries/noun-project/sound-on_56_g.svg" TargetMode="External"/><Relationship Id="rId74" Type="http://schemas.openxmlformats.org/officeDocument/2006/relationships/hyperlink" Target="https://d18vdu4p71yql0.cloudfront.net/libraries/arasaac/audience.png.variant-medium-dark.png" TargetMode="External"/><Relationship Id="rId77" Type="http://schemas.openxmlformats.org/officeDocument/2006/relationships/hyperlink" Target="https://d18vdu4p71yql0.cloudfront.net/libraries/arasaac/aunt.png.variant-dark.png" TargetMode="External"/><Relationship Id="rId76" Type="http://schemas.openxmlformats.org/officeDocument/2006/relationships/hyperlink" Target="https://d18vdu4p71yql0.cloudfront.net/libraries/coughdrop_symbols/august.png" TargetMode="External"/><Relationship Id="rId79" Type="http://schemas.openxmlformats.org/officeDocument/2006/relationships/hyperlink" Target="https://d18vdu4p71yql0.cloudfront.net/libraries/arasaac/continent_4.png" TargetMode="External"/><Relationship Id="rId78" Type="http://schemas.openxmlformats.org/officeDocument/2006/relationships/hyperlink" Target="https://d18vdu4p71yql0.cloudfront.net/libraries/icomoon/sound2.svg" TargetMode="External"/><Relationship Id="rId939" Type="http://schemas.openxmlformats.org/officeDocument/2006/relationships/hyperlink" Target="https://d18vdu4p71yql0.cloudfront.net/libraries/mulberry/where.svg" TargetMode="External"/><Relationship Id="rId938" Type="http://schemas.openxmlformats.org/officeDocument/2006/relationships/hyperlink" Target="https://d18vdu4p71yql0.cloudfront.net/libraries/mulberry/when.svg" TargetMode="External"/><Relationship Id="rId937" Type="http://schemas.openxmlformats.org/officeDocument/2006/relationships/hyperlink" Target="https://d18vdu4p71yql0.cloudfront.net/libraries/mulberry/where.svg" TargetMode="External"/><Relationship Id="rId71" Type="http://schemas.openxmlformats.org/officeDocument/2006/relationships/hyperlink" Target="https://d18vdu4p71yql0.cloudfront.net/libraries/icomoon/at.svg" TargetMode="External"/><Relationship Id="rId70" Type="http://schemas.openxmlformats.org/officeDocument/2006/relationships/hyperlink" Target="https://d18vdu4p71yql0.cloudfront.net/libraries/arasaac/association%20of%20employers.png.varianted-skin.png" TargetMode="External"/><Relationship Id="rId932" Type="http://schemas.openxmlformats.org/officeDocument/2006/relationships/hyperlink" Target="https://d18vdu4p71yql0.cloudfront.net/libraries/coughdrop_symbols/wednesday.svg" TargetMode="External"/><Relationship Id="rId931" Type="http://schemas.openxmlformats.org/officeDocument/2006/relationships/hyperlink" Target="https://d18vdu4p71yql0.cloudfront.net/libraries/arasaac/we.png.variant-medium-dark.png" TargetMode="External"/><Relationship Id="rId930" Type="http://schemas.openxmlformats.org/officeDocument/2006/relationships/hyperlink" Target="https://d18vdu4p71yql0.cloudfront.net/libraries/mulberry/wavy.svg" TargetMode="External"/><Relationship Id="rId936" Type="http://schemas.openxmlformats.org/officeDocument/2006/relationships/hyperlink" Target="https://d18vdu4p71yql0.cloudfront.net/libraries/arasaac/what.png" TargetMode="External"/><Relationship Id="rId935" Type="http://schemas.openxmlformats.org/officeDocument/2006/relationships/hyperlink" Target="https://d18vdu4p71yql0.cloudfront.net/libraries/arasaac/what.png" TargetMode="External"/><Relationship Id="rId934" Type="http://schemas.openxmlformats.org/officeDocument/2006/relationships/hyperlink" Target="https://d18vdu4p71yql0.cloudfront.net/libraries/arasaac/what.png" TargetMode="External"/><Relationship Id="rId933" Type="http://schemas.openxmlformats.org/officeDocument/2006/relationships/hyperlink" Target="https://upload.wikimedia.org/wikipedia/commons/thumb/3/36/Westmoreland_in_Jamaica.svg/250px-Westmoreland_in_Jamaica.svg.png" TargetMode="External"/><Relationship Id="rId62" Type="http://schemas.openxmlformats.org/officeDocument/2006/relationships/hyperlink" Target="https://d18vdu4p71yql0.cloudfront.net/libraries/arasaac/opposition_4.png" TargetMode="External"/><Relationship Id="rId61" Type="http://schemas.openxmlformats.org/officeDocument/2006/relationships/hyperlink" Target="https://d18vdu4p71yql0.cloudfront.net/libraries/noun-project/year_469_g.svg" TargetMode="External"/><Relationship Id="rId64" Type="http://schemas.openxmlformats.org/officeDocument/2006/relationships/hyperlink" Target="https://d18vdu4p71yql0.cloudfront.net/libraries/twemoji/1f34e.svg" TargetMode="External"/><Relationship Id="rId63" Type="http://schemas.openxmlformats.org/officeDocument/2006/relationships/hyperlink" Target="https://d18vdu4p71yql0.cloudfront.net/libraries/arasaac/nervous_1.png" TargetMode="External"/><Relationship Id="rId66" Type="http://schemas.openxmlformats.org/officeDocument/2006/relationships/hyperlink" Target="https://d18vdu4p71yql0.cloudfront.net/libraries/arasaac/arm.png.variant-medium-dark.png" TargetMode="External"/><Relationship Id="rId65" Type="http://schemas.openxmlformats.org/officeDocument/2006/relationships/hyperlink" Target="https://d18vdu4p71yql0.cloudfront.net/libraries/coughdrop_symbols/april.png" TargetMode="External"/><Relationship Id="rId68" Type="http://schemas.openxmlformats.org/officeDocument/2006/relationships/hyperlink" Target="https://d18vdu4p71yql0.cloudfront.net/libraries/arasaac/ask_2.png.varianted-skin.png" TargetMode="External"/><Relationship Id="rId67" Type="http://schemas.openxmlformats.org/officeDocument/2006/relationships/hyperlink" Target="https://d18vdu4p71yql0.cloudfront.net/libraries/arasaac/continent_2.png" TargetMode="External"/><Relationship Id="rId729" Type="http://schemas.openxmlformats.org/officeDocument/2006/relationships/hyperlink" Target="https://d18vdu4p71yql0.cloudfront.net/libraries/noun-project/Scenic%20Viewpoint-dcae2577f2.svg" TargetMode="External"/><Relationship Id="rId728" Type="http://schemas.openxmlformats.org/officeDocument/2006/relationships/hyperlink" Target="https://d18vdu4p71yql0.cloudfront.net/libraries/twemoji/1f9e3.svg" TargetMode="External"/><Relationship Id="rId60" Type="http://schemas.openxmlformats.org/officeDocument/2006/relationships/hyperlink" Target="https://d18vdu4p71yql0.cloudfront.net/libraries/arasaac/ankle.png.variant-medium-dark.png" TargetMode="External"/><Relationship Id="rId723" Type="http://schemas.openxmlformats.org/officeDocument/2006/relationships/hyperlink" Target="https://d18vdu4p71yql0.cloudfront.net/libraries/arasaac/salt%20packet.png" TargetMode="External"/><Relationship Id="rId965" Type="http://schemas.openxmlformats.org/officeDocument/2006/relationships/hyperlink" Target="https://d18vdu4p71yql0.cloudfront.net/libraries/arasaac/yours.png" TargetMode="External"/><Relationship Id="rId722" Type="http://schemas.openxmlformats.org/officeDocument/2006/relationships/hyperlink" Target="https://d18vdu4p71yql0.cloudfront.net/libraries/sclera/safe%20working_4.png" TargetMode="External"/><Relationship Id="rId964" Type="http://schemas.openxmlformats.org/officeDocument/2006/relationships/hyperlink" Target="https://d18vdu4p71yql0.cloudfront.net/libraries/arasaac/yours.png" TargetMode="External"/><Relationship Id="rId721" Type="http://schemas.openxmlformats.org/officeDocument/2006/relationships/hyperlink" Target="https://d18vdu4p71yql0.cloudfront.net/libraries/sclera/safe%20working_6.png" TargetMode="External"/><Relationship Id="rId963" Type="http://schemas.openxmlformats.org/officeDocument/2006/relationships/hyperlink" Target="https://d18vdu4p71yql0.cloudfront.net/libraries/arasaac/your.png" TargetMode="External"/><Relationship Id="rId720" Type="http://schemas.openxmlformats.org/officeDocument/2006/relationships/hyperlink" Target="https://d18vdu4p71yql0.cloudfront.net/libraries/noun-project/Sad_798_14699.svg" TargetMode="External"/><Relationship Id="rId962" Type="http://schemas.openxmlformats.org/officeDocument/2006/relationships/hyperlink" Target="https://d18vdu4p71yql0.cloudfront.net/libraries/mulberry/young.svg.varianted-skin.svg" TargetMode="External"/><Relationship Id="rId727" Type="http://schemas.openxmlformats.org/officeDocument/2006/relationships/hyperlink" Target="https://d18vdu4p71yql0.cloudfront.net/libraries/noun-project/Scared_187_g.svg" TargetMode="External"/><Relationship Id="rId969" Type="http://schemas.openxmlformats.org/officeDocument/2006/relationships/hyperlink" Target="https://i.imgur.com/rgZmvn5.png" TargetMode="External"/><Relationship Id="rId726" Type="http://schemas.openxmlformats.org/officeDocument/2006/relationships/hyperlink" Target="https://d18vdu4p71yql0.cloudfront.net/libraries/mulberry/scanning.svg" TargetMode="External"/><Relationship Id="rId968" Type="http://schemas.openxmlformats.org/officeDocument/2006/relationships/hyperlink" Target="https://i.imgur.com/XeBvkMA.png" TargetMode="External"/><Relationship Id="rId725" Type="http://schemas.openxmlformats.org/officeDocument/2006/relationships/hyperlink" Target="https://d18vdu4p71yql0.cloudfront.net/libraries/coughdrop_symbols/saturday.svg" TargetMode="External"/><Relationship Id="rId967" Type="http://schemas.openxmlformats.org/officeDocument/2006/relationships/hyperlink" Target="https://d18vdu4p71yql0.cloudfront.net/libraries/arasaac/zipper.png" TargetMode="External"/><Relationship Id="rId724" Type="http://schemas.openxmlformats.org/officeDocument/2006/relationships/hyperlink" Target="https://d18vdu4p71yql0.cloudfront.net/libraries/arasaac/sandals.png" TargetMode="External"/><Relationship Id="rId966" Type="http://schemas.openxmlformats.org/officeDocument/2006/relationships/hyperlink" Target="https://d18vdu4p71yql0.cloudfront.net/libraries/arasaac/yours.png" TargetMode="External"/><Relationship Id="rId69" Type="http://schemas.openxmlformats.org/officeDocument/2006/relationships/hyperlink" Target="https://d18vdu4p71yql0.cloudfront.net/libraries/sclera/assemble%20wood.png" TargetMode="External"/><Relationship Id="rId961" Type="http://schemas.openxmlformats.org/officeDocument/2006/relationships/hyperlink" Target="https://d18vdu4p71yql0.cloudfront.net/libraries/arasaac/young_3.png.varianted-skin.png" TargetMode="External"/><Relationship Id="rId960" Type="http://schemas.openxmlformats.org/officeDocument/2006/relationships/hyperlink" Target="https://d18vdu4p71yql0.cloudfront.net/libraries/arasaac/you_1.png" TargetMode="External"/><Relationship Id="rId51" Type="http://schemas.openxmlformats.org/officeDocument/2006/relationships/hyperlink" Target="https://d18vdu4p71yql0.cloudfront.net/libraries/arasaac/ambulance.png" TargetMode="External"/><Relationship Id="rId50" Type="http://schemas.openxmlformats.org/officeDocument/2006/relationships/hyperlink" Target="https://d18vdu4p71yql0.cloudfront.net/libraries/twemoji/1f387.svg" TargetMode="External"/><Relationship Id="rId53" Type="http://schemas.openxmlformats.org/officeDocument/2006/relationships/hyperlink" Target="https://d18vdu4p71yql0.cloudfront.net/libraries/twemoji/1f52c.svg" TargetMode="External"/><Relationship Id="rId52" Type="http://schemas.openxmlformats.org/officeDocument/2006/relationships/hyperlink" Target="https://i.imgur.com/hGAy8w4.png" TargetMode="External"/><Relationship Id="rId55" Type="http://schemas.openxmlformats.org/officeDocument/2006/relationships/hyperlink" Target="https://d18vdu4p71yql0.cloudfront.net/libraries/arasaac/and.png" TargetMode="External"/><Relationship Id="rId54" Type="http://schemas.openxmlformats.org/officeDocument/2006/relationships/hyperlink" Target="https://d18vdu4p71yql0.cloudfront.net/libraries/noun-project/Pyramid-of-Giza_627_g.svg" TargetMode="External"/><Relationship Id="rId57" Type="http://schemas.openxmlformats.org/officeDocument/2006/relationships/hyperlink" Target="https://d18vdu4p71yql0.cloudfront.net/libraries/noun-project/Degree-Angle_774_599172.svg" TargetMode="External"/><Relationship Id="rId56" Type="http://schemas.openxmlformats.org/officeDocument/2006/relationships/hyperlink" Target="https://d18vdu4p71yql0.cloudfront.net/libraries/arasaac/and.png" TargetMode="External"/><Relationship Id="rId719" Type="http://schemas.openxmlformats.org/officeDocument/2006/relationships/hyperlink" Target="https://d18vdu4p71yql0.cloudfront.net/libraries/arasaac/to%20run_4.png.variant-dark.png" TargetMode="External"/><Relationship Id="rId718" Type="http://schemas.openxmlformats.org/officeDocument/2006/relationships/hyperlink" Target="https://d18vdu4p71yql0.cloudfront.net/libraries/arasaac/to%20run_3.png" TargetMode="External"/><Relationship Id="rId717" Type="http://schemas.openxmlformats.org/officeDocument/2006/relationships/hyperlink" Target="https://d18vdu4p71yql0.cloudfront.net/libraries/noun-project/Circle_669_702787.svg" TargetMode="External"/><Relationship Id="rId959" Type="http://schemas.openxmlformats.org/officeDocument/2006/relationships/hyperlink" Target="https://d18vdu4p71yql0.cloudfront.net/libraries/sclera/yesterday_1.png" TargetMode="External"/><Relationship Id="rId712" Type="http://schemas.openxmlformats.org/officeDocument/2006/relationships/hyperlink" Target="https://d18vdu4p71yql0.cloudfront.net/libraries/arasaac/roof.png" TargetMode="External"/><Relationship Id="rId954" Type="http://schemas.openxmlformats.org/officeDocument/2006/relationships/hyperlink" Target="https://d18vdu4p71yql0.cloudfront.net/libraries/arasaac/wrist.png.variant-medium-dark.png" TargetMode="External"/><Relationship Id="rId711" Type="http://schemas.openxmlformats.org/officeDocument/2006/relationships/hyperlink" Target="https://d18vdu4p71yql0.cloudfront.net/libraries/arasaac/river.png" TargetMode="External"/><Relationship Id="rId953" Type="http://schemas.openxmlformats.org/officeDocument/2006/relationships/hyperlink" Target="https://d18vdu4p71yql0.cloudfront.net/libraries/noun-project/worried_637_g.svg" TargetMode="External"/><Relationship Id="rId710" Type="http://schemas.openxmlformats.org/officeDocument/2006/relationships/hyperlink" Target="https://www.opensymbols.org/symbols/arasaac/blind-man-s-buff-1-3d42b5a3?id=99" TargetMode="External"/><Relationship Id="rId952" Type="http://schemas.openxmlformats.org/officeDocument/2006/relationships/hyperlink" Target="https://d18vdu4p71yql0.cloudfront.net/libraries/arasaac/letters_2.png" TargetMode="External"/><Relationship Id="rId951" Type="http://schemas.openxmlformats.org/officeDocument/2006/relationships/hyperlink" Target="https://d18vdu4p71yql0.cloudfront.net/libraries/mulberry/window.svg" TargetMode="External"/><Relationship Id="rId716" Type="http://schemas.openxmlformats.org/officeDocument/2006/relationships/hyperlink" Target="https://d18vdu4p71yql0.cloudfront.net/libraries/noun-project/Circle_669_702787.svg" TargetMode="External"/><Relationship Id="rId958" Type="http://schemas.openxmlformats.org/officeDocument/2006/relationships/hyperlink" Target="https://d18vdu4p71yql0.cloudfront.net/libraries/mulberry/yesterday.svg" TargetMode="External"/><Relationship Id="rId715" Type="http://schemas.openxmlformats.org/officeDocument/2006/relationships/hyperlink" Target="https://d18vdu4p71yql0.cloudfront.net/libraries/noun-project/Circle_669_702787.svg" TargetMode="External"/><Relationship Id="rId957" Type="http://schemas.openxmlformats.org/officeDocument/2006/relationships/hyperlink" Target="https://d18vdu4p71yql0.cloudfront.net/libraries/mulberry/yellow.svg" TargetMode="External"/><Relationship Id="rId714" Type="http://schemas.openxmlformats.org/officeDocument/2006/relationships/hyperlink" Target="https://i.imgur.com/j8u22tP.png" TargetMode="External"/><Relationship Id="rId956" Type="http://schemas.openxmlformats.org/officeDocument/2006/relationships/hyperlink" Target="https://d18vdu4p71yql0.cloudfront.net/libraries/arasaac/year.png" TargetMode="External"/><Relationship Id="rId713" Type="http://schemas.openxmlformats.org/officeDocument/2006/relationships/hyperlink" Target="https://d18vdu4p71yql0.cloudfront.net/libraries/noun-project/Circle_669_702787.svg" TargetMode="External"/><Relationship Id="rId955" Type="http://schemas.openxmlformats.org/officeDocument/2006/relationships/hyperlink" Target="https://d18vdu4p71yql0.cloudfront.net/libraries/mulberry/back%20garden.svg" TargetMode="External"/><Relationship Id="rId59" Type="http://schemas.openxmlformats.org/officeDocument/2006/relationships/hyperlink" Target="https://d18vdu4p71yql0.cloudfront.net/libraries/tawasol/angry.jpg" TargetMode="External"/><Relationship Id="rId58" Type="http://schemas.openxmlformats.org/officeDocument/2006/relationships/hyperlink" Target="https://d18vdu4p71yql0.cloudfront.net/libraries/noun-project/angry_514_557643.svg" TargetMode="External"/><Relationship Id="rId950" Type="http://schemas.openxmlformats.org/officeDocument/2006/relationships/hyperlink" Target="https://d18vdu4p71yql0.cloudfront.net/libraries/arasaac/wide.png" TargetMode="External"/><Relationship Id="rId590" Type="http://schemas.openxmlformats.org/officeDocument/2006/relationships/hyperlink" Target="https://d18vdu4p71yql0.cloudfront.net/libraries/mulberry/next%20week.svg" TargetMode="External"/><Relationship Id="rId107" Type="http://schemas.openxmlformats.org/officeDocument/2006/relationships/hyperlink" Target="https://d18vdu4p71yql0.cloudfront.net/libraries/arasaac/beans_1.png" TargetMode="External"/><Relationship Id="rId349" Type="http://schemas.openxmlformats.org/officeDocument/2006/relationships/hyperlink" Target="https://d18vdu4p71yql0.cloudfront.net/libraries/arasaac/friendship.png.variant-dark.png" TargetMode="External"/><Relationship Id="rId106" Type="http://schemas.openxmlformats.org/officeDocument/2006/relationships/hyperlink" Target="https://d18vdu4p71yql0.cloudfront.net/libraries/arasaac/beach.png" TargetMode="External"/><Relationship Id="rId348" Type="http://schemas.openxmlformats.org/officeDocument/2006/relationships/hyperlink" Target="https://d18vdu4p71yql0.cloudfront.net/libraries/sclera/group%20friendly.png" TargetMode="External"/><Relationship Id="rId105" Type="http://schemas.openxmlformats.org/officeDocument/2006/relationships/hyperlink" Target="https://d18vdu4p71yql0.cloudfront.net/libraries/arasaac/beach.png" TargetMode="External"/><Relationship Id="rId347" Type="http://schemas.openxmlformats.org/officeDocument/2006/relationships/hyperlink" Target="https://d18vdu4p71yql0.cloudfront.net/libraries/arasaac/friends_3.png.variant-medium-dark.png" TargetMode="External"/><Relationship Id="rId589" Type="http://schemas.openxmlformats.org/officeDocument/2006/relationships/hyperlink" Target="https://d18vdu4p71yql0.cloudfront.net/libraries/mulberry/next%20week.svg" TargetMode="External"/><Relationship Id="rId104" Type="http://schemas.openxmlformats.org/officeDocument/2006/relationships/hyperlink" Target="https://d18vdu4p71yql0.cloudfront.net/libraries/arasaac/beach.png" TargetMode="External"/><Relationship Id="rId346" Type="http://schemas.openxmlformats.org/officeDocument/2006/relationships/hyperlink" Target="https://d18vdu4p71yql0.cloudfront.net/libraries/arasaac/friends_3.png.variant-medium-dark.png" TargetMode="External"/><Relationship Id="rId588" Type="http://schemas.openxmlformats.org/officeDocument/2006/relationships/hyperlink" Target="https://d18vdu4p71yql0.cloudfront.net/libraries/mulberry/next%20month.svg" TargetMode="External"/><Relationship Id="rId109" Type="http://schemas.openxmlformats.org/officeDocument/2006/relationships/hyperlink" Target="https://d18vdu4p71yql0.cloudfront.net/libraries/tawasol/Bedroom.png" TargetMode="External"/><Relationship Id="rId108" Type="http://schemas.openxmlformats.org/officeDocument/2006/relationships/hyperlink" Target="https://globalsymbols.com/uploads/production/image/imagefile/7480/15_7480_abba8029-e69b-4496-adf0-a42bbe45d55b.png" TargetMode="External"/><Relationship Id="rId341" Type="http://schemas.openxmlformats.org/officeDocument/2006/relationships/hyperlink" Target="https://d18vdu4p71yql0.cloudfront.net/libraries/arasaac/chicken.png" TargetMode="External"/><Relationship Id="rId583" Type="http://schemas.openxmlformats.org/officeDocument/2006/relationships/hyperlink" Target="https://d18vdu4p71yql0.cloudfront.net/libraries/arasaac/next.png" TargetMode="External"/><Relationship Id="rId340" Type="http://schemas.openxmlformats.org/officeDocument/2006/relationships/hyperlink" Target="https://d18vdu4p71yql0.cloudfront.net/libraries/arasaac/mold_2.png" TargetMode="External"/><Relationship Id="rId582" Type="http://schemas.openxmlformats.org/officeDocument/2006/relationships/hyperlink" Target="https://d18vdu4p71yql0.cloudfront.net/libraries/arasaac/next.png" TargetMode="External"/><Relationship Id="rId581" Type="http://schemas.openxmlformats.org/officeDocument/2006/relationships/hyperlink" Target="https://d18vdu4p71yql0.cloudfront.net/libraries/mulberry/next.svg" TargetMode="External"/><Relationship Id="rId580" Type="http://schemas.openxmlformats.org/officeDocument/2006/relationships/hyperlink" Target="https://d18vdu4p71yql0.cloudfront.net/libraries/arasaac/Blind%20man's%20buff_1.png.varianted-skin.png" TargetMode="External"/><Relationship Id="rId103" Type="http://schemas.openxmlformats.org/officeDocument/2006/relationships/hyperlink" Target="https://d18vdu4p71yql0.cloudfront.net/libraries/arasaac/toilet%20bowl.png" TargetMode="External"/><Relationship Id="rId345" Type="http://schemas.openxmlformats.org/officeDocument/2006/relationships/hyperlink" Target="https://d18vdu4p71yql0.cloudfront.net/libraries/arasaac/piece%20of%20fried%20food.png" TargetMode="External"/><Relationship Id="rId587" Type="http://schemas.openxmlformats.org/officeDocument/2006/relationships/hyperlink" Target="https://d18vdu4p71yql0.cloudfront.net/libraries/mulberry/next%20month.svg" TargetMode="External"/><Relationship Id="rId102" Type="http://schemas.openxmlformats.org/officeDocument/2006/relationships/hyperlink" Target="https://d18vdu4p71yql0.cloudfront.net/libraries/arasaac/bat.png" TargetMode="External"/><Relationship Id="rId344" Type="http://schemas.openxmlformats.org/officeDocument/2006/relationships/hyperlink" Target="https://d18vdu4p71yql0.cloudfront.net/libraries/mulberry/fish%20deep%20fried.svg" TargetMode="External"/><Relationship Id="rId586" Type="http://schemas.openxmlformats.org/officeDocument/2006/relationships/hyperlink" Target="https://i.imgur.com/8UhuSTi.png" TargetMode="External"/><Relationship Id="rId101" Type="http://schemas.openxmlformats.org/officeDocument/2006/relationships/hyperlink" Target="https://d18vdu4p71yql0.cloudfront.net/libraries/arasaac/bat.png" TargetMode="External"/><Relationship Id="rId343" Type="http://schemas.openxmlformats.org/officeDocument/2006/relationships/hyperlink" Target="https://d18vdu4p71yql0.cloudfront.net/libraries/coughdrop_symbols/friday.svg" TargetMode="External"/><Relationship Id="rId585" Type="http://schemas.openxmlformats.org/officeDocument/2006/relationships/hyperlink" Target="https://i.imgur.com/8UhuSTi.png" TargetMode="External"/><Relationship Id="rId100" Type="http://schemas.openxmlformats.org/officeDocument/2006/relationships/hyperlink" Target="https://d18vdu4p71yql0.cloudfront.net/libraries/arasaac/basketball_2.png" TargetMode="External"/><Relationship Id="rId342" Type="http://schemas.openxmlformats.org/officeDocument/2006/relationships/hyperlink" Target="https://d18vdu4p71yql0.cloudfront.net/libraries/arasaac/fractions.png" TargetMode="External"/><Relationship Id="rId584" Type="http://schemas.openxmlformats.org/officeDocument/2006/relationships/hyperlink" Target="https://d18vdu4p71yql0.cloudfront.net/libraries/arasaac/next.png" TargetMode="External"/><Relationship Id="rId338" Type="http://schemas.openxmlformats.org/officeDocument/2006/relationships/hyperlink" Target="https://i.imgur.com/d3IsTDj.png" TargetMode="External"/><Relationship Id="rId337" Type="http://schemas.openxmlformats.org/officeDocument/2006/relationships/hyperlink" Target="https://i.imgur.com/d3IsTDj.png" TargetMode="External"/><Relationship Id="rId579" Type="http://schemas.openxmlformats.org/officeDocument/2006/relationships/hyperlink" Target="https://d18vdu4p71yql0.cloudfront.net/libraries/noun-project/nervous_665_311847.svg" TargetMode="External"/><Relationship Id="rId336" Type="http://schemas.openxmlformats.org/officeDocument/2006/relationships/hyperlink" Target="https://d18vdu4p71yql0.cloudfront.net/libraries/arasaac/american%20football%20player.png.varianted-skin.png" TargetMode="External"/><Relationship Id="rId578" Type="http://schemas.openxmlformats.org/officeDocument/2006/relationships/hyperlink" Target="https://d18vdu4p71yql0.cloudfront.net/libraries/arasaac/nephew.png.variant-dark.png" TargetMode="External"/><Relationship Id="rId335" Type="http://schemas.openxmlformats.org/officeDocument/2006/relationships/hyperlink" Target="https://d18vdu4p71yql0.cloudfront.net/libraries/arasaac/feet_2.png.variant-medium-dark.png" TargetMode="External"/><Relationship Id="rId577" Type="http://schemas.openxmlformats.org/officeDocument/2006/relationships/hyperlink" Target="https://d18vdu4p71yql0.cloudfront.net/libraries/arasaac/I%20need%20help.png" TargetMode="External"/><Relationship Id="rId339" Type="http://schemas.openxmlformats.org/officeDocument/2006/relationships/hyperlink" Target="https://d18vdu4p71yql0.cloudfront.net/libraries/arasaac/forehead.png.variant-medium-dark.png" TargetMode="External"/><Relationship Id="rId330" Type="http://schemas.openxmlformats.org/officeDocument/2006/relationships/hyperlink" Target="https://d18vdu4p71yql0.cloudfront.net/libraries/mulberry/furniture.svg" TargetMode="External"/><Relationship Id="rId572" Type="http://schemas.openxmlformats.org/officeDocument/2006/relationships/hyperlink" Target="https://d18vdu4p71yql0.cloudfront.net/libraries/arasaac/narrow.png" TargetMode="External"/><Relationship Id="rId571" Type="http://schemas.openxmlformats.org/officeDocument/2006/relationships/hyperlink" Target="https://d18vdu4p71yql0.cloudfront.net/libraries/arasaac/to%20narrate_1.png" TargetMode="External"/><Relationship Id="rId570" Type="http://schemas.openxmlformats.org/officeDocument/2006/relationships/hyperlink" Target="https://d18vdu4p71yql0.cloudfront.net/libraries/arasaac/tell_1.png" TargetMode="External"/><Relationship Id="rId334" Type="http://schemas.openxmlformats.org/officeDocument/2006/relationships/hyperlink" Target="https://d18vdu4p71yql0.cloudfront.net/libraries/mulberry/food.svg" TargetMode="External"/><Relationship Id="rId576" Type="http://schemas.openxmlformats.org/officeDocument/2006/relationships/hyperlink" Target="https://d18vdu4p71yql0.cloudfront.net/libraries/arasaac/neck.png.variant-medium-dark.png" TargetMode="External"/><Relationship Id="rId333" Type="http://schemas.openxmlformats.org/officeDocument/2006/relationships/hyperlink" Target="https://d18vdu4p71yql0.cloudfront.net/libraries/arasaac/tales.png.varianted-skin.png" TargetMode="External"/><Relationship Id="rId575" Type="http://schemas.openxmlformats.org/officeDocument/2006/relationships/hyperlink" Target="https://d18vdu4p71yql0.cloudfront.net/libraries/arasaac/Nature.png" TargetMode="External"/><Relationship Id="rId332" Type="http://schemas.openxmlformats.org/officeDocument/2006/relationships/hyperlink" Target="https://d18vdu4p71yql0.cloudfront.net/libraries/noun-project/pillow_794_g.svg" TargetMode="External"/><Relationship Id="rId574" Type="http://schemas.openxmlformats.org/officeDocument/2006/relationships/hyperlink" Target="https://i.pinimg.com/736x/c5/c2/60/c5c260d63a0cda4a5755d7ee380267f5--national-stadium-boys-and-girls.jpg" TargetMode="External"/><Relationship Id="rId331" Type="http://schemas.openxmlformats.org/officeDocument/2006/relationships/hyperlink" Target="https://d18vdu4p71yql0.cloudfront.net/libraries/arasaac/flood.png" TargetMode="External"/><Relationship Id="rId573" Type="http://schemas.openxmlformats.org/officeDocument/2006/relationships/hyperlink" Target="https://d18vdu4p71yql0.cloudfront.net/libraries/arasaac/narrow.png" TargetMode="External"/><Relationship Id="rId370" Type="http://schemas.openxmlformats.org/officeDocument/2006/relationships/hyperlink" Target="https://d18vdu4p71yql0.cloudfront.net/libraries/arasaac/grandmother.png.variant-dark.png" TargetMode="External"/><Relationship Id="rId129" Type="http://schemas.openxmlformats.org/officeDocument/2006/relationships/hyperlink" Target="https://d18vdu4p71yql0.cloudfront.net/libraries/arasaac/bird.png" TargetMode="External"/><Relationship Id="rId128" Type="http://schemas.openxmlformats.org/officeDocument/2006/relationships/hyperlink" Target="https://d18vdu4p71yql0.cloudfront.net/libraries/noun-project/Biohazard-a543fee64b.svg" TargetMode="External"/><Relationship Id="rId127" Type="http://schemas.openxmlformats.org/officeDocument/2006/relationships/hyperlink" Target="https://d18vdu4p71yql0.cloudfront.net/libraries/arasaac/big.png" TargetMode="External"/><Relationship Id="rId369" Type="http://schemas.openxmlformats.org/officeDocument/2006/relationships/hyperlink" Target="https://d18vdu4p71yql0.cloudfront.net/libraries/arasaac/grandfather_3.png.variant-dark.png" TargetMode="External"/><Relationship Id="rId126" Type="http://schemas.openxmlformats.org/officeDocument/2006/relationships/hyperlink" Target="https://d18vdu4p71yql0.cloudfront.net/libraries/noun-project/read_808_g.svg" TargetMode="External"/><Relationship Id="rId368" Type="http://schemas.openxmlformats.org/officeDocument/2006/relationships/hyperlink" Target="https://d18vdu4p71yql0.cloudfront.net/libraries/noun-project/Measuring%20Spoons-a112c36480.svg" TargetMode="External"/><Relationship Id="rId121" Type="http://schemas.openxmlformats.org/officeDocument/2006/relationships/hyperlink" Target="https://d18vdu4p71yql0.cloudfront.net/libraries/tawasol/Below.png" TargetMode="External"/><Relationship Id="rId363" Type="http://schemas.openxmlformats.org/officeDocument/2006/relationships/hyperlink" Target="https://d18vdu4p71yql0.cloudfront.net/libraries/arasaac/goat_1.png.varianted-skin.png" TargetMode="External"/><Relationship Id="rId120" Type="http://schemas.openxmlformats.org/officeDocument/2006/relationships/hyperlink" Target="https://d18vdu4p71yql0.cloudfront.net/libraries/mulberry/below.svg" TargetMode="External"/><Relationship Id="rId362" Type="http://schemas.openxmlformats.org/officeDocument/2006/relationships/hyperlink" Target="https://d18vdu4p71yql0.cloudfront.net/libraries/arasaac/score.png" TargetMode="External"/><Relationship Id="rId361" Type="http://schemas.openxmlformats.org/officeDocument/2006/relationships/hyperlink" Target="https://d18vdu4p71yql0.cloudfront.net/libraries/sclera/soccer%20goal%20shooting.png" TargetMode="External"/><Relationship Id="rId360" Type="http://schemas.openxmlformats.org/officeDocument/2006/relationships/hyperlink" Target="https://d18vdu4p71yql0.cloudfront.net/libraries/arasaac/to%20go_3.png" TargetMode="External"/><Relationship Id="rId125" Type="http://schemas.openxmlformats.org/officeDocument/2006/relationships/hyperlink" Target="https://d18vdu4p71yql0.cloudfront.net/libraries/mulberry/beside%20next%20to.svg" TargetMode="External"/><Relationship Id="rId367" Type="http://schemas.openxmlformats.org/officeDocument/2006/relationships/hyperlink" Target="https://i.imgur.com/PMWDN1q.png" TargetMode="External"/><Relationship Id="rId124" Type="http://schemas.openxmlformats.org/officeDocument/2006/relationships/hyperlink" Target="https://d18vdu4p71yql0.cloudfront.net/libraries/arasaac/to%20do%20exercise_11.png.variant-medium-dark.png" TargetMode="External"/><Relationship Id="rId366" Type="http://schemas.openxmlformats.org/officeDocument/2006/relationships/hyperlink" Target="https://i.imgur.com/PMWDN1q.png" TargetMode="External"/><Relationship Id="rId123" Type="http://schemas.openxmlformats.org/officeDocument/2006/relationships/hyperlink" Target="https://d18vdu4p71yql0.cloudfront.net/libraries/arasaac/to%20do%20exercise_11.png.varianted-skin.png" TargetMode="External"/><Relationship Id="rId365" Type="http://schemas.openxmlformats.org/officeDocument/2006/relationships/hyperlink" Target="https://d18vdu4p71yql0.cloudfront.net/libraries/arasaac/good.png.varianted-skin.png" TargetMode="External"/><Relationship Id="rId122" Type="http://schemas.openxmlformats.org/officeDocument/2006/relationships/hyperlink" Target="https://d18vdu4p71yql0.cloudfront.net/libraries/mulberry/belt.svg" TargetMode="External"/><Relationship Id="rId364" Type="http://schemas.openxmlformats.org/officeDocument/2006/relationships/hyperlink" Target="https://i.imgur.com/Zpn4GUz.png" TargetMode="External"/><Relationship Id="rId95" Type="http://schemas.openxmlformats.org/officeDocument/2006/relationships/hyperlink" Target="https://d18vdu4p71yql0.cloudfront.net/libraries/arasaac/bad_1.png.variant-medium-dark.png" TargetMode="External"/><Relationship Id="rId94" Type="http://schemas.openxmlformats.org/officeDocument/2006/relationships/hyperlink" Target="https://d18vdu4p71yql0.cloudfront.net/libraries/arasaac/bad_1.png.variant-medium-dark.png" TargetMode="External"/><Relationship Id="rId97" Type="http://schemas.openxmlformats.org/officeDocument/2006/relationships/hyperlink" Target="https://d18vdu4p71yql0.cloudfront.net/libraries/arasaac/banana_1.png" TargetMode="External"/><Relationship Id="rId96" Type="http://schemas.openxmlformats.org/officeDocument/2006/relationships/hyperlink" Target="https://d18vdu4p71yql0.cloudfront.net/libraries/arasaac/ball_1.png" TargetMode="External"/><Relationship Id="rId99" Type="http://schemas.openxmlformats.org/officeDocument/2006/relationships/hyperlink" Target="https://d18vdu4p71yql0.cloudfront.net/libraries/mulberry/graph%20column.svg" TargetMode="External"/><Relationship Id="rId98" Type="http://schemas.openxmlformats.org/officeDocument/2006/relationships/hyperlink" Target="https://d18vdu4p71yql0.cloudfront.net/libraries/mulberry/dinner.svg" TargetMode="External"/><Relationship Id="rId91" Type="http://schemas.openxmlformats.org/officeDocument/2006/relationships/hyperlink" Target="https://d18vdu4p71yql0.cloudfront.net/libraries/arasaac/bacon.png" TargetMode="External"/><Relationship Id="rId90" Type="http://schemas.openxmlformats.org/officeDocument/2006/relationships/hyperlink" Target="https://d18vdu4p71yql0.cloudfront.net/libraries/mulberry/back%20garden.svg" TargetMode="External"/><Relationship Id="rId93" Type="http://schemas.openxmlformats.org/officeDocument/2006/relationships/hyperlink" Target="https://d18vdu4p71yql0.cloudfront.net/libraries/arasaac/bad_1.png.variant-medium-dark.png" TargetMode="External"/><Relationship Id="rId92" Type="http://schemas.openxmlformats.org/officeDocument/2006/relationships/hyperlink" Target="https://d18vdu4p71yql0.cloudfront.net/libraries/arasaac/bad_1.png.variant-medium-dark.png" TargetMode="External"/><Relationship Id="rId118" Type="http://schemas.openxmlformats.org/officeDocument/2006/relationships/hyperlink" Target="https://d18vdu4p71yql0.cloudfront.net/libraries/arasaac/think.png" TargetMode="External"/><Relationship Id="rId117" Type="http://schemas.openxmlformats.org/officeDocument/2006/relationships/hyperlink" Target="https://d18vdu4p71yql0.cloudfront.net/libraries/twemoji/1f325.svg" TargetMode="External"/><Relationship Id="rId359" Type="http://schemas.openxmlformats.org/officeDocument/2006/relationships/hyperlink" Target="https://d18vdu4p71yql0.cloudfront.net/libraries/mulberry/go%20through%20door%20,%20to.svg.varianted-skin.svg" TargetMode="External"/><Relationship Id="rId116" Type="http://schemas.openxmlformats.org/officeDocument/2006/relationships/hyperlink" Target="https://d18vdu4p71yql0.cloudfront.net/libraries/twemoji/1f325.svg" TargetMode="External"/><Relationship Id="rId358" Type="http://schemas.openxmlformats.org/officeDocument/2006/relationships/hyperlink" Target="https://d18vdu4p71yql0.cloudfront.net/libraries/mulberry/clothes%20hanger.svg" TargetMode="External"/><Relationship Id="rId115" Type="http://schemas.openxmlformats.org/officeDocument/2006/relationships/hyperlink" Target="https://d18vdu4p71yql0.cloudfront.net/libraries/twemoji/1f325.svg" TargetMode="External"/><Relationship Id="rId357" Type="http://schemas.openxmlformats.org/officeDocument/2006/relationships/hyperlink" Target="https://i.imgur.com/mmvdUz0.png" TargetMode="External"/><Relationship Id="rId599" Type="http://schemas.openxmlformats.org/officeDocument/2006/relationships/hyperlink" Target="https://d18vdu4p71yql0.cloudfront.net/libraries/coughdrop_symbols/november.png" TargetMode="External"/><Relationship Id="rId119" Type="http://schemas.openxmlformats.org/officeDocument/2006/relationships/hyperlink" Target="https://d18vdu4p71yql0.cloudfront.net/libraries/arasaac/belly.png.variant-medium-dark.png" TargetMode="External"/><Relationship Id="rId110" Type="http://schemas.openxmlformats.org/officeDocument/2006/relationships/hyperlink" Target="https://d18vdu4p71yql0.cloudfront.net/libraries/arasaac/bee.png" TargetMode="External"/><Relationship Id="rId352" Type="http://schemas.openxmlformats.org/officeDocument/2006/relationships/hyperlink" Target="https://d18vdu4p71yql0.cloudfront.net/libraries/arasaac/fun.png" TargetMode="External"/><Relationship Id="rId594" Type="http://schemas.openxmlformats.org/officeDocument/2006/relationships/hyperlink" Target="https://d18vdu4p71yql0.cloudfront.net/libraries/arasaac/noisy.png" TargetMode="External"/><Relationship Id="rId351" Type="http://schemas.openxmlformats.org/officeDocument/2006/relationships/hyperlink" Target="https://d18vdu4p71yql0.cloudfront.net/libraries/noun-project/Frustrated_182_g.svg" TargetMode="External"/><Relationship Id="rId593" Type="http://schemas.openxmlformats.org/officeDocument/2006/relationships/hyperlink" Target="https://d18vdu4p71yql0.cloudfront.net/libraries/arasaac/night.png" TargetMode="External"/><Relationship Id="rId350" Type="http://schemas.openxmlformats.org/officeDocument/2006/relationships/hyperlink" Target="https://d18vdu4p71yql0.cloudfront.net/libraries/arasaac/frog_1.png" TargetMode="External"/><Relationship Id="rId592" Type="http://schemas.openxmlformats.org/officeDocument/2006/relationships/hyperlink" Target="https://d18vdu4p71yql0.cloudfront.net/libraries/arasaac/niece.png.variant-dark.png" TargetMode="External"/><Relationship Id="rId591" Type="http://schemas.openxmlformats.org/officeDocument/2006/relationships/hyperlink" Target="https://d18vdu4p71yql0.cloudfront.net/libraries/arasaac/nice_1.png.variant-medium.png" TargetMode="External"/><Relationship Id="rId114" Type="http://schemas.openxmlformats.org/officeDocument/2006/relationships/hyperlink" Target="https://d18vdu4p71yql0.cloudfront.net/libraries/mulberry/first.svg" TargetMode="External"/><Relationship Id="rId356" Type="http://schemas.openxmlformats.org/officeDocument/2006/relationships/hyperlink" Target="https://d18vdu4p71yql0.cloudfront.net/libraries/mulberry/computer%20game.svg" TargetMode="External"/><Relationship Id="rId598" Type="http://schemas.openxmlformats.org/officeDocument/2006/relationships/hyperlink" Target="https://d18vdu4p71yql0.cloudfront.net/libraries/icon_archive/notes.png" TargetMode="External"/><Relationship Id="rId113" Type="http://schemas.openxmlformats.org/officeDocument/2006/relationships/hyperlink" Target="https://d18vdu4p71yql0.cloudfront.net/libraries/mulberry/first.svg" TargetMode="External"/><Relationship Id="rId355" Type="http://schemas.openxmlformats.org/officeDocument/2006/relationships/hyperlink" Target="https://d18vdu4p71yql0.cloudfront.net/libraries/arasaac/board%20game.png" TargetMode="External"/><Relationship Id="rId597" Type="http://schemas.openxmlformats.org/officeDocument/2006/relationships/hyperlink" Target="https://d18vdu4p71yql0.cloudfront.net/libraries/mulberry/nostril.svg.variant-medium-dark.svg" TargetMode="External"/><Relationship Id="rId112" Type="http://schemas.openxmlformats.org/officeDocument/2006/relationships/hyperlink" Target="https://d18vdu4p71yql0.cloudfront.net/libraries/mulberry/first.svg" TargetMode="External"/><Relationship Id="rId354" Type="http://schemas.openxmlformats.org/officeDocument/2006/relationships/hyperlink" Target="https://d18vdu4p71yql0.cloudfront.net/libraries/arasaac/gloves.png" TargetMode="External"/><Relationship Id="rId596" Type="http://schemas.openxmlformats.org/officeDocument/2006/relationships/hyperlink" Target="https://d18vdu4p71yql0.cloudfront.net/libraries/arasaac/nose.png.variant-medium-dark.png" TargetMode="External"/><Relationship Id="rId111" Type="http://schemas.openxmlformats.org/officeDocument/2006/relationships/hyperlink" Target="https://d18vdu4p71yql0.cloudfront.net/libraries/arasaac/to%20beg_2.png.varianted-skin.png" TargetMode="External"/><Relationship Id="rId353" Type="http://schemas.openxmlformats.org/officeDocument/2006/relationships/hyperlink" Target="https://d18vdu4p71yql0.cloudfront.net/libraries/arasaac/it's%20funny!.png" TargetMode="External"/><Relationship Id="rId595" Type="http://schemas.openxmlformats.org/officeDocument/2006/relationships/hyperlink" Target="https://d18vdu4p71yql0.cloudfront.net/libraries/arasaac/America.png" TargetMode="External"/><Relationship Id="rId305" Type="http://schemas.openxmlformats.org/officeDocument/2006/relationships/hyperlink" Target="https://d18vdu4p71yql0.cloudfront.net/libraries/arasaac/dusk.png" TargetMode="External"/><Relationship Id="rId547" Type="http://schemas.openxmlformats.org/officeDocument/2006/relationships/hyperlink" Target="https://d18vdu4p71yql0.cloudfront.net/libraries/arasaac/milk.png" TargetMode="External"/><Relationship Id="rId789" Type="http://schemas.openxmlformats.org/officeDocument/2006/relationships/hyperlink" Target="https://d18vdu4p71yql0.cloudfront.net/libraries/arasaac/acid.png.variant-medium-dark.png" TargetMode="External"/><Relationship Id="rId304" Type="http://schemas.openxmlformats.org/officeDocument/2006/relationships/hyperlink" Target="https://d18vdu4p71yql0.cloudfront.net/libraries/sclera/planning%20board.png" TargetMode="External"/><Relationship Id="rId546" Type="http://schemas.openxmlformats.org/officeDocument/2006/relationships/hyperlink" Target="https://i.imgur.com/r2jKqRM.png" TargetMode="External"/><Relationship Id="rId788" Type="http://schemas.openxmlformats.org/officeDocument/2006/relationships/hyperlink" Target="https://d18vdu4p71yql0.cloudfront.net/libraries/tawasol/sound%20(mega%20phone).jpg" TargetMode="External"/><Relationship Id="rId303" Type="http://schemas.openxmlformats.org/officeDocument/2006/relationships/hyperlink" Target="https://d18vdu4p71yql0.cloudfront.net/libraries/arasaac/emergency%20exit.png" TargetMode="External"/><Relationship Id="rId545" Type="http://schemas.openxmlformats.org/officeDocument/2006/relationships/hyperlink" Target="https://d18vdu4p71yql0.cloudfront.net/libraries/mulberry/middle.svg" TargetMode="External"/><Relationship Id="rId787" Type="http://schemas.openxmlformats.org/officeDocument/2006/relationships/hyperlink" Target="https://d18vdu4p71yql0.cloudfront.net/libraries/noun-project/Idea_68_g.svg" TargetMode="External"/><Relationship Id="rId302" Type="http://schemas.openxmlformats.org/officeDocument/2006/relationships/hyperlink" Target="https://d18vdu4p71yql0.cloudfront.net/libraries/arasaac/Europe.png" TargetMode="External"/><Relationship Id="rId544" Type="http://schemas.openxmlformats.org/officeDocument/2006/relationships/hyperlink" Target="https://d18vdu4p71yql0.cloudfront.net/libraries/mulberry/middle.svg" TargetMode="External"/><Relationship Id="rId786" Type="http://schemas.openxmlformats.org/officeDocument/2006/relationships/hyperlink" Target="https://d18vdu4p71yql0.cloudfront.net/libraries/arasaac/smooth_1.png.variant-medium-dark.png" TargetMode="External"/><Relationship Id="rId309" Type="http://schemas.openxmlformats.org/officeDocument/2006/relationships/hyperlink" Target="https://d18vdu4p71yql0.cloudfront.net/libraries/arasaac/to%20do%20exercise_22.png.variant-medium-dark.png" TargetMode="External"/><Relationship Id="rId308" Type="http://schemas.openxmlformats.org/officeDocument/2006/relationships/hyperlink" Target="https://d18vdu4p71yql0.cloudfront.net/libraries/mulberry/exercise%20,%20to.svg.varianted-skin.svg" TargetMode="External"/><Relationship Id="rId307" Type="http://schemas.openxmlformats.org/officeDocument/2006/relationships/hyperlink" Target="https://d18vdu4p71yql0.cloudfront.net/libraries/noun-project/excited_334_g.svg" TargetMode="External"/><Relationship Id="rId549" Type="http://schemas.openxmlformats.org/officeDocument/2006/relationships/hyperlink" Target="https://d18vdu4p71yql0.cloudfront.net/libraries/arasaac/mine_1.png" TargetMode="External"/><Relationship Id="rId306" Type="http://schemas.openxmlformats.org/officeDocument/2006/relationships/hyperlink" Target="https://d18vdu4p71yql0.cloudfront.net/libraries/noun-project/excited_334_g.svg" TargetMode="External"/><Relationship Id="rId548" Type="http://schemas.openxmlformats.org/officeDocument/2006/relationships/hyperlink" Target="https://d18vdu4p71yql0.cloudfront.net/libraries/noun-project/Mime-accb93c4f1.svg" TargetMode="External"/><Relationship Id="rId781" Type="http://schemas.openxmlformats.org/officeDocument/2006/relationships/hyperlink" Target="https://i.imgur.com/taxZ7PS.png" TargetMode="External"/><Relationship Id="rId780" Type="http://schemas.openxmlformats.org/officeDocument/2006/relationships/hyperlink" Target="https://i.imgur.com/taxZ7PS.png" TargetMode="External"/><Relationship Id="rId301" Type="http://schemas.openxmlformats.org/officeDocument/2006/relationships/hyperlink" Target="https://d18vdu4p71yql0.cloudfront.net/libraries/sclera/weight%20estimate.png" TargetMode="External"/><Relationship Id="rId543" Type="http://schemas.openxmlformats.org/officeDocument/2006/relationships/hyperlink" Target="https://d18vdu4p71yql0.cloudfront.net/libraries/mulberry/middle.svg" TargetMode="External"/><Relationship Id="rId785" Type="http://schemas.openxmlformats.org/officeDocument/2006/relationships/hyperlink" Target="https://d18vdu4p71yql0.cloudfront.net/libraries/arasaac/sofa_1.png" TargetMode="External"/><Relationship Id="rId300" Type="http://schemas.openxmlformats.org/officeDocument/2006/relationships/hyperlink" Target="https://d18vdu4p71yql0.cloudfront.net/libraries/arasaac/grass_1.png" TargetMode="External"/><Relationship Id="rId542" Type="http://schemas.openxmlformats.org/officeDocument/2006/relationships/hyperlink" Target="https://d18vdu4p71yql0.cloudfront.net/libraries/arasaac/microwave.png" TargetMode="External"/><Relationship Id="rId784" Type="http://schemas.openxmlformats.org/officeDocument/2006/relationships/hyperlink" Target="https://d18vdu4p71yql0.cloudfront.net/libraries/arasaac/socks.png" TargetMode="External"/><Relationship Id="rId541" Type="http://schemas.openxmlformats.org/officeDocument/2006/relationships/hyperlink" Target="https://d18vdu4p71yql0.cloudfront.net/libraries/arasaac/metre.png" TargetMode="External"/><Relationship Id="rId783" Type="http://schemas.openxmlformats.org/officeDocument/2006/relationships/hyperlink" Target="https://d18vdu4p71yql0.cloudfront.net/libraries/arasaac/soccer.png.variant-medium-dark.png" TargetMode="External"/><Relationship Id="rId540" Type="http://schemas.openxmlformats.org/officeDocument/2006/relationships/hyperlink" Target="https://d18vdu4p71yql0.cloudfront.net/libraries/arasaac/medicine.png" TargetMode="External"/><Relationship Id="rId782" Type="http://schemas.openxmlformats.org/officeDocument/2006/relationships/hyperlink" Target="https://d18vdu4p71yql0.cloudfront.net/libraries/arasaac/sports%20shoes.png" TargetMode="External"/><Relationship Id="rId536" Type="http://schemas.openxmlformats.org/officeDocument/2006/relationships/hyperlink" Target="https://d18vdu4p71yql0.cloudfront.net/libraries/coughdrop_symbols/may.png" TargetMode="External"/><Relationship Id="rId778" Type="http://schemas.openxmlformats.org/officeDocument/2006/relationships/hyperlink" Target="https://d18vdu4p71yql0.cloudfront.net/libraries/arasaac/smooth_2.png.varianted-skin.png" TargetMode="External"/><Relationship Id="rId535" Type="http://schemas.openxmlformats.org/officeDocument/2006/relationships/hyperlink" Target="https://d18vdu4p71yql0.cloudfront.net/libraries/sclera/same_2.png" TargetMode="External"/><Relationship Id="rId777" Type="http://schemas.openxmlformats.org/officeDocument/2006/relationships/hyperlink" Target="https://d18vdu4p71yql0.cloudfront.net/libraries/arasaac/smooth_2.png.varianted-skin.png" TargetMode="External"/><Relationship Id="rId534" Type="http://schemas.openxmlformats.org/officeDocument/2006/relationships/hyperlink" Target="https://i.imgur.com/SF5BCS7.png" TargetMode="External"/><Relationship Id="rId776" Type="http://schemas.openxmlformats.org/officeDocument/2006/relationships/hyperlink" Target="https://d18vdu4p71yql0.cloudfront.net/libraries/arasaac/smooth_2.png.varianted-skin.png" TargetMode="External"/><Relationship Id="rId533" Type="http://schemas.openxmlformats.org/officeDocument/2006/relationships/hyperlink" Target="https://d18vdu4p71yql0.cloudfront.net/libraries/coughdrop_symbols/march.png" TargetMode="External"/><Relationship Id="rId775" Type="http://schemas.openxmlformats.org/officeDocument/2006/relationships/hyperlink" Target="https://www.shutterstock.com/image-illustration/cute-picturesadjectivessymbol-signsimple-icon-260nw-2228818049.jpg" TargetMode="External"/><Relationship Id="rId539" Type="http://schemas.openxmlformats.org/officeDocument/2006/relationships/hyperlink" Target="https://d18vdu4p71yql0.cloudfront.net/libraries/mulberry/medal.svg" TargetMode="External"/><Relationship Id="rId538" Type="http://schemas.openxmlformats.org/officeDocument/2006/relationships/hyperlink" Target="https://d18vdu4p71yql0.cloudfront.net/libraries/tawasol/meals.png" TargetMode="External"/><Relationship Id="rId537" Type="http://schemas.openxmlformats.org/officeDocument/2006/relationships/hyperlink" Target="https://d18vdu4p71yql0.cloudfront.net/libraries/arasaac/me.png" TargetMode="External"/><Relationship Id="rId779" Type="http://schemas.openxmlformats.org/officeDocument/2006/relationships/hyperlink" Target="https://d18vdu4p71yql0.cloudfront.net/libraries/arasaac/snake.png" TargetMode="External"/><Relationship Id="rId770" Type="http://schemas.openxmlformats.org/officeDocument/2006/relationships/hyperlink" Target="https://d18vdu4p71yql0.cloudfront.net/libraries/arasaac/skirt.png" TargetMode="External"/><Relationship Id="rId532" Type="http://schemas.openxmlformats.org/officeDocument/2006/relationships/hyperlink" Target="https://d18vdu4p71yql0.cloudfront.net/libraries/mulberry/mango.svg" TargetMode="External"/><Relationship Id="rId774" Type="http://schemas.openxmlformats.org/officeDocument/2006/relationships/hyperlink" Target="https://d18vdu4p71yql0.cloudfront.net/libraries/arasaac/to%20share.png.variant-dark.png" TargetMode="External"/><Relationship Id="rId531" Type="http://schemas.openxmlformats.org/officeDocument/2006/relationships/hyperlink" Target="https://upload.wikimedia.org/wikipedia/commons/thumb/1/11/Manchester_in_Jamaica.svg/1200px-Manchester_in_Jamaica.svg.png" TargetMode="External"/><Relationship Id="rId773" Type="http://schemas.openxmlformats.org/officeDocument/2006/relationships/hyperlink" Target="https://d18vdu4p71yql0.cloudfront.net/libraries/arasaac/small.png" TargetMode="External"/><Relationship Id="rId530" Type="http://schemas.openxmlformats.org/officeDocument/2006/relationships/hyperlink" Target="https://d18vdu4p71yql0.cloudfront.net/libraries/sclera/idea.png" TargetMode="External"/><Relationship Id="rId772" Type="http://schemas.openxmlformats.org/officeDocument/2006/relationships/hyperlink" Target="https://d18vdu4p71yql0.cloudfront.net/libraries/sclera/sleep.png" TargetMode="External"/><Relationship Id="rId771" Type="http://schemas.openxmlformats.org/officeDocument/2006/relationships/hyperlink" Target="https://d18vdu4p71yql0.cloudfront.net/libraries/arasaac/sky.png" TargetMode="External"/><Relationship Id="rId327" Type="http://schemas.openxmlformats.org/officeDocument/2006/relationships/hyperlink" Target="https://d18vdu4p71yql0.cloudfront.net/libraries/arasaac/fire_2.png" TargetMode="External"/><Relationship Id="rId569" Type="http://schemas.openxmlformats.org/officeDocument/2006/relationships/hyperlink" Target="https://d18vdu4p71yql0.cloudfront.net/libraries/arasaac/to%20narrate_1.png" TargetMode="External"/><Relationship Id="rId326" Type="http://schemas.openxmlformats.org/officeDocument/2006/relationships/hyperlink" Target="https://d18vdu4p71yql0.cloudfront.net/libraries/sclera/run%20finish.png" TargetMode="External"/><Relationship Id="rId568" Type="http://schemas.openxmlformats.org/officeDocument/2006/relationships/hyperlink" Target="https://d18vdu4p71yql0.cloudfront.net/libraries/tawasol/what%20is%20your%20name_2.jpg.png.varianted-skin.png" TargetMode="External"/><Relationship Id="rId325" Type="http://schemas.openxmlformats.org/officeDocument/2006/relationships/hyperlink" Target="https://d18vdu4p71yql0.cloudfront.net/libraries/mulberry/fingers.svg.variant-medium-dark.svg" TargetMode="External"/><Relationship Id="rId567" Type="http://schemas.openxmlformats.org/officeDocument/2006/relationships/hyperlink" Target="https://d18vdu4p71yql0.cloudfront.net/libraries/arasaac/me_1.png" TargetMode="External"/><Relationship Id="rId324" Type="http://schemas.openxmlformats.org/officeDocument/2006/relationships/hyperlink" Target="https://d18vdu4p71yql0.cloudfront.net/libraries/mulberry/friction.svg" TargetMode="External"/><Relationship Id="rId566" Type="http://schemas.openxmlformats.org/officeDocument/2006/relationships/hyperlink" Target="https://d18vdu4p71yql0.cloudfront.net/libraries/arasaac/my%20(plural).png" TargetMode="External"/><Relationship Id="rId329" Type="http://schemas.openxmlformats.org/officeDocument/2006/relationships/hyperlink" Target="https://d18vdu4p71yql0.cloudfront.net/libraries/mulberry/fish.svg" TargetMode="External"/><Relationship Id="rId328" Type="http://schemas.openxmlformats.org/officeDocument/2006/relationships/hyperlink" Target="https://d18vdu4p71yql0.cloudfront.net/libraries/arasaac/medicine%20chest_1.png" TargetMode="External"/><Relationship Id="rId561" Type="http://schemas.openxmlformats.org/officeDocument/2006/relationships/hyperlink" Target="https://d18vdu4p71yql0.cloudfront.net/libraries/noun-project/Media-68862df6e6.svg" TargetMode="External"/><Relationship Id="rId560" Type="http://schemas.openxmlformats.org/officeDocument/2006/relationships/hyperlink" Target="https://d18vdu4p71yql0.cloudfront.net/libraries/arasaac/mouth.png" TargetMode="External"/><Relationship Id="rId323" Type="http://schemas.openxmlformats.org/officeDocument/2006/relationships/hyperlink" Target="https://d18vdu4p71yql0.cloudfront.net/libraries/arasaac/feet.png.variant-medium-dark.png" TargetMode="External"/><Relationship Id="rId565" Type="http://schemas.openxmlformats.org/officeDocument/2006/relationships/hyperlink" Target="https://d18vdu4p71yql0.cloudfront.net/libraries/arasaac/my%20(plural).png" TargetMode="External"/><Relationship Id="rId322" Type="http://schemas.openxmlformats.org/officeDocument/2006/relationships/hyperlink" Target="https://d18vdu4p71yql0.cloudfront.net/libraries/arasaac/feelings.png.variant-dark.png" TargetMode="External"/><Relationship Id="rId564" Type="http://schemas.openxmlformats.org/officeDocument/2006/relationships/hyperlink" Target="https://d18vdu4p71yql0.cloudfront.net/libraries/sclera/sheet%20music.png" TargetMode="External"/><Relationship Id="rId321" Type="http://schemas.openxmlformats.org/officeDocument/2006/relationships/hyperlink" Target="https://d18vdu4p71yql0.cloudfront.net/libraries/coughdrop_symbols/february.png" TargetMode="External"/><Relationship Id="rId563" Type="http://schemas.openxmlformats.org/officeDocument/2006/relationships/hyperlink" Target="https://d18vdu4p71yql0.cloudfront.net/libraries/sclera/musical.png" TargetMode="External"/><Relationship Id="rId320" Type="http://schemas.openxmlformats.org/officeDocument/2006/relationships/hyperlink" Target="https://d18vdu4p71yql0.cloudfront.net/libraries/mulberry/favourite.svg" TargetMode="External"/><Relationship Id="rId562" Type="http://schemas.openxmlformats.org/officeDocument/2006/relationships/hyperlink" Target="https://d18vdu4p71yql0.cloudfront.net/libraries/tawasol/music.jpg" TargetMode="External"/><Relationship Id="rId316" Type="http://schemas.openxmlformats.org/officeDocument/2006/relationships/hyperlink" Target="https://d18vdu4p71yql0.cloudfront.net/libraries/arasaac/farmer_1.png.varianted-skin.png" TargetMode="External"/><Relationship Id="rId558" Type="http://schemas.openxmlformats.org/officeDocument/2006/relationships/hyperlink" Target="https://d18vdu4p71yql0.cloudfront.net/libraries/arasaac/mother.png.variant-dark.png" TargetMode="External"/><Relationship Id="rId315" Type="http://schemas.openxmlformats.org/officeDocument/2006/relationships/hyperlink" Target="https://d18vdu4p71yql0.cloudfront.net/libraries/arasaac/family.png.variant-medium-dark.png" TargetMode="External"/><Relationship Id="rId557" Type="http://schemas.openxmlformats.org/officeDocument/2006/relationships/hyperlink" Target="https://d18vdu4p71yql0.cloudfront.net/libraries/arasaac/dawn_1.png" TargetMode="External"/><Relationship Id="rId799" Type="http://schemas.openxmlformats.org/officeDocument/2006/relationships/hyperlink" Target="https://d18vdu4p71yql0.cloudfront.net/libraries/noun-project/square_6403_21b550c3-17e0-4d65-9ac9-e19f36b13354.svg" TargetMode="External"/><Relationship Id="rId314" Type="http://schemas.openxmlformats.org/officeDocument/2006/relationships/hyperlink" Target="https://d18vdu4p71yql0.cloudfront.net/libraries/arasaac/yes_2.png" TargetMode="External"/><Relationship Id="rId556" Type="http://schemas.openxmlformats.org/officeDocument/2006/relationships/hyperlink" Target="https://d18vdu4p71yql0.cloudfront.net/libraries/arasaac/bucket%20and%20mop.png" TargetMode="External"/><Relationship Id="rId798" Type="http://schemas.openxmlformats.org/officeDocument/2006/relationships/hyperlink" Target="https://external-content.duckduckgo.com/iu/?u=https%3A%2F%2Fcbsnews2.cbsistatic.com%2Fhub%2Fi%2Fr%2F2012%2F07%2F19%2Ffaa9acc5-a644-11e2-a3f0-029118418759%2Fthumbnail%2F1240x1654%2Fdc0762d6a78ad5c92f38f3b9b837b7f6%2F82380928.jpg&amp;f=1&amp;nofb=1&amp;ipt=8ac333f335f254858a5a364471c4a0c82b8209e8fa99a4039a53d627d340df31&amp;ipo=images" TargetMode="External"/><Relationship Id="rId313" Type="http://schemas.openxmlformats.org/officeDocument/2006/relationships/hyperlink" Target="https://d18vdu4p71yql0.cloudfront.net/libraries/tawasol/Eye_2.png" TargetMode="External"/><Relationship Id="rId555" Type="http://schemas.openxmlformats.org/officeDocument/2006/relationships/hyperlink" Target="https://d18vdu4p71yql0.cloudfront.net/libraries/arasaac/feelings.png.variant-dark.png" TargetMode="External"/><Relationship Id="rId797" Type="http://schemas.openxmlformats.org/officeDocument/2006/relationships/hyperlink" Target="https://d18vdu4p71yql0.cloudfront.net/libraries/arasaac/sport.png" TargetMode="External"/><Relationship Id="rId319" Type="http://schemas.openxmlformats.org/officeDocument/2006/relationships/hyperlink" Target="https://d18vdu4p71yql0.cloudfront.net/libraries/arasaac/father.png.variant-medium-dark.png" TargetMode="External"/><Relationship Id="rId318" Type="http://schemas.openxmlformats.org/officeDocument/2006/relationships/hyperlink" Target="https://d18vdu4p71yql0.cloudfront.net/libraries/arasaac/fat.png.variant-medium-dark.png" TargetMode="External"/><Relationship Id="rId317" Type="http://schemas.openxmlformats.org/officeDocument/2006/relationships/hyperlink" Target="https://d18vdu4p71yql0.cloudfront.net/libraries/arasaac/fat.png.variant-medium-dark.png" TargetMode="External"/><Relationship Id="rId559" Type="http://schemas.openxmlformats.org/officeDocument/2006/relationships/hyperlink" Target="https://d18vdu4p71yql0.cloudfront.net/libraries/arasaac/mountain.png" TargetMode="External"/><Relationship Id="rId550" Type="http://schemas.openxmlformats.org/officeDocument/2006/relationships/hyperlink" Target="https://d18vdu4p71yql0.cloudfront.net/libraries/mulberry/minute.svg" TargetMode="External"/><Relationship Id="rId792" Type="http://schemas.openxmlformats.org/officeDocument/2006/relationships/hyperlink" Target="https://d18vdu4p71yql0.cloudfront.net/libraries/noun-project/human-resources_653_g.svg" TargetMode="External"/><Relationship Id="rId791" Type="http://schemas.openxmlformats.org/officeDocument/2006/relationships/hyperlink" Target="https://d18vdu4p71yql0.cloudfront.net/libraries/mulberry/sour.svg.variant-medium-dark.svg" TargetMode="External"/><Relationship Id="rId790" Type="http://schemas.openxmlformats.org/officeDocument/2006/relationships/hyperlink" Target="https://d18vdu4p71yql0.cloudfront.net/libraries/mulberry/sour.svg.variant-medium-dark.svg" TargetMode="External"/><Relationship Id="rId312" Type="http://schemas.openxmlformats.org/officeDocument/2006/relationships/hyperlink" Target="https://d18vdu4p71yql0.cloudfront.net/libraries/noun-project/explosion_404_g.svg" TargetMode="External"/><Relationship Id="rId554" Type="http://schemas.openxmlformats.org/officeDocument/2006/relationships/hyperlink" Target="https://d18vdu4p71yql0.cloudfront.net/libraries/arasaac/month.png" TargetMode="External"/><Relationship Id="rId796" Type="http://schemas.openxmlformats.org/officeDocument/2006/relationships/hyperlink" Target="https://d18vdu4p71yql0.cloudfront.net/libraries/arasaac/sport.png" TargetMode="External"/><Relationship Id="rId311" Type="http://schemas.openxmlformats.org/officeDocument/2006/relationships/hyperlink" Target="https://d18vdu4p71yql0.cloudfront.net/libraries/arasaac/adventure.png.varianted-skin.png" TargetMode="External"/><Relationship Id="rId553" Type="http://schemas.openxmlformats.org/officeDocument/2006/relationships/hyperlink" Target="https://d18vdu4p71yql0.cloudfront.net/libraries/arasaac/monkey.png" TargetMode="External"/><Relationship Id="rId795" Type="http://schemas.openxmlformats.org/officeDocument/2006/relationships/hyperlink" Target="https://d18vdu4p71yql0.cloudfront.net/libraries/icomoon/spin.svg" TargetMode="External"/><Relationship Id="rId310" Type="http://schemas.openxmlformats.org/officeDocument/2006/relationships/hyperlink" Target="https://d18vdu4p71yql0.cloudfront.net/libraries/arasaac/exit.png" TargetMode="External"/><Relationship Id="rId552" Type="http://schemas.openxmlformats.org/officeDocument/2006/relationships/hyperlink" Target="https://d18vdu4p71yql0.cloudfront.net/libraries/coughdrop_symbols/monday.svg" TargetMode="External"/><Relationship Id="rId794" Type="http://schemas.openxmlformats.org/officeDocument/2006/relationships/hyperlink" Target="https://d18vdu4p71yql0.cloudfront.net/libraries/arasaac/turn.png.varianted-skin.png" TargetMode="External"/><Relationship Id="rId551" Type="http://schemas.openxmlformats.org/officeDocument/2006/relationships/hyperlink" Target="https://d18vdu4p71yql0.cloudfront.net/libraries/mulberry/mittens.svg" TargetMode="External"/><Relationship Id="rId793" Type="http://schemas.openxmlformats.org/officeDocument/2006/relationships/hyperlink" Target="https://d18vdu4p71yql0.cloudfront.net/libraries/arasaac/spicy.png.variant-dark.png" TargetMode="External"/><Relationship Id="rId297" Type="http://schemas.openxmlformats.org/officeDocument/2006/relationships/hyperlink" Target="https://d18vdu4p71yql0.cloudfront.net/libraries/arasaac/to%20endure.png.variant-medium-dark.png" TargetMode="External"/><Relationship Id="rId296" Type="http://schemas.openxmlformats.org/officeDocument/2006/relationships/hyperlink" Target="https://d18vdu4p71yql0.cloudfront.net/libraries/noun-project/end-call_245_g.svg" TargetMode="External"/><Relationship Id="rId295" Type="http://schemas.openxmlformats.org/officeDocument/2006/relationships/hyperlink" Target="https://d18vdu4p71yql0.cloudfront.net/libraries/arasaac/end.png" TargetMode="External"/><Relationship Id="rId294" Type="http://schemas.openxmlformats.org/officeDocument/2006/relationships/hyperlink" Target="https://d18vdu4p71yql0.cloudfront.net/libraries/mulberry/last.svg" TargetMode="External"/><Relationship Id="rId299" Type="http://schemas.openxmlformats.org/officeDocument/2006/relationships/hyperlink" Target="https://d18vdu4p71yql0.cloudfront.net/libraries/sclera/jealous%20anger.png" TargetMode="External"/><Relationship Id="rId298" Type="http://schemas.openxmlformats.org/officeDocument/2006/relationships/hyperlink" Target="https://d18vdu4p71yql0.cloudfront.net/libraries/noun-project/excited_927_g.svg" TargetMode="External"/><Relationship Id="rId271" Type="http://schemas.openxmlformats.org/officeDocument/2006/relationships/hyperlink" Target="https://d18vdu4p71yql0.cloudfront.net/libraries/noun-project/Dragonfly-75fc847e05.svg" TargetMode="External"/><Relationship Id="rId270" Type="http://schemas.openxmlformats.org/officeDocument/2006/relationships/hyperlink" Target="https://d18vdu4p71yql0.cloudfront.net/libraries/arasaac/knock%20down.png" TargetMode="External"/><Relationship Id="rId269" Type="http://schemas.openxmlformats.org/officeDocument/2006/relationships/hyperlink" Target="https://d18vdu4p71yql0.cloudfront.net/libraries/icomoon/arrow-down2.svg" TargetMode="External"/><Relationship Id="rId264" Type="http://schemas.openxmlformats.org/officeDocument/2006/relationships/hyperlink" Target="https://jamaicagetawaytravels.com/wp-content/uploads/2013/05/jamaica-get-away-travels-dolphin-cove.jpg" TargetMode="External"/><Relationship Id="rId263" Type="http://schemas.openxmlformats.org/officeDocument/2006/relationships/hyperlink" Target="https://d18vdu4p71yql0.cloudfront.net/libraries/arasaac/dolphin.png" TargetMode="External"/><Relationship Id="rId262" Type="http://schemas.openxmlformats.org/officeDocument/2006/relationships/hyperlink" Target="https://d18vdu4p71yql0.cloudfront.net/libraries/arasaac/dog.png" TargetMode="External"/><Relationship Id="rId261" Type="http://schemas.openxmlformats.org/officeDocument/2006/relationships/hyperlink" Target="https://d18vdu4p71yql0.cloudfront.net/libraries/arasaac/and.png" TargetMode="External"/><Relationship Id="rId268" Type="http://schemas.openxmlformats.org/officeDocument/2006/relationships/hyperlink" Target="https://d18vdu4p71yql0.cloudfront.net/libraries/icomoon/arrow-down2.svg" TargetMode="External"/><Relationship Id="rId267" Type="http://schemas.openxmlformats.org/officeDocument/2006/relationships/hyperlink" Target="https://d18vdu4p71yql0.cloudfront.net/libraries/icomoon/arrow-down2.svg" TargetMode="External"/><Relationship Id="rId266" Type="http://schemas.openxmlformats.org/officeDocument/2006/relationships/hyperlink" Target="https://d18vdu4p71yql0.cloudfront.net/libraries/icomoon/arrow-down2.svg" TargetMode="External"/><Relationship Id="rId265" Type="http://schemas.openxmlformats.org/officeDocument/2006/relationships/hyperlink" Target="https://d18vdu4p71yql0.cloudfront.net/libraries/arasaac/dress_10.png" TargetMode="External"/><Relationship Id="rId260" Type="http://schemas.openxmlformats.org/officeDocument/2006/relationships/hyperlink" Target="https://d18vdu4p71yql0.cloudfront.net/libraries/arasaac/to%20avoid_2.png" TargetMode="External"/><Relationship Id="rId259" Type="http://schemas.openxmlformats.org/officeDocument/2006/relationships/hyperlink" Target="https://d18vdu4p71yql0.cloudfront.net/libraries/arasaac/to%20avoid_2.png" TargetMode="External"/><Relationship Id="rId258" Type="http://schemas.openxmlformats.org/officeDocument/2006/relationships/hyperlink" Target="https://d18vdu4p71yql0.cloudfront.net/libraries/arasaac/dislike.png.variant-dark.png" TargetMode="External"/><Relationship Id="rId253" Type="http://schemas.openxmlformats.org/officeDocument/2006/relationships/hyperlink" Target="https://d18vdu4p71yql0.cloudfront.net/libraries/arasaac/different.png" TargetMode="External"/><Relationship Id="rId495" Type="http://schemas.openxmlformats.org/officeDocument/2006/relationships/hyperlink" Target="https://d18vdu4p71yql0.cloudfront.net/libraries/arasaac/is%20less%20than.png" TargetMode="External"/><Relationship Id="rId252" Type="http://schemas.openxmlformats.org/officeDocument/2006/relationships/hyperlink" Target="https://i.imgur.com/MUWhssJ.png" TargetMode="External"/><Relationship Id="rId494" Type="http://schemas.openxmlformats.org/officeDocument/2006/relationships/hyperlink" Target="https://d18vdu4p71yql0.cloudfront.net/libraries/arasaac/pulses_3.png" TargetMode="External"/><Relationship Id="rId251" Type="http://schemas.openxmlformats.org/officeDocument/2006/relationships/hyperlink" Target="https://d18vdu4p71yql0.cloudfront.net/libraries/noun-project/chat-bubble_660_g.svg" TargetMode="External"/><Relationship Id="rId493" Type="http://schemas.openxmlformats.org/officeDocument/2006/relationships/hyperlink" Target="https://d18vdu4p71yql0.cloudfront.net/libraries/noun-project/tights_645_g.svg" TargetMode="External"/><Relationship Id="rId250" Type="http://schemas.openxmlformats.org/officeDocument/2006/relationships/hyperlink" Target="https://tef.gov.jm/wp-content/uploads/2020/09/TEF_ADDED-28.jpg" TargetMode="External"/><Relationship Id="rId492" Type="http://schemas.openxmlformats.org/officeDocument/2006/relationships/hyperlink" Target="https://d18vdu4p71yql0.cloudfront.net/libraries/mulberry/leg.svg.variant-medium-dark.svg" TargetMode="External"/><Relationship Id="rId257" Type="http://schemas.openxmlformats.org/officeDocument/2006/relationships/hyperlink" Target="https://d18vdu4p71yql0.cloudfront.net/libraries/arasaac/bad_2.png.variant-medium-dark.png" TargetMode="External"/><Relationship Id="rId499" Type="http://schemas.openxmlformats.org/officeDocument/2006/relationships/hyperlink" Target="https://d18vdu4p71yql0.cloudfront.net/libraries/mulberry/light.svg" TargetMode="External"/><Relationship Id="rId256" Type="http://schemas.openxmlformats.org/officeDocument/2006/relationships/hyperlink" Target="https://d18vdu4p71yql0.cloudfront.net/libraries/arasaac/disaster.png.varianted-skin.png" TargetMode="External"/><Relationship Id="rId498" Type="http://schemas.openxmlformats.org/officeDocument/2006/relationships/hyperlink" Target="https://d18vdu4p71yql0.cloudfront.net/libraries/arasaac/toy%20library.png" TargetMode="External"/><Relationship Id="rId255" Type="http://schemas.openxmlformats.org/officeDocument/2006/relationships/hyperlink" Target="https://d18vdu4p71yql0.cloudfront.net/libraries/mulberry/dinner.svg" TargetMode="External"/><Relationship Id="rId497" Type="http://schemas.openxmlformats.org/officeDocument/2006/relationships/hyperlink" Target="https://d18vdu4p71yql0.cloudfront.net/libraries/arasaac/librarian.png" TargetMode="External"/><Relationship Id="rId254" Type="http://schemas.openxmlformats.org/officeDocument/2006/relationships/hyperlink" Target="https://d18vdu4p71yql0.cloudfront.net/libraries/arasaac/door-gate.png" TargetMode="External"/><Relationship Id="rId496" Type="http://schemas.openxmlformats.org/officeDocument/2006/relationships/hyperlink" Target="https://d18vdu4p71yql0.cloudfront.net/libraries/arasaac/levels.png" TargetMode="External"/><Relationship Id="rId293" Type="http://schemas.openxmlformats.org/officeDocument/2006/relationships/hyperlink" Target="https://d18vdu4p71yql0.cloudfront.net/libraries/noun-project/Siren_114_g.svg" TargetMode="External"/><Relationship Id="rId292" Type="http://schemas.openxmlformats.org/officeDocument/2006/relationships/hyperlink" Target="https://d18vdu4p71yql0.cloudfront.net/libraries/arasaac/to%20embarrass_2.png.variant-medium-dark.png" TargetMode="External"/><Relationship Id="rId291" Type="http://schemas.openxmlformats.org/officeDocument/2006/relationships/hyperlink" Target="https://jamaicagetawaytravels.com/wp-content/uploads/2016/02/emancipation-park.jpg" TargetMode="External"/><Relationship Id="rId290" Type="http://schemas.openxmlformats.org/officeDocument/2006/relationships/hyperlink" Target="https://d18vdu4p71yql0.cloudfront.net/libraries/arasaac/electricity.png" TargetMode="External"/><Relationship Id="rId286" Type="http://schemas.openxmlformats.org/officeDocument/2006/relationships/hyperlink" Target="https://d18vdu4p71yql0.cloudfront.net/libraries/arasaac/elbow.png.variant-medium-dark.png" TargetMode="External"/><Relationship Id="rId285" Type="http://schemas.openxmlformats.org/officeDocument/2006/relationships/hyperlink" Target="https://d18vdu4p71yql0.cloudfront.net/libraries/arasaac/egg.png" TargetMode="External"/><Relationship Id="rId284" Type="http://schemas.openxmlformats.org/officeDocument/2006/relationships/hyperlink" Target="https://d18vdu4p71yql0.cloudfront.net/libraries/noun-project/edit_509_g.svg" TargetMode="External"/><Relationship Id="rId283" Type="http://schemas.openxmlformats.org/officeDocument/2006/relationships/hyperlink" Target="https://d18vdu4p71yql0.cloudfront.net/libraries/sclera/repeat_1.png" TargetMode="External"/><Relationship Id="rId289" Type="http://schemas.openxmlformats.org/officeDocument/2006/relationships/hyperlink" Target="https://d18vdu4p71yql0.cloudfront.net/libraries/arasaac/elderly_1.png.varianted-skin.png" TargetMode="External"/><Relationship Id="rId288" Type="http://schemas.openxmlformats.org/officeDocument/2006/relationships/hyperlink" Target="https://d18vdu4p71yql0.cloudfront.net/libraries/arasaac/old%20person_1.png.variant-dark.png" TargetMode="External"/><Relationship Id="rId287" Type="http://schemas.openxmlformats.org/officeDocument/2006/relationships/hyperlink" Target="https://d18vdu4p71yql0.cloudfront.net/libraries/sclera/aid%20to%20elder%20people_1.png" TargetMode="External"/><Relationship Id="rId282" Type="http://schemas.openxmlformats.org/officeDocument/2006/relationships/hyperlink" Target="https://d18vdu4p71yql0.cloudfront.net/libraries/arasaac/to%20eat_1.png.varianted-skin.png" TargetMode="External"/><Relationship Id="rId281" Type="http://schemas.openxmlformats.org/officeDocument/2006/relationships/hyperlink" Target="https://d18vdu4p71yql0.cloudfront.net/libraries/arasaac/earthquake.png" TargetMode="External"/><Relationship Id="rId280" Type="http://schemas.openxmlformats.org/officeDocument/2006/relationships/hyperlink" Target="https://d18vdu4p71yql0.cloudfront.net/libraries/twemoji/1f442-var1f3ffUNI.svg" TargetMode="External"/><Relationship Id="rId275" Type="http://schemas.openxmlformats.org/officeDocument/2006/relationships/hyperlink" Target="https://d18vdu4p71yql0.cloudfront.net/libraries/arasaac/flip-flops_1.png" TargetMode="External"/><Relationship Id="rId274" Type="http://schemas.openxmlformats.org/officeDocument/2006/relationships/hyperlink" Target="https://d18vdu4p71yql0.cloudfront.net/libraries/arasaac/dryer.png" TargetMode="External"/><Relationship Id="rId273" Type="http://schemas.openxmlformats.org/officeDocument/2006/relationships/hyperlink" Target="https://d18vdu4p71yql0.cloudfront.net/libraries/arasaac/dream.png.varianted-skin.png" TargetMode="External"/><Relationship Id="rId272" Type="http://schemas.openxmlformats.org/officeDocument/2006/relationships/hyperlink" Target="https://d18vdu4p71yql0.cloudfront.net/libraries/twemoji/1f3ad.svg" TargetMode="External"/><Relationship Id="rId279" Type="http://schemas.openxmlformats.org/officeDocument/2006/relationships/hyperlink" Target="https://d18vdu4p71yql0.cloudfront.net/libraries/arasaac/I%20am%20fine.png" TargetMode="External"/><Relationship Id="rId278" Type="http://schemas.openxmlformats.org/officeDocument/2006/relationships/hyperlink" Target="https://d18vdu4p71yql0.cloudfront.net/libraries/arasaac/length.png" TargetMode="External"/><Relationship Id="rId277" Type="http://schemas.openxmlformats.org/officeDocument/2006/relationships/hyperlink" Target="https://www.shoreexcursionsgroup.com/img/tour/CAFLYARFALLS-2.jpg" TargetMode="External"/><Relationship Id="rId276" Type="http://schemas.openxmlformats.org/officeDocument/2006/relationships/hyperlink" Target="https://myjamaicanrecipes.com/wp-content/uploads/2020/09/Jamaican-Fried-Dumplings-1.jpg" TargetMode="External"/><Relationship Id="rId907" Type="http://schemas.openxmlformats.org/officeDocument/2006/relationships/hyperlink" Target="https://d18vdu4p71yql0.cloudfront.net/libraries/tawasol/Below.png" TargetMode="External"/><Relationship Id="rId906" Type="http://schemas.openxmlformats.org/officeDocument/2006/relationships/hyperlink" Target="https://d18vdu4p71yql0.cloudfront.net/libraries/arasaac/uncle.png.variant-dark.png" TargetMode="External"/><Relationship Id="rId905" Type="http://schemas.openxmlformats.org/officeDocument/2006/relationships/hyperlink" Target="https://d18vdu4p71yql0.cloudfront.net/libraries/twemoji/1f479.svg" TargetMode="External"/><Relationship Id="rId904" Type="http://schemas.openxmlformats.org/officeDocument/2006/relationships/hyperlink" Target="https://i.imgur.com/8BzAzlI.png" TargetMode="External"/><Relationship Id="rId909" Type="http://schemas.openxmlformats.org/officeDocument/2006/relationships/hyperlink" Target="https://d18vdu4p71yql0.cloudfront.net/libraries/noun-project/up-arrow_998_g.svg" TargetMode="External"/><Relationship Id="rId908" Type="http://schemas.openxmlformats.org/officeDocument/2006/relationships/hyperlink" Target="https://d18vdu4p71yql0.cloudfront.net/libraries/mulberry/under%201.svg" TargetMode="External"/><Relationship Id="rId903" Type="http://schemas.openxmlformats.org/officeDocument/2006/relationships/hyperlink" Target="https://d18vdu4p71yql0.cloudfront.net/libraries/arasaac/giant%20turtle_1.png" TargetMode="External"/><Relationship Id="rId902" Type="http://schemas.openxmlformats.org/officeDocument/2006/relationships/hyperlink" Target="https://d18vdu4p71yql0.cloudfront.net/libraries/arasaac/turn_3.png.varianted-skin.png" TargetMode="External"/><Relationship Id="rId901" Type="http://schemas.openxmlformats.org/officeDocument/2006/relationships/hyperlink" Target="https://d18vdu4p71yql0.cloudfront.net/libraries/coughdrop_symbols/tuesday.svg" TargetMode="External"/><Relationship Id="rId900" Type="http://schemas.openxmlformats.org/officeDocument/2006/relationships/hyperlink" Target="https://d18vdu4p71yql0.cloudfront.net/libraries/noun-project/Tsunami-56203db773.svg" TargetMode="External"/><Relationship Id="rId929" Type="http://schemas.openxmlformats.org/officeDocument/2006/relationships/hyperlink" Target="https://d18vdu4p71yql0.cloudfront.net/libraries/arasaac/water.png.varianted-skin.png" TargetMode="External"/><Relationship Id="rId928" Type="http://schemas.openxmlformats.org/officeDocument/2006/relationships/hyperlink" Target="https://d18vdu4p71yql0.cloudfront.net/libraries/arasaac/glass%20of%20water.png" TargetMode="External"/><Relationship Id="rId927" Type="http://schemas.openxmlformats.org/officeDocument/2006/relationships/hyperlink" Target="https://d18vdu4p71yql0.cloudfront.net/libraries/arasaac/wasp.png" TargetMode="External"/><Relationship Id="rId926" Type="http://schemas.openxmlformats.org/officeDocument/2006/relationships/hyperlink" Target="https://d18vdu4p71yql0.cloudfront.net/libraries/arasaac/washing%20machine.png" TargetMode="External"/><Relationship Id="rId921" Type="http://schemas.openxmlformats.org/officeDocument/2006/relationships/hyperlink" Target="https://d18vdu4p71yql0.cloudfront.net/libraries/tawasol/Walk%20(M).png" TargetMode="External"/><Relationship Id="rId920" Type="http://schemas.openxmlformats.org/officeDocument/2006/relationships/hyperlink" Target="https://d18vdu4p71yql0.cloudfront.net/libraries/sclera/mandala%20color.png" TargetMode="External"/><Relationship Id="rId925" Type="http://schemas.openxmlformats.org/officeDocument/2006/relationships/hyperlink" Target="https://d18vdu4p71yql0.cloudfront.net/libraries/icon_archive/warning.png" TargetMode="External"/><Relationship Id="rId924" Type="http://schemas.openxmlformats.org/officeDocument/2006/relationships/hyperlink" Target="https://d18vdu4p71yql0.cloudfront.net/libraries/mulberry/warm%20fire.svg.varianted-skin.svg" TargetMode="External"/><Relationship Id="rId923" Type="http://schemas.openxmlformats.org/officeDocument/2006/relationships/hyperlink" Target="https://d18vdu4p71yql0.cloudfront.net/libraries/arasaac/hot.png.varianted-skin.png" TargetMode="External"/><Relationship Id="rId922" Type="http://schemas.openxmlformats.org/officeDocument/2006/relationships/hyperlink" Target="https://d18vdu4p71yql0.cloudfront.net/libraries/arasaac/to%20walk_2.png" TargetMode="External"/><Relationship Id="rId918" Type="http://schemas.openxmlformats.org/officeDocument/2006/relationships/hyperlink" Target="https://d18vdu4p71yql0.cloudfront.net/libraries/arasaac/waistcoat.png" TargetMode="External"/><Relationship Id="rId917" Type="http://schemas.openxmlformats.org/officeDocument/2006/relationships/hyperlink" Target="https://d18vdu4p71yql0.cloudfront.net/libraries/arasaac/kiosk%20vendor_1.png.varianted-skin.png" TargetMode="External"/><Relationship Id="rId916" Type="http://schemas.openxmlformats.org/officeDocument/2006/relationships/hyperlink" Target="https://d18vdu4p71yql0.cloudfront.net/libraries/arasaac/chicken.png" TargetMode="External"/><Relationship Id="rId915" Type="http://schemas.openxmlformats.org/officeDocument/2006/relationships/hyperlink" Target="https://d18vdu4p71yql0.cloudfront.net/libraries/arasaac/vacuum.png" TargetMode="External"/><Relationship Id="rId919" Type="http://schemas.openxmlformats.org/officeDocument/2006/relationships/hyperlink" Target="https://d18vdu4p71yql0.cloudfront.net/libraries/arasaac/video%20camera_1.png" TargetMode="External"/><Relationship Id="rId910" Type="http://schemas.openxmlformats.org/officeDocument/2006/relationships/hyperlink" Target="https://d18vdu4p71yql0.cloudfront.net/libraries/noun-project/up-arrow_998_g.svg" TargetMode="External"/><Relationship Id="rId914" Type="http://schemas.openxmlformats.org/officeDocument/2006/relationships/hyperlink" Target="https://d18vdu4p71yql0.cloudfront.net/libraries/arasaac/to%20urinate_2.png.varianted-skin.png" TargetMode="External"/><Relationship Id="rId913" Type="http://schemas.openxmlformats.org/officeDocument/2006/relationships/hyperlink" Target="https://d18vdu4p71yql0.cloudfront.net/libraries/noun-project/up-arrow_998_g.svg" TargetMode="External"/><Relationship Id="rId912" Type="http://schemas.openxmlformats.org/officeDocument/2006/relationships/hyperlink" Target="https://d18vdu4p71yql0.cloudfront.net/libraries/noun-project/up-arrow_998_g.svg" TargetMode="External"/><Relationship Id="rId911" Type="http://schemas.openxmlformats.org/officeDocument/2006/relationships/hyperlink" Target="https://d18vdu4p71yql0.cloudfront.net/libraries/noun-project/up-arrow_998_g.svg" TargetMode="External"/><Relationship Id="rId629" Type="http://schemas.openxmlformats.org/officeDocument/2006/relationships/hyperlink" Target="https://d18vdu4p71yql0.cloudfront.net/libraries/mulberry/picture.svg" TargetMode="External"/><Relationship Id="rId624" Type="http://schemas.openxmlformats.org/officeDocument/2006/relationships/hyperlink" Target="https://d18vdu4p71yql0.cloudfront.net/libraries/arasaac/to%20perform.png.varianted-skin.png" TargetMode="External"/><Relationship Id="rId866" Type="http://schemas.openxmlformats.org/officeDocument/2006/relationships/hyperlink" Target="https://d18vdu4p71yql0.cloudfront.net/libraries/arasaac/them.png.variant-dark.png" TargetMode="External"/><Relationship Id="rId623" Type="http://schemas.openxmlformats.org/officeDocument/2006/relationships/hyperlink" Target="https://d18vdu4p71yql0.cloudfront.net/libraries/arasaac/to%20perform.png.variant-medium-dark.png" TargetMode="External"/><Relationship Id="rId865" Type="http://schemas.openxmlformats.org/officeDocument/2006/relationships/hyperlink" Target="https://d18vdu4p71yql0.cloudfront.net/libraries/arasaac/these.png" TargetMode="External"/><Relationship Id="rId622" Type="http://schemas.openxmlformats.org/officeDocument/2006/relationships/hyperlink" Target="https://d18vdu4p71yql0.cloudfront.net/libraries/arasaac/performances.png.varianted-skin.png" TargetMode="External"/><Relationship Id="rId864" Type="http://schemas.openxmlformats.org/officeDocument/2006/relationships/hyperlink" Target="https://d18vdu4p71yql0.cloudfront.net/libraries/arasaac/dictionary.png" TargetMode="External"/><Relationship Id="rId621" Type="http://schemas.openxmlformats.org/officeDocument/2006/relationships/hyperlink" Target="https://d18vdu4p71yql0.cloudfront.net/libraries/arasaac/pencil.png" TargetMode="External"/><Relationship Id="rId863" Type="http://schemas.openxmlformats.org/officeDocument/2006/relationships/hyperlink" Target="https://d18vdu4p71yql0.cloudfront.net/libraries/arasaac/them_2.png" TargetMode="External"/><Relationship Id="rId628" Type="http://schemas.openxmlformats.org/officeDocument/2006/relationships/hyperlink" Target="https://d18vdu4p71yql0.cloudfront.net/libraries/noun-project/Stock_396_g.svg" TargetMode="External"/><Relationship Id="rId627" Type="http://schemas.openxmlformats.org/officeDocument/2006/relationships/hyperlink" Target="https://d18vdu4p71yql0.cloudfront.net/libraries/arasaac/pet%20shops.png" TargetMode="External"/><Relationship Id="rId869" Type="http://schemas.openxmlformats.org/officeDocument/2006/relationships/hyperlink" Target="https://d18vdu4p71yql0.cloudfront.net/libraries/sclera/think.png" TargetMode="External"/><Relationship Id="rId626" Type="http://schemas.openxmlformats.org/officeDocument/2006/relationships/hyperlink" Target="https://d18vdu4p71yql0.cloudfront.net/libraries/arasaac/please_1.png" TargetMode="External"/><Relationship Id="rId868" Type="http://schemas.openxmlformats.org/officeDocument/2006/relationships/hyperlink" Target="https://d18vdu4p71yql0.cloudfront.net/libraries/arasaac/things.png" TargetMode="External"/><Relationship Id="rId625" Type="http://schemas.openxmlformats.org/officeDocument/2006/relationships/hyperlink" Target="https://d18vdu4p71yql0.cloudfront.net/libraries/arasaac/corner_1.png" TargetMode="External"/><Relationship Id="rId867" Type="http://schemas.openxmlformats.org/officeDocument/2006/relationships/hyperlink" Target="https://d18vdu4p71yql0.cloudfront.net/libraries/arasaac/thigh.png.variant-medium-dark.png" TargetMode="External"/><Relationship Id="rId620" Type="http://schemas.openxmlformats.org/officeDocument/2006/relationships/hyperlink" Target="https://d18vdu4p71yql0.cloudfront.net/libraries/mulberry/passion%20fruit.svg" TargetMode="External"/><Relationship Id="rId862" Type="http://schemas.openxmlformats.org/officeDocument/2006/relationships/hyperlink" Target="https://d18vdu4p71yql0.cloudfront.net/libraries/arasaac/them.png.variant-dark.png" TargetMode="External"/><Relationship Id="rId861" Type="http://schemas.openxmlformats.org/officeDocument/2006/relationships/hyperlink" Target="https://d18vdu4p71yql0.cloudfront.net/libraries/arasaac/theirs.png" TargetMode="External"/><Relationship Id="rId860" Type="http://schemas.openxmlformats.org/officeDocument/2006/relationships/hyperlink" Target="https://d18vdu4p71yql0.cloudfront.net/libraries/arasaac/their.png" TargetMode="External"/><Relationship Id="rId619" Type="http://schemas.openxmlformats.org/officeDocument/2006/relationships/hyperlink" Target="https://d18vdu4p71yql0.cloudfront.net/libraries/arasaac/adult.png.variant-dark.png" TargetMode="External"/><Relationship Id="rId618" Type="http://schemas.openxmlformats.org/officeDocument/2006/relationships/hyperlink" Target="https://d18vdu4p71yql0.cloudfront.net/libraries/arasaac/adult.png.variant-dark.png" TargetMode="External"/><Relationship Id="rId613" Type="http://schemas.openxmlformats.org/officeDocument/2006/relationships/hyperlink" Target="https://d18vdu4p71yql0.cloudfront.net/libraries/mulberry/over.svg" TargetMode="External"/><Relationship Id="rId855" Type="http://schemas.openxmlformats.org/officeDocument/2006/relationships/hyperlink" Target="https://d18vdu4p71yql0.cloudfront.net/libraries/mulberry/text%20mobile%20message%20,%20to.svg.variant-dark.svg" TargetMode="External"/><Relationship Id="rId612" Type="http://schemas.openxmlformats.org/officeDocument/2006/relationships/hyperlink" Target="https://d18vdu4p71yql0.cloudfront.net/libraries/mulberry/over.svg" TargetMode="External"/><Relationship Id="rId854" Type="http://schemas.openxmlformats.org/officeDocument/2006/relationships/hyperlink" Target="https://d18vdu4p71yql0.cloudfront.net/libraries/mulberry/text%20mobile%20message%20,%20to.svg.variant-medium-dark.svg" TargetMode="External"/><Relationship Id="rId611" Type="http://schemas.openxmlformats.org/officeDocument/2006/relationships/hyperlink" Target="https://d18vdu4p71yql0.cloudfront.net/libraries/mulberry/over.svg" TargetMode="External"/><Relationship Id="rId853" Type="http://schemas.openxmlformats.org/officeDocument/2006/relationships/hyperlink" Target="https://d18vdu4p71yql0.cloudfront.net/libraries/arasaac/stretch_3.png.varianted-skin.png" TargetMode="External"/><Relationship Id="rId610" Type="http://schemas.openxmlformats.org/officeDocument/2006/relationships/hyperlink" Target="https://d18vdu4p71yql0.cloudfront.net/libraries/mulberry/over.svg" TargetMode="External"/><Relationship Id="rId852" Type="http://schemas.openxmlformats.org/officeDocument/2006/relationships/hyperlink" Target="https://d18vdu4p71yql0.cloudfront.net/libraries/tawasol/time.jpg" TargetMode="External"/><Relationship Id="rId617" Type="http://schemas.openxmlformats.org/officeDocument/2006/relationships/hyperlink" Target="https://d18vdu4p71yql0.cloudfront.net/libraries/mulberry/line%20parallel.svg" TargetMode="External"/><Relationship Id="rId859" Type="http://schemas.openxmlformats.org/officeDocument/2006/relationships/hyperlink" Target="https://i.imgur.com/BzLBemi.png" TargetMode="External"/><Relationship Id="rId616" Type="http://schemas.openxmlformats.org/officeDocument/2006/relationships/hyperlink" Target="https://d18vdu4p71yql0.cloudfront.net/libraries/arasaac/trousers_1.png" TargetMode="External"/><Relationship Id="rId858" Type="http://schemas.openxmlformats.org/officeDocument/2006/relationships/hyperlink" Target="https://d18vdu4p71yql0.cloudfront.net/libraries/arasaac/that_2.png" TargetMode="External"/><Relationship Id="rId615" Type="http://schemas.openxmlformats.org/officeDocument/2006/relationships/hyperlink" Target="https://d18vdu4p71yql0.cloudfront.net/libraries/arasaac/page.png" TargetMode="External"/><Relationship Id="rId857" Type="http://schemas.openxmlformats.org/officeDocument/2006/relationships/hyperlink" Target="https://d18vdu4p71yql0.cloudfront.net/libraries/arasaac/that_2.png" TargetMode="External"/><Relationship Id="rId614" Type="http://schemas.openxmlformats.org/officeDocument/2006/relationships/hyperlink" Target="https://d18vdu4p71yql0.cloudfront.net/libraries/arasaac/dungaree.png" TargetMode="External"/><Relationship Id="rId856" Type="http://schemas.openxmlformats.org/officeDocument/2006/relationships/hyperlink" Target="https://d18vdu4p71yql0.cloudfront.net/libraries/sclera/feel_5.png" TargetMode="External"/><Relationship Id="rId851" Type="http://schemas.openxmlformats.org/officeDocument/2006/relationships/hyperlink" Target="https://d18vdu4p71yql0.cloudfront.net/libraries/noun-project/Temperature_912_748588.svg" TargetMode="External"/><Relationship Id="rId850" Type="http://schemas.openxmlformats.org/officeDocument/2006/relationships/hyperlink" Target="https://d18vdu4p71yql0.cloudfront.net/libraries/arasaac/tell.png.variant-dark.png" TargetMode="External"/><Relationship Id="rId409" Type="http://schemas.openxmlformats.org/officeDocument/2006/relationships/hyperlink" Target="https://d18vdu4p71yql0.cloudfront.net/libraries/arasaac/house.png" TargetMode="External"/><Relationship Id="rId404" Type="http://schemas.openxmlformats.org/officeDocument/2006/relationships/hyperlink" Target="https://d18vdu4p71yql0.cloudfront.net/libraries/tawasol/High%20volume_2.jpg" TargetMode="External"/><Relationship Id="rId646" Type="http://schemas.openxmlformats.org/officeDocument/2006/relationships/hyperlink" Target="https://d18vdu4p71yql0.cloudfront.net/libraries/noun-project/artist_637_g.svg" TargetMode="External"/><Relationship Id="rId888" Type="http://schemas.openxmlformats.org/officeDocument/2006/relationships/hyperlink" Target="https://d18vdu4p71yql0.cloudfront.net/libraries/mulberry/tomorrow.svg" TargetMode="External"/><Relationship Id="rId403" Type="http://schemas.openxmlformats.org/officeDocument/2006/relationships/hyperlink" Target="https://i.imgur.com/EAeIYai.png" TargetMode="External"/><Relationship Id="rId645" Type="http://schemas.openxmlformats.org/officeDocument/2006/relationships/hyperlink" Target="https://d18vdu4p71yql0.cloudfront.net/libraries/noun-project/Writing_846_g.svg" TargetMode="External"/><Relationship Id="rId887" Type="http://schemas.openxmlformats.org/officeDocument/2006/relationships/hyperlink" Target="https://d18vdu4p71yql0.cloudfront.net/libraries/mulberry/toe%20nail.svg.variant-medium-dark.svg" TargetMode="External"/><Relationship Id="rId402" Type="http://schemas.openxmlformats.org/officeDocument/2006/relationships/hyperlink" Target="https://d18vdu4p71yql0.cloudfront.net/libraries/arasaac/to%20her.png" TargetMode="External"/><Relationship Id="rId644" Type="http://schemas.openxmlformats.org/officeDocument/2006/relationships/hyperlink" Target="https://d18vdu4p71yql0.cloudfront.net/libraries/arasaac/pocket.png" TargetMode="External"/><Relationship Id="rId886" Type="http://schemas.openxmlformats.org/officeDocument/2006/relationships/hyperlink" Target="https://www.opensymbols.org/symbols/noun-project/child-9a17e897?id=45781" TargetMode="External"/><Relationship Id="rId401" Type="http://schemas.openxmlformats.org/officeDocument/2006/relationships/hyperlink" Target="https://d18vdu4p71yql0.cloudfront.net/libraries/arasaac/she.png.variant-dark.png" TargetMode="External"/><Relationship Id="rId643" Type="http://schemas.openxmlformats.org/officeDocument/2006/relationships/hyperlink" Target="https://d18vdu4p71yql0.cloudfront.net/libraries/arasaac/plural_1.png" TargetMode="External"/><Relationship Id="rId885" Type="http://schemas.openxmlformats.org/officeDocument/2006/relationships/hyperlink" Target="https://d18vdu4p71yql0.cloudfront.net/libraries/arasaac/to.png" TargetMode="External"/><Relationship Id="rId408" Type="http://schemas.openxmlformats.org/officeDocument/2006/relationships/hyperlink" Target="https://d18vdu4p71yql0.cloudfront.net/libraries/arasaac/he_1.png" TargetMode="External"/><Relationship Id="rId407" Type="http://schemas.openxmlformats.org/officeDocument/2006/relationships/hyperlink" Target="https://d18vdu4p71yql0.cloudfront.net/libraries/arasaac/hip.png.variant-medium-dark.png" TargetMode="External"/><Relationship Id="rId649" Type="http://schemas.openxmlformats.org/officeDocument/2006/relationships/hyperlink" Target="https://d18vdu4p71yql0.cloudfront.net/libraries/arasaac/police_2.png.varianted-skin.png" TargetMode="External"/><Relationship Id="rId406" Type="http://schemas.openxmlformats.org/officeDocument/2006/relationships/hyperlink" Target="https://d18vdu4p71yql0.cloudfront.net/libraries/arasaac/with%20him.png" TargetMode="External"/><Relationship Id="rId648" Type="http://schemas.openxmlformats.org/officeDocument/2006/relationships/hyperlink" Target="https://d18vdu4p71yql0.cloudfront.net/libraries/arasaac/poison.png" TargetMode="External"/><Relationship Id="rId405" Type="http://schemas.openxmlformats.org/officeDocument/2006/relationships/hyperlink" Target="https://d18vdu4p71yql0.cloudfront.net/libraries/arasaac/mountain.png" TargetMode="External"/><Relationship Id="rId647" Type="http://schemas.openxmlformats.org/officeDocument/2006/relationships/hyperlink" Target="https://d18vdu4p71yql0.cloudfront.net/libraries/arasaac/poison.png" TargetMode="External"/><Relationship Id="rId889" Type="http://schemas.openxmlformats.org/officeDocument/2006/relationships/hyperlink" Target="https://d18vdu4p71yql0.cloudfront.net/libraries/sclera/tomorrow.png" TargetMode="External"/><Relationship Id="rId880" Type="http://schemas.openxmlformats.org/officeDocument/2006/relationships/hyperlink" Target="https://d18vdu4p71yql0.cloudfront.net/libraries/arasaac/yawn_1.png.varianted-skin.png" TargetMode="External"/><Relationship Id="rId400" Type="http://schemas.openxmlformats.org/officeDocument/2006/relationships/hyperlink" Target="https://d18vdu4p71yql0.cloudfront.net/libraries/arasaac/to%20her.png" TargetMode="External"/><Relationship Id="rId642" Type="http://schemas.openxmlformats.org/officeDocument/2006/relationships/hyperlink" Target="https://d18vdu4p71yql0.cloudfront.net/libraries/arasaac/fence.png" TargetMode="External"/><Relationship Id="rId884" Type="http://schemas.openxmlformats.org/officeDocument/2006/relationships/hyperlink" Target="https://d18vdu4p71yql0.cloudfront.net/libraries/arasaac/to.png" TargetMode="External"/><Relationship Id="rId641" Type="http://schemas.openxmlformats.org/officeDocument/2006/relationships/hyperlink" Target="https://d18vdu4p71yql0.cloudfront.net/libraries/twemoji/1f97a.svg" TargetMode="External"/><Relationship Id="rId883" Type="http://schemas.openxmlformats.org/officeDocument/2006/relationships/hyperlink" Target="https://d18vdu4p71yql0.cloudfront.net/libraries/arasaac/to.png" TargetMode="External"/><Relationship Id="rId640" Type="http://schemas.openxmlformats.org/officeDocument/2006/relationships/hyperlink" Target="https://d18vdu4p71yql0.cloudfront.net/libraries/arasaac/park.png" TargetMode="External"/><Relationship Id="rId882" Type="http://schemas.openxmlformats.org/officeDocument/2006/relationships/hyperlink" Target="https://i.imgur.com/b6w9pnw.png" TargetMode="External"/><Relationship Id="rId881" Type="http://schemas.openxmlformats.org/officeDocument/2006/relationships/hyperlink" Target="https://i.imgur.com/b6w9pnw.png" TargetMode="External"/><Relationship Id="rId635" Type="http://schemas.openxmlformats.org/officeDocument/2006/relationships/hyperlink" Target="https://d18vdu4p71yql0.cloudfront.net/libraries/arasaac/to%20throw%20(away)_4.png" TargetMode="External"/><Relationship Id="rId877" Type="http://schemas.openxmlformats.org/officeDocument/2006/relationships/hyperlink" Target="https://d18vdu4p71yql0.cloudfront.net/libraries/arasaac/tie.png" TargetMode="External"/><Relationship Id="rId634" Type="http://schemas.openxmlformats.org/officeDocument/2006/relationships/hyperlink" Target="https://d18vdu4p71yql0.cloudfront.net/libraries/mulberry/pink.svg" TargetMode="External"/><Relationship Id="rId876" Type="http://schemas.openxmlformats.org/officeDocument/2006/relationships/hyperlink" Target="https://d18vdu4p71yql0.cloudfront.net/libraries/coughdrop_symbols/thursday.svg" TargetMode="External"/><Relationship Id="rId633" Type="http://schemas.openxmlformats.org/officeDocument/2006/relationships/hyperlink" Target="https://d18vdu4p71yql0.cloudfront.net/libraries/noun-project/bed-pillow_54_g.svg" TargetMode="External"/><Relationship Id="rId875" Type="http://schemas.openxmlformats.org/officeDocument/2006/relationships/hyperlink" Target="https://d18vdu4p71yql0.cloudfront.net/libraries/arasaac/to%20throw%20(away)_4.png" TargetMode="External"/><Relationship Id="rId632" Type="http://schemas.openxmlformats.org/officeDocument/2006/relationships/hyperlink" Target="https://d18vdu4p71yql0.cloudfront.net/libraries/arasaac/pig.png" TargetMode="External"/><Relationship Id="rId874" Type="http://schemas.openxmlformats.org/officeDocument/2006/relationships/hyperlink" Target="https://d18vdu4p71yql0.cloudfront.net/libraries/arasaac/to%20throw%20(away)_2.png" TargetMode="External"/><Relationship Id="rId639" Type="http://schemas.openxmlformats.org/officeDocument/2006/relationships/hyperlink" Target="https://encrypted-tbn0.gstatic.com/images?q=tbn:ANd9GcT2EJgXR09byzoEta-Ar5dg0ORLt3gkLLVcCA&amp;usqp=CAU" TargetMode="External"/><Relationship Id="rId638" Type="http://schemas.openxmlformats.org/officeDocument/2006/relationships/hyperlink" Target="https://d18vdu4p71yql0.cloudfront.net/libraries/tawasol/Play.png" TargetMode="External"/><Relationship Id="rId637" Type="http://schemas.openxmlformats.org/officeDocument/2006/relationships/hyperlink" Target="https://d18vdu4p71yql0.cloudfront.net/libraries/arasaac/plants.png" TargetMode="External"/><Relationship Id="rId879" Type="http://schemas.openxmlformats.org/officeDocument/2006/relationships/hyperlink" Target="https://d18vdu4p71yql0.cloudfront.net/libraries/arasaac/small.png" TargetMode="External"/><Relationship Id="rId636" Type="http://schemas.openxmlformats.org/officeDocument/2006/relationships/hyperlink" Target="https://d18vdu4p71yql0.cloudfront.net/libraries/arasaac/agenda-plan.png" TargetMode="External"/><Relationship Id="rId878" Type="http://schemas.openxmlformats.org/officeDocument/2006/relationships/hyperlink" Target="https://d18vdu4p71yql0.cloudfront.net/libraries/tawasol/time.jpg" TargetMode="External"/><Relationship Id="rId631" Type="http://schemas.openxmlformats.org/officeDocument/2006/relationships/hyperlink" Target="https://d18vdu4p71yql0.cloudfront.net/libraries/mulberry/pie%20chart.svg" TargetMode="External"/><Relationship Id="rId873" Type="http://schemas.openxmlformats.org/officeDocument/2006/relationships/hyperlink" Target="https://d18vdu4p71yql0.cloudfront.net/libraries/arasaac/those.png" TargetMode="External"/><Relationship Id="rId630" Type="http://schemas.openxmlformats.org/officeDocument/2006/relationships/hyperlink" Target="https://d18vdu4p71yql0.cloudfront.net/libraries/noun-project/Stock_396_g.svg" TargetMode="External"/><Relationship Id="rId872" Type="http://schemas.openxmlformats.org/officeDocument/2006/relationships/hyperlink" Target="https://d18vdu4p71yql0.cloudfront.net/libraries/arasaac/this.png" TargetMode="External"/><Relationship Id="rId871" Type="http://schemas.openxmlformats.org/officeDocument/2006/relationships/hyperlink" Target="https://d18vdu4p71yql0.cloudfront.net/libraries/sclera/thirsty.png" TargetMode="External"/><Relationship Id="rId870" Type="http://schemas.openxmlformats.org/officeDocument/2006/relationships/hyperlink" Target="https://d18vdu4p71yql0.cloudfront.net/libraries/arasaac/thirst_1.png" TargetMode="External"/><Relationship Id="rId829" Type="http://schemas.openxmlformats.org/officeDocument/2006/relationships/hyperlink" Target="https://d18vdu4p71yql0.cloudfront.net/libraries/icon_archive/sunglasses.png" TargetMode="External"/><Relationship Id="rId828" Type="http://schemas.openxmlformats.org/officeDocument/2006/relationships/hyperlink" Target="https://d18vdu4p71yql0.cloudfront.net/libraries/coughdrop_symbols/sunday.svg" TargetMode="External"/><Relationship Id="rId827" Type="http://schemas.openxmlformats.org/officeDocument/2006/relationships/hyperlink" Target="https://d18vdu4p71yql0.cloudfront.net/libraries/noun-project/page_65_g.svg" TargetMode="External"/><Relationship Id="rId822" Type="http://schemas.openxmlformats.org/officeDocument/2006/relationships/hyperlink" Target="https://d18vdu4p71yql0.cloudfront.net/libraries/arasaac/stretch_3.png.variant-dark.png" TargetMode="External"/><Relationship Id="rId821" Type="http://schemas.openxmlformats.org/officeDocument/2006/relationships/hyperlink" Target="https://d18vdu4p71yql0.cloudfront.net/libraries/mulberry/straight.svg" TargetMode="External"/><Relationship Id="rId820" Type="http://schemas.openxmlformats.org/officeDocument/2006/relationships/hyperlink" Target="https://d18vdu4p71yql0.cloudfront.net/libraries/arasaac/hair%20iron.png" TargetMode="External"/><Relationship Id="rId826" Type="http://schemas.openxmlformats.org/officeDocument/2006/relationships/hyperlink" Target="https://d18vdu4p71yql0.cloudfront.net/libraries/mulberry/after.svg" TargetMode="External"/><Relationship Id="rId825" Type="http://schemas.openxmlformats.org/officeDocument/2006/relationships/hyperlink" Target="https://d18vdu4p71yql0.cloudfront.net/libraries/arasaac/student.png.variant-medium-dark.png" TargetMode="External"/><Relationship Id="rId824" Type="http://schemas.openxmlformats.org/officeDocument/2006/relationships/hyperlink" Target="https://d18vdu4p71yql0.cloudfront.net/libraries/noun-project/Geodesic-Dome_522_11999.svg" TargetMode="External"/><Relationship Id="rId823" Type="http://schemas.openxmlformats.org/officeDocument/2006/relationships/hyperlink" Target="https://d18vdu4p71yql0.cloudfront.net/libraries/arasaac/stretch_3.png.variant-dark.png" TargetMode="External"/><Relationship Id="rId819" Type="http://schemas.openxmlformats.org/officeDocument/2006/relationships/hyperlink" Target="https://d18vdu4p71yql0.cloudfront.net/libraries/mulberry/straight.svg" TargetMode="External"/><Relationship Id="rId818" Type="http://schemas.openxmlformats.org/officeDocument/2006/relationships/hyperlink" Target="https://d18vdu4p71yql0.cloudfront.net/libraries/arasaac/tales.png.varianted-skin.png" TargetMode="External"/><Relationship Id="rId817" Type="http://schemas.openxmlformats.org/officeDocument/2006/relationships/hyperlink" Target="https://d18vdu4p71yql0.cloudfront.net/libraries/arasaac/dawn_1.png" TargetMode="External"/><Relationship Id="rId816" Type="http://schemas.openxmlformats.org/officeDocument/2006/relationships/hyperlink" Target="https://d18vdu4p71yql0.cloudfront.net/libraries/arasaac/stomach.png" TargetMode="External"/><Relationship Id="rId811" Type="http://schemas.openxmlformats.org/officeDocument/2006/relationships/hyperlink" Target="https://external-content.duckduckgo.com/iu/?u=https%3A%2F%2Fi.pinimg.com%2Foriginals%2F15%2F69%2Fbe%2F1569bef6f43353a9c89351639d3c82b0.png&amp;f=1&amp;nofb=1&amp;ipt=d04745b6c0108ca8f3d8b3af3f314b8f69caa61c20836feb81e726d921919602&amp;ipo=images" TargetMode="External"/><Relationship Id="rId810" Type="http://schemas.openxmlformats.org/officeDocument/2006/relationships/hyperlink" Target="https://d18vdu4p71yql0.cloudfront.net/libraries/arasaac/stain.png" TargetMode="External"/><Relationship Id="rId815" Type="http://schemas.openxmlformats.org/officeDocument/2006/relationships/hyperlink" Target="https://d18vdu4p71yql0.cloudfront.net/libraries/tawasol/sister.png" TargetMode="External"/><Relationship Id="rId814" Type="http://schemas.openxmlformats.org/officeDocument/2006/relationships/hyperlink" Target="https://d18vdu4p71yql0.cloudfront.net/libraries/tawasol/Mother.png" TargetMode="External"/><Relationship Id="rId813" Type="http://schemas.openxmlformats.org/officeDocument/2006/relationships/hyperlink" Target="https://d18vdu4p71yql0.cloudfront.net/libraries/tawasol/Father.png" TargetMode="External"/><Relationship Id="rId812" Type="http://schemas.openxmlformats.org/officeDocument/2006/relationships/hyperlink" Target="https://d18vdu4p71yql0.cloudfront.net/libraries/tawasol/Brother.png" TargetMode="External"/><Relationship Id="rId609" Type="http://schemas.openxmlformats.org/officeDocument/2006/relationships/hyperlink" Target="https://d18vdu4p71yql0.cloudfront.net/libraries/arasaac/oven_1.png" TargetMode="External"/><Relationship Id="rId608" Type="http://schemas.openxmlformats.org/officeDocument/2006/relationships/hyperlink" Target="https://d18vdu4p71yql0.cloudfront.net/libraries/arasaac/oval.png" TargetMode="External"/><Relationship Id="rId607" Type="http://schemas.openxmlformats.org/officeDocument/2006/relationships/hyperlink" Target="https://d18vdu4p71yql0.cloudfront.net/libraries/noun-project/Ellipse_151_g.svg" TargetMode="External"/><Relationship Id="rId849" Type="http://schemas.openxmlformats.org/officeDocument/2006/relationships/hyperlink" Target="https://d18vdu4p71yql0.cloudfront.net/libraries/tawasol/Talk_1.png" TargetMode="External"/><Relationship Id="rId602" Type="http://schemas.openxmlformats.org/officeDocument/2006/relationships/hyperlink" Target="https://d18vdu4p71yql0.cloudfront.net/libraries/coughdrop_symbols/october.png" TargetMode="External"/><Relationship Id="rId844" Type="http://schemas.openxmlformats.org/officeDocument/2006/relationships/hyperlink" Target="https://d18vdu4p71yql0.cloudfront.net/libraries/noun-project/Team-f326433ed9.svg" TargetMode="External"/><Relationship Id="rId601" Type="http://schemas.openxmlformats.org/officeDocument/2006/relationships/hyperlink" Target="https://d18vdu4p71yql0.cloudfront.net/libraries/arasaac/to%20observe.png.variant-medium-dark.png" TargetMode="External"/><Relationship Id="rId843" Type="http://schemas.openxmlformats.org/officeDocument/2006/relationships/hyperlink" Target="https://d18vdu4p71yql0.cloudfront.net/libraries/mulberry/yummy.svg.variant-dark.svg" TargetMode="External"/><Relationship Id="rId600" Type="http://schemas.openxmlformats.org/officeDocument/2006/relationships/hyperlink" Target="https://d18vdu4p71yql0.cloudfront.net/libraries/arasaac/oats.png" TargetMode="External"/><Relationship Id="rId842" Type="http://schemas.openxmlformats.org/officeDocument/2006/relationships/hyperlink" Target="https://d18vdu4p71yql0.cloudfront.net/libraries/noun-project/Touch-879fc903b4.svg" TargetMode="External"/><Relationship Id="rId841" Type="http://schemas.openxmlformats.org/officeDocument/2006/relationships/hyperlink" Target="https://d18vdu4p71yql0.cloudfront.net/libraries/arasaac/to%20tap%20one's%20feet.png" TargetMode="External"/><Relationship Id="rId606" Type="http://schemas.openxmlformats.org/officeDocument/2006/relationships/hyperlink" Target="https://d18vdu4p71yql0.cloudfront.net/libraries/noun-project/Stand-Out_155_g.svg" TargetMode="External"/><Relationship Id="rId848" Type="http://schemas.openxmlformats.org/officeDocument/2006/relationships/hyperlink" Target="https://d18vdu4p71yql0.cloudfront.net/libraries/mulberry/flatscreen%20tv.svg" TargetMode="External"/><Relationship Id="rId605" Type="http://schemas.openxmlformats.org/officeDocument/2006/relationships/hyperlink" Target="https://d18vdu4p71yql0.cloudfront.net/libraries/mulberry/orange%202.svg" TargetMode="External"/><Relationship Id="rId847" Type="http://schemas.openxmlformats.org/officeDocument/2006/relationships/hyperlink" Target="https://d18vdu4p71yql0.cloudfront.net/libraries/arasaac/teeth.png" TargetMode="External"/><Relationship Id="rId604" Type="http://schemas.openxmlformats.org/officeDocument/2006/relationships/hyperlink" Target="https://d18vdu4p71yql0.cloudfront.net/libraries/arasaac/Olympics.png" TargetMode="External"/><Relationship Id="rId846" Type="http://schemas.openxmlformats.org/officeDocument/2006/relationships/hyperlink" Target="https://d18vdu4p71yql0.cloudfront.net/libraries/arasaac/small.png" TargetMode="External"/><Relationship Id="rId603" Type="http://schemas.openxmlformats.org/officeDocument/2006/relationships/hyperlink" Target="https://i.imgur.com/AOgrV4L.png" TargetMode="External"/><Relationship Id="rId845" Type="http://schemas.openxmlformats.org/officeDocument/2006/relationships/hyperlink" Target="https://d18vdu4p71yql0.cloudfront.net/libraries/arasaac/teenager.png.variant-medium-dark.png" TargetMode="External"/><Relationship Id="rId840" Type="http://schemas.openxmlformats.org/officeDocument/2006/relationships/hyperlink" Target="https://d18vdu4p71yql0.cloudfront.net/libraries/arasaac/high.png" TargetMode="External"/><Relationship Id="rId839" Type="http://schemas.openxmlformats.org/officeDocument/2006/relationships/hyperlink" Target="https://d18vdu4p71yql0.cloudfront.net/libraries/arasaac/to%20talk_1.png" TargetMode="External"/><Relationship Id="rId838" Type="http://schemas.openxmlformats.org/officeDocument/2006/relationships/hyperlink" Target="https://d18vdu4p71yql0.cloudfront.net/libraries/arasaac/boards%20of%20communication.png" TargetMode="External"/><Relationship Id="rId833" Type="http://schemas.openxmlformats.org/officeDocument/2006/relationships/hyperlink" Target="https://d18vdu4p71yql0.cloudfront.net/libraries/mulberry/sweatshirt.svg" TargetMode="External"/><Relationship Id="rId832" Type="http://schemas.openxmlformats.org/officeDocument/2006/relationships/hyperlink" Target="https://d18vdu4p71yql0.cloudfront.net/libraries/noun-project/questionnaire_282_229116.svg" TargetMode="External"/><Relationship Id="rId831" Type="http://schemas.openxmlformats.org/officeDocument/2006/relationships/hyperlink" Target="https://d18vdu4p71yql0.cloudfront.net/libraries/arasaac/environment.png.variant-medium-dark.png" TargetMode="External"/><Relationship Id="rId830" Type="http://schemas.openxmlformats.org/officeDocument/2006/relationships/hyperlink" Target="https://d18vdu4p71yql0.cloudfront.net/libraries/arasaac/surprised_1.png" TargetMode="External"/><Relationship Id="rId837" Type="http://schemas.openxmlformats.org/officeDocument/2006/relationships/hyperlink" Target="https://d18vdu4p71yql0.cloudfront.net/libraries/arasaac/table.png" TargetMode="External"/><Relationship Id="rId836" Type="http://schemas.openxmlformats.org/officeDocument/2006/relationships/hyperlink" Target="https://d18vdu4p71yql0.cloudfront.net/libraries/arasaac/T-shirt_1.png" TargetMode="External"/><Relationship Id="rId835" Type="http://schemas.openxmlformats.org/officeDocument/2006/relationships/hyperlink" Target="https://d18vdu4p71yql0.cloudfront.net/libraries/mulberry/same.svg" TargetMode="External"/><Relationship Id="rId834" Type="http://schemas.openxmlformats.org/officeDocument/2006/relationships/hyperlink" Target="https://d18vdu4p71yql0.cloudfront.net/libraries/arasaac/sweet_4.png.variant-medium-dark.png" TargetMode="External"/><Relationship Id="rId228" Type="http://schemas.openxmlformats.org/officeDocument/2006/relationships/hyperlink" Target="https://d18vdu4p71yql0.cloudfront.net/libraries/mulberry/cricket.svg.variant-medium-dark.svg" TargetMode="External"/><Relationship Id="rId227" Type="http://schemas.openxmlformats.org/officeDocument/2006/relationships/hyperlink" Target="https://d18vdu4p71yql0.cloudfront.net/libraries/sclera/language.png" TargetMode="External"/><Relationship Id="rId469" Type="http://schemas.openxmlformats.org/officeDocument/2006/relationships/hyperlink" Target="https://d18vdu4p71yql0.cloudfront.net/libraries/arasaac/kick.png.variant-dark.png" TargetMode="External"/><Relationship Id="rId226" Type="http://schemas.openxmlformats.org/officeDocument/2006/relationships/hyperlink" Target="https://d18vdu4p71yql0.cloudfront.net/libraries/arasaac/creativity.png.varianted-skin.png" TargetMode="External"/><Relationship Id="rId468" Type="http://schemas.openxmlformats.org/officeDocument/2006/relationships/hyperlink" Target="https://d18vdu4p71yql0.cloudfront.net/libraries/noun-project/kick_295_g.svg" TargetMode="External"/><Relationship Id="rId225" Type="http://schemas.openxmlformats.org/officeDocument/2006/relationships/hyperlink" Target="https://d18vdu4p71yql0.cloudfront.net/libraries/arasaac/to%20create.png.varianted-skin.png" TargetMode="External"/><Relationship Id="rId467" Type="http://schemas.openxmlformats.org/officeDocument/2006/relationships/hyperlink" Target="https://d18vdu4p71yql0.cloudfront.net/libraries/coughdrop_symbols/june.png" TargetMode="External"/><Relationship Id="rId229" Type="http://schemas.openxmlformats.org/officeDocument/2006/relationships/hyperlink" Target="https://d18vdu4p71yql0.cloudfront.net/libraries/arasaac/crocodile.png" TargetMode="External"/><Relationship Id="rId220" Type="http://schemas.openxmlformats.org/officeDocument/2006/relationships/hyperlink" Target="https://d18vdu4p71yql0.cloudfront.net/libraries/arasaac/family%20book.png" TargetMode="External"/><Relationship Id="rId462" Type="http://schemas.openxmlformats.org/officeDocument/2006/relationships/hyperlink" Target="https://d18vdu4p71yql0.cloudfront.net/libraries/sclera/write%20lesson.png" TargetMode="External"/><Relationship Id="rId461" Type="http://schemas.openxmlformats.org/officeDocument/2006/relationships/hyperlink" Target="https://d18vdu4p71yql0.cloudfront.net/libraries/arasaac/vulture.png" TargetMode="External"/><Relationship Id="rId460" Type="http://schemas.openxmlformats.org/officeDocument/2006/relationships/hyperlink" Target="https://2.bp.blogspot.com/-F1itfzFEvK0/VUvHiW9bdMI/AAAAAAAAAEE/i5DuRn9JHkI/s1600/best-jamaican-jerk.jpg" TargetMode="External"/><Relationship Id="rId224" Type="http://schemas.openxmlformats.org/officeDocument/2006/relationships/hyperlink" Target="https://d18vdu4p71yql0.cloudfront.net/libraries/noun-project/hungry_24_89893.svg" TargetMode="External"/><Relationship Id="rId466" Type="http://schemas.openxmlformats.org/officeDocument/2006/relationships/hyperlink" Target="https://d18vdu4p71yql0.cloudfront.net/libraries/arasaac/jump.png.variant-dark.png" TargetMode="External"/><Relationship Id="rId223" Type="http://schemas.openxmlformats.org/officeDocument/2006/relationships/hyperlink" Target="https://d18vdu4p71yql0.cloudfront.net/libraries/arasaac/crab_1.png" TargetMode="External"/><Relationship Id="rId465" Type="http://schemas.openxmlformats.org/officeDocument/2006/relationships/hyperlink" Target="https://d18vdu4p71yql0.cloudfront.net/libraries/arasaac/jump.png.variant-dark.png" TargetMode="External"/><Relationship Id="rId222" Type="http://schemas.openxmlformats.org/officeDocument/2006/relationships/hyperlink" Target="https://d18vdu4p71yql0.cloudfront.net/libraries/arasaac/revive.png.varianted-skin.png" TargetMode="External"/><Relationship Id="rId464" Type="http://schemas.openxmlformats.org/officeDocument/2006/relationships/hyperlink" Target="https://d18vdu4p71yql0.cloudfront.net/libraries/arasaac/to%20jump_3.png" TargetMode="External"/><Relationship Id="rId221" Type="http://schemas.openxmlformats.org/officeDocument/2006/relationships/hyperlink" Target="https://d18vdu4p71yql0.cloudfront.net/libraries/arasaac/cow.png" TargetMode="External"/><Relationship Id="rId463" Type="http://schemas.openxmlformats.org/officeDocument/2006/relationships/hyperlink" Target="https://d18vdu4p71yql0.cloudfront.net/libraries/coughdrop_symbols/july.png" TargetMode="External"/><Relationship Id="rId217" Type="http://schemas.openxmlformats.org/officeDocument/2006/relationships/hyperlink" Target="https://d18vdu4p71yql0.cloudfront.net/libraries/mulberry/country%20Jamaica.svg" TargetMode="External"/><Relationship Id="rId459" Type="http://schemas.openxmlformats.org/officeDocument/2006/relationships/hyperlink" Target="https://foodcraft365.com/wp-content/uploads/2021/02/Jamaican-Jerk-Chicken.jpg" TargetMode="External"/><Relationship Id="rId216" Type="http://schemas.openxmlformats.org/officeDocument/2006/relationships/hyperlink" Target="https://d18vdu4p71yql0.cloudfront.net/libraries/sclera/cool%20down%20beverage_1.png" TargetMode="External"/><Relationship Id="rId458" Type="http://schemas.openxmlformats.org/officeDocument/2006/relationships/hyperlink" Target="https://d18vdu4p71yql0.cloudfront.net/libraries/sclera/jealous%20cheerless.png" TargetMode="External"/><Relationship Id="rId215" Type="http://schemas.openxmlformats.org/officeDocument/2006/relationships/hyperlink" Target="https://d18vdu4p71yql0.cloudfront.net/libraries/mulberry/yummy.svg.variant-dark.svg" TargetMode="External"/><Relationship Id="rId457" Type="http://schemas.openxmlformats.org/officeDocument/2006/relationships/hyperlink" Target="https://d18vdu4p71yql0.cloudfront.net/libraries/arasaac/saxophone.png" TargetMode="External"/><Relationship Id="rId699" Type="http://schemas.openxmlformats.org/officeDocument/2006/relationships/hyperlink" Target="https://d18vdu4p71yql0.cloudfront.net/libraries/arasaac/to%20ask_1.png.varianted-skin.png" TargetMode="External"/><Relationship Id="rId214" Type="http://schemas.openxmlformats.org/officeDocument/2006/relationships/hyperlink" Target="https://d18vdu4p71yql0.cloudfront.net/libraries/arasaac/confused_1.png" TargetMode="External"/><Relationship Id="rId456" Type="http://schemas.openxmlformats.org/officeDocument/2006/relationships/hyperlink" Target="https://d18vdu4p71yql0.cloudfront.net/libraries/coughdrop_symbols/january.png" TargetMode="External"/><Relationship Id="rId698" Type="http://schemas.openxmlformats.org/officeDocument/2006/relationships/hyperlink" Target="https://d18vdu4p71yql0.cloudfront.net/libraries/sclera/question%20tapping.png" TargetMode="External"/><Relationship Id="rId219" Type="http://schemas.openxmlformats.org/officeDocument/2006/relationships/hyperlink" Target="https://d18vdu4p71yql0.cloudfront.net/libraries/arasaac/cousin.png.variant-dark.png" TargetMode="External"/><Relationship Id="rId218" Type="http://schemas.openxmlformats.org/officeDocument/2006/relationships/hyperlink" Target="https://d18vdu4p71yql0.cloudfront.net/libraries/noun-project/Writing_846_g.svg" TargetMode="External"/><Relationship Id="rId451" Type="http://schemas.openxmlformats.org/officeDocument/2006/relationships/hyperlink" Target="https://d18vdu4p71yql0.cloudfront.net/libraries/arasaac/is_1.png" TargetMode="External"/><Relationship Id="rId693" Type="http://schemas.openxmlformats.org/officeDocument/2006/relationships/hyperlink" Target="https://d18vdu4p71yql0.cloudfront.net/libraries/arasaac/Important.png" TargetMode="External"/><Relationship Id="rId450" Type="http://schemas.openxmlformats.org/officeDocument/2006/relationships/hyperlink" Target="https://d18vdu4p71yql0.cloudfront.net/libraries/arasaac/ironing%20board.png" TargetMode="External"/><Relationship Id="rId692" Type="http://schemas.openxmlformats.org/officeDocument/2006/relationships/hyperlink" Target="https://d18vdu4p71yql0.cloudfront.net/libraries/arasaac/to%20relate.png.varianted-skin.png" TargetMode="External"/><Relationship Id="rId691" Type="http://schemas.openxmlformats.org/officeDocument/2006/relationships/hyperlink" Target="https://d18vdu4p71yql0.cloudfront.net/libraries/arasaac/stage.png" TargetMode="External"/><Relationship Id="rId690" Type="http://schemas.openxmlformats.org/officeDocument/2006/relationships/hyperlink" Target="https://d18vdu4p71yql0.cloudfront.net/libraries/sclera/refrigerator.png" TargetMode="External"/><Relationship Id="rId213" Type="http://schemas.openxmlformats.org/officeDocument/2006/relationships/hyperlink" Target="https://d18vdu4p71yql0.cloudfront.net/libraries/sclera/fighting%20game.png" TargetMode="External"/><Relationship Id="rId455" Type="http://schemas.openxmlformats.org/officeDocument/2006/relationships/hyperlink" Target="https://d18vdu4p71yql0.cloudfront.net/libraries/arasaac/jacket_1.png" TargetMode="External"/><Relationship Id="rId697" Type="http://schemas.openxmlformats.org/officeDocument/2006/relationships/hyperlink" Target="https://d18vdu4p71yql0.cloudfront.net/libraries/arasaac/representatives.png.variant-medium-dark.png" TargetMode="External"/><Relationship Id="rId212" Type="http://schemas.openxmlformats.org/officeDocument/2006/relationships/hyperlink" Target="https://d18vdu4p71yql0.cloudfront.net/libraries/sclera/conductor.png" TargetMode="External"/><Relationship Id="rId454" Type="http://schemas.openxmlformats.org/officeDocument/2006/relationships/hyperlink" Target="https://i.imgur.com/h0Ivyev.png" TargetMode="External"/><Relationship Id="rId696" Type="http://schemas.openxmlformats.org/officeDocument/2006/relationships/hyperlink" Target="https://d18vdu4p71yql0.cloudfront.net/libraries/noun-project/report_952_149943.svg" TargetMode="External"/><Relationship Id="rId211" Type="http://schemas.openxmlformats.org/officeDocument/2006/relationships/hyperlink" Target="https://d18vdu4p71yql0.cloudfront.net/libraries/noun-project/Idea_68_g.svg" TargetMode="External"/><Relationship Id="rId453" Type="http://schemas.openxmlformats.org/officeDocument/2006/relationships/hyperlink" Target="https://i.imgur.com/h0Ivyev.png" TargetMode="External"/><Relationship Id="rId695" Type="http://schemas.openxmlformats.org/officeDocument/2006/relationships/hyperlink" Target="https://d18vdu4p71yql0.cloudfront.net/libraries/arasaac/to%20report.png.varianted-skin.png" TargetMode="External"/><Relationship Id="rId210" Type="http://schemas.openxmlformats.org/officeDocument/2006/relationships/hyperlink" Target="https://d18vdu4p71yql0.cloudfront.net/libraries/sclera/concentration.png" TargetMode="External"/><Relationship Id="rId452" Type="http://schemas.openxmlformats.org/officeDocument/2006/relationships/hyperlink" Target="https://d18vdu4p71yql0.cloudfront.net/libraries/mulberry/last.svg" TargetMode="External"/><Relationship Id="rId694" Type="http://schemas.openxmlformats.org/officeDocument/2006/relationships/hyperlink" Target="https://d18vdu4p71yql0.cloudfront.net/libraries/twemoji/1f502.svg" TargetMode="External"/><Relationship Id="rId491" Type="http://schemas.openxmlformats.org/officeDocument/2006/relationships/hyperlink" Target="https://d18vdu4p71yql0.cloudfront.net/libraries/icomoon/arrow-left3.svg" TargetMode="External"/><Relationship Id="rId490" Type="http://schemas.openxmlformats.org/officeDocument/2006/relationships/hyperlink" Target="https://d18vdu4p71yql0.cloudfront.net/libraries/icomoon/arrow-left3.svg" TargetMode="External"/><Relationship Id="rId249" Type="http://schemas.openxmlformats.org/officeDocument/2006/relationships/hyperlink" Target="https://d18vdu4p71yql0.cloudfront.net/libraries/arasaac/description.png" TargetMode="External"/><Relationship Id="rId248" Type="http://schemas.openxmlformats.org/officeDocument/2006/relationships/hyperlink" Target="https://d18vdu4p71yql0.cloudfront.net/libraries/noun-project/Protest-6a4ac3c2fa.svg" TargetMode="External"/><Relationship Id="rId247" Type="http://schemas.openxmlformats.org/officeDocument/2006/relationships/hyperlink" Target="https://d18vdu4p71yql0.cloudfront.net/libraries/arasaac/to%20like_1.png" TargetMode="External"/><Relationship Id="rId489" Type="http://schemas.openxmlformats.org/officeDocument/2006/relationships/hyperlink" Target="https://d18vdu4p71yql0.cloudfront.net/libraries/icomoon/arrow-left3.svg" TargetMode="External"/><Relationship Id="rId242" Type="http://schemas.openxmlformats.org/officeDocument/2006/relationships/hyperlink" Target="https://d18vdu4p71yql0.cloudfront.net/libraries/sclera/decide.png" TargetMode="External"/><Relationship Id="rId484" Type="http://schemas.openxmlformats.org/officeDocument/2006/relationships/hyperlink" Target="https://d18vdu4p71yql0.cloudfront.net/libraries/arasaac/week_1.png" TargetMode="External"/><Relationship Id="rId241" Type="http://schemas.openxmlformats.org/officeDocument/2006/relationships/hyperlink" Target="https://d18vdu4p71yql0.cloudfront.net/libraries/coughdrop_symbols/december.png" TargetMode="External"/><Relationship Id="rId483" Type="http://schemas.openxmlformats.org/officeDocument/2006/relationships/hyperlink" Target="https://d18vdu4p71yql0.cloudfront.net/libraries/arasaac/week_1.png" TargetMode="External"/><Relationship Id="rId240" Type="http://schemas.openxmlformats.org/officeDocument/2006/relationships/hyperlink" Target="https://d18vdu4p71yql0.cloudfront.net/libraries/noun-project/report_701_g.svg" TargetMode="External"/><Relationship Id="rId482" Type="http://schemas.openxmlformats.org/officeDocument/2006/relationships/hyperlink" Target="https://i.imgur.com/8UhuSTi.png" TargetMode="External"/><Relationship Id="rId481" Type="http://schemas.openxmlformats.org/officeDocument/2006/relationships/hyperlink" Target="https://i.imgur.com/8UhuSTi.png" TargetMode="External"/><Relationship Id="rId246" Type="http://schemas.openxmlformats.org/officeDocument/2006/relationships/hyperlink" Target="https://d18vdu4p71yql0.cloudfront.net/libraries/noun-project/degree_923_111249.svg" TargetMode="External"/><Relationship Id="rId488" Type="http://schemas.openxmlformats.org/officeDocument/2006/relationships/hyperlink" Target="https://d18vdu4p71yql0.cloudfront.net/libraries/icomoon/arrow-left3.svg" TargetMode="External"/><Relationship Id="rId245" Type="http://schemas.openxmlformats.org/officeDocument/2006/relationships/hyperlink" Target="https://d18vdu4p71yql0.cloudfront.net/libraries/arasaac/to%20urinate_2.png.varianted-skin.png" TargetMode="External"/><Relationship Id="rId487" Type="http://schemas.openxmlformats.org/officeDocument/2006/relationships/hyperlink" Target="https://d18vdu4p71yql0.cloudfront.net/libraries/sclera/lay%20out%20clothing.png" TargetMode="External"/><Relationship Id="rId244" Type="http://schemas.openxmlformats.org/officeDocument/2006/relationships/hyperlink" Target="https://media.istockphoto.com/id/1175693643/vector/the-guy-gives-way-to-a-grandmother-with-a-disability-in-public-transport.jpg?s=612x612&amp;w=0&amp;k=20&amp;c=YVCQ3eeI1goiH_1VIWa-dNRWKAqf8zgZ2YrEnBQlUOc=" TargetMode="External"/><Relationship Id="rId486" Type="http://schemas.openxmlformats.org/officeDocument/2006/relationships/hyperlink" Target="https://www.opensymbols.org/symbols/sclera/new-year-4bd5f2d0?id=22728" TargetMode="External"/><Relationship Id="rId243" Type="http://schemas.openxmlformats.org/officeDocument/2006/relationships/hyperlink" Target="https://p7.hiclipart.com/preview/217/245/270/quitclaim-deed-title-document-grunkle-stan-others.jpg" TargetMode="External"/><Relationship Id="rId485" Type="http://schemas.openxmlformats.org/officeDocument/2006/relationships/hyperlink" Target="https://d18vdu4p71yql0.cloudfront.net/libraries/sclera/new%20year.png" TargetMode="External"/><Relationship Id="rId480" Type="http://schemas.openxmlformats.org/officeDocument/2006/relationships/hyperlink" Target="https://i.imgur.com/8UhuSTi.png" TargetMode="External"/><Relationship Id="rId239" Type="http://schemas.openxmlformats.org/officeDocument/2006/relationships/hyperlink" Target="https://d18vdu4p71yql0.cloudfront.net/libraries/arasaac/danger.png" TargetMode="External"/><Relationship Id="rId238" Type="http://schemas.openxmlformats.org/officeDocument/2006/relationships/hyperlink" Target="https://d18vdu4p71yql0.cloudfront.net/libraries/arasaac/dance.png.variant-dark.png" TargetMode="External"/><Relationship Id="rId237" Type="http://schemas.openxmlformats.org/officeDocument/2006/relationships/hyperlink" Target="https://d18vdu4p71yql0.cloudfront.net/libraries/sclera/music%20and%20dance.png" TargetMode="External"/><Relationship Id="rId479" Type="http://schemas.openxmlformats.org/officeDocument/2006/relationships/hyperlink" Target="https://d18vdu4p71yql0.cloudfront.net/libraries/mulberry/last%20month.svg" TargetMode="External"/><Relationship Id="rId236" Type="http://schemas.openxmlformats.org/officeDocument/2006/relationships/hyperlink" Target="https://d18vdu4p71yql0.cloudfront.net/libraries/sclera/dance.png" TargetMode="External"/><Relationship Id="rId478" Type="http://schemas.openxmlformats.org/officeDocument/2006/relationships/hyperlink" Target="https://d18vdu4p71yql0.cloudfront.net/libraries/mulberry/last%20month.svg" TargetMode="External"/><Relationship Id="rId231" Type="http://schemas.openxmlformats.org/officeDocument/2006/relationships/hyperlink" Target="https://d18vdu4p71yql0.cloudfront.net/libraries/mulberry/curtains.svg" TargetMode="External"/><Relationship Id="rId473" Type="http://schemas.openxmlformats.org/officeDocument/2006/relationships/hyperlink" Target="https://d18vdu4p71yql0.cloudfront.net/libraries/tawasol/Kitchen.png" TargetMode="External"/><Relationship Id="rId230" Type="http://schemas.openxmlformats.org/officeDocument/2006/relationships/hyperlink" Target="https://d18vdu4p71yql0.cloudfront.net/libraries/arasaac/to%20cry.png" TargetMode="External"/><Relationship Id="rId472" Type="http://schemas.openxmlformats.org/officeDocument/2006/relationships/hyperlink" Target="https://upload.wikimedia.org/wikipedia/commons/thumb/b/ba/Kingston_in_Jamaica_%28special_marker%29.svg/1200px-Kingston_in_Jamaica_%28special_marker%29.svg.png" TargetMode="External"/><Relationship Id="rId471" Type="http://schemas.openxmlformats.org/officeDocument/2006/relationships/hyperlink" Target="https://d18vdu4p71yql0.cloudfront.net/libraries/arasaac/kilogram.png" TargetMode="External"/><Relationship Id="rId470" Type="http://schemas.openxmlformats.org/officeDocument/2006/relationships/hyperlink" Target="https://d18vdu4p71yql0.cloudfront.net/libraries/arasaac/kick.png.variant-dark.png" TargetMode="External"/><Relationship Id="rId235" Type="http://schemas.openxmlformats.org/officeDocument/2006/relationships/hyperlink" Target="https://d18vdu4p71yql0.cloudfront.net/libraries/arasaac/curved%20line.png" TargetMode="External"/><Relationship Id="rId477" Type="http://schemas.openxmlformats.org/officeDocument/2006/relationships/hyperlink" Target="https://d18vdu4p71yql0.cloudfront.net/libraries/mulberry/large.svg" TargetMode="External"/><Relationship Id="rId234" Type="http://schemas.openxmlformats.org/officeDocument/2006/relationships/hyperlink" Target="https://d18vdu4p71yql0.cloudfront.net/libraries/sclera/staff%20room.png" TargetMode="External"/><Relationship Id="rId476" Type="http://schemas.openxmlformats.org/officeDocument/2006/relationships/hyperlink" Target="https://d18vdu4p71yql0.cloudfront.net/libraries/arasaac/to%20knit.png.varianted-skin.png" TargetMode="External"/><Relationship Id="rId233" Type="http://schemas.openxmlformats.org/officeDocument/2006/relationships/hyperlink" Target="https://d18vdu4p71yql0.cloudfront.net/libraries/sclera/preparatory%20writing.png" TargetMode="External"/><Relationship Id="rId475" Type="http://schemas.openxmlformats.org/officeDocument/2006/relationships/hyperlink" Target="https://d18vdu4p71yql0.cloudfront.net/libraries/arasaac/leg_2.png.variant-medium-dark.png" TargetMode="External"/><Relationship Id="rId232" Type="http://schemas.openxmlformats.org/officeDocument/2006/relationships/hyperlink" Target="https://d18vdu4p71yql0.cloudfront.net/libraries/arasaac/curious_1.png" TargetMode="External"/><Relationship Id="rId474" Type="http://schemas.openxmlformats.org/officeDocument/2006/relationships/hyperlink" Target="https://d18vdu4p71yql0.cloudfront.net/libraries/tawasol/Kitchen.png" TargetMode="External"/><Relationship Id="rId426" Type="http://schemas.openxmlformats.org/officeDocument/2006/relationships/hyperlink" Target="https://d18vdu4p71yql0.cloudfront.net/libraries/arasaac/ill_2.png" TargetMode="External"/><Relationship Id="rId668" Type="http://schemas.openxmlformats.org/officeDocument/2006/relationships/hyperlink" Target="https://d18vdu4p71yql0.cloudfront.net/libraries/arasaac/program_2.png.varianted-skin.png" TargetMode="External"/><Relationship Id="rId425" Type="http://schemas.openxmlformats.org/officeDocument/2006/relationships/hyperlink" Target="https://d18vdu4p71yql0.cloudfront.net/libraries/arasaac/ill_2.png" TargetMode="External"/><Relationship Id="rId667" Type="http://schemas.openxmlformats.org/officeDocument/2006/relationships/hyperlink" Target="https://d18vdu4p71yql0.cloudfront.net/libraries/arasaac/professional.png.variant-dark.png" TargetMode="External"/><Relationship Id="rId424" Type="http://schemas.openxmlformats.org/officeDocument/2006/relationships/hyperlink" Target="https://d18vdu4p71yql0.cloudfront.net/libraries/arasaac/iguana.png" TargetMode="External"/><Relationship Id="rId666" Type="http://schemas.openxmlformats.org/officeDocument/2006/relationships/hyperlink" Target="https://d18vdu4p71yql0.cloudfront.net/libraries/noun-project/product_645_g.svg" TargetMode="External"/><Relationship Id="rId423" Type="http://schemas.openxmlformats.org/officeDocument/2006/relationships/hyperlink" Target="https://d18vdu4p71yql0.cloudfront.net/libraries/arasaac/I.png.variant-dark.png" TargetMode="External"/><Relationship Id="rId665" Type="http://schemas.openxmlformats.org/officeDocument/2006/relationships/hyperlink" Target="https://d18vdu4p71yql0.cloudfront.net/libraries/noun-project/print_89_g.svg" TargetMode="External"/><Relationship Id="rId429" Type="http://schemas.openxmlformats.org/officeDocument/2006/relationships/hyperlink" Target="https://d18vdu4p71yql0.cloudfront.net/libraries/arasaac/illustrated%20children's%20book%20series.png" TargetMode="External"/><Relationship Id="rId428" Type="http://schemas.openxmlformats.org/officeDocument/2006/relationships/hyperlink" Target="https://d18vdu4p71yql0.cloudfront.net/libraries/arasaac/artist_6.png.varianted-skin.png" TargetMode="External"/><Relationship Id="rId427" Type="http://schemas.openxmlformats.org/officeDocument/2006/relationships/hyperlink" Target="https://d18vdu4p71yql0.cloudfront.net/libraries/arasaac/ill_2.png" TargetMode="External"/><Relationship Id="rId669" Type="http://schemas.openxmlformats.org/officeDocument/2006/relationships/hyperlink" Target="https://d18vdu4p71yql0.cloudfront.net/libraries/sclera/read%20out.png" TargetMode="External"/><Relationship Id="rId660" Type="http://schemas.openxmlformats.org/officeDocument/2006/relationships/hyperlink" Target="https://d18vdu4p71yql0.cloudfront.net/libraries/noun-project/Presentation-dad5c86a81.svg" TargetMode="External"/><Relationship Id="rId422" Type="http://schemas.openxmlformats.org/officeDocument/2006/relationships/hyperlink" Target="https://d18vdu4p71yql0.cloudfront.net/libraries/arasaac/I_3.png" TargetMode="External"/><Relationship Id="rId664" Type="http://schemas.openxmlformats.org/officeDocument/2006/relationships/hyperlink" Target="https://d18vdu4p71yql0.cloudfront.net/libraries/arasaac/pretty_1.png.variant-medium.png" TargetMode="External"/><Relationship Id="rId421" Type="http://schemas.openxmlformats.org/officeDocument/2006/relationships/hyperlink" Target="https://d18vdu4p71yql0.cloudfront.net/libraries/arasaac/hurricane_1.png" TargetMode="External"/><Relationship Id="rId663" Type="http://schemas.openxmlformats.org/officeDocument/2006/relationships/hyperlink" Target="https://d18vdu4p71yql0.cloudfront.net/libraries/arasaac/pretty_1.png.variant-medium.png" TargetMode="External"/><Relationship Id="rId420" Type="http://schemas.openxmlformats.org/officeDocument/2006/relationships/hyperlink" Target="https://d18vdu4p71yql0.cloudfront.net/libraries/arasaac/hungry.png.varianted-skin.png" TargetMode="External"/><Relationship Id="rId662" Type="http://schemas.openxmlformats.org/officeDocument/2006/relationships/hyperlink" Target="https://d18vdu4p71yql0.cloudfront.net/libraries/arasaac/pretty_1.png.variant-medium.png" TargetMode="External"/><Relationship Id="rId661" Type="http://schemas.openxmlformats.org/officeDocument/2006/relationships/hyperlink" Target="https://d18vdu4p71yql0.cloudfront.net/libraries/arasaac/pretty.png" TargetMode="External"/><Relationship Id="rId415" Type="http://schemas.openxmlformats.org/officeDocument/2006/relationships/hyperlink" Target="https://d18vdu4p71yql0.cloudfront.net/libraries/arasaac/hour.png" TargetMode="External"/><Relationship Id="rId657" Type="http://schemas.openxmlformats.org/officeDocument/2006/relationships/hyperlink" Target="https://www.opensymbols.org/symbols/mulberry/prayer-c4aa443c?id=14896" TargetMode="External"/><Relationship Id="rId899" Type="http://schemas.openxmlformats.org/officeDocument/2006/relationships/hyperlink" Target="https://d18vdu4p71yql0.cloudfront.net/libraries/mulberry/prism%20triangular.svg" TargetMode="External"/><Relationship Id="rId414" Type="http://schemas.openxmlformats.org/officeDocument/2006/relationships/hyperlink" Target="https://d18vdu4p71yql0.cloudfront.net/libraries/arasaac/hot%20flush_3.png" TargetMode="External"/><Relationship Id="rId656" Type="http://schemas.openxmlformats.org/officeDocument/2006/relationships/hyperlink" Target="https://d18vdu4p71yql0.cloudfront.net/libraries/noun-project/Prayer_606_g.svg" TargetMode="External"/><Relationship Id="rId898" Type="http://schemas.openxmlformats.org/officeDocument/2006/relationships/hyperlink" Target="https://d18vdu4p71yql0.cloudfront.net/libraries/noun-project/triangle_698_g.svg" TargetMode="External"/><Relationship Id="rId413" Type="http://schemas.openxmlformats.org/officeDocument/2006/relationships/hyperlink" Target="https://d18vdu4p71yql0.cloudfront.net/libraries/arasaac/hopscotch.png" TargetMode="External"/><Relationship Id="rId655" Type="http://schemas.openxmlformats.org/officeDocument/2006/relationships/hyperlink" Target="https://d18vdu4p71yql0.cloudfront.net/libraries/arasaac/congratulations!.png" TargetMode="External"/><Relationship Id="rId897" Type="http://schemas.openxmlformats.org/officeDocument/2006/relationships/hyperlink" Target="https://upload.wikimedia.org/wikipedia/commons/thumb/3/3c/Trelawny_in_Jamaica.svg/1200px-Trelawny_in_Jamaica.svg.png" TargetMode="External"/><Relationship Id="rId412" Type="http://schemas.openxmlformats.org/officeDocument/2006/relationships/hyperlink" Target="https://d18vdu4p71yql0.cloudfront.net/libraries/noun-project/Fingers-Crossed_440_g.svg" TargetMode="External"/><Relationship Id="rId654" Type="http://schemas.openxmlformats.org/officeDocument/2006/relationships/hyperlink" Target="https://globalsymbols.com/uploads/production/image/imagefile/40305/81_40306_4cb2399a-6081-4adb-8185-ca75d7c560ae.png" TargetMode="External"/><Relationship Id="rId896" Type="http://schemas.openxmlformats.org/officeDocument/2006/relationships/hyperlink" Target="https://d18vdu4p71yql0.cloudfront.net/libraries/arasaac/tree_2.png" TargetMode="External"/><Relationship Id="rId419" Type="http://schemas.openxmlformats.org/officeDocument/2006/relationships/hyperlink" Target="https://d18vdu4p71yql0.cloudfront.net/libraries/noun-project/hungry_24_89893.svg" TargetMode="External"/><Relationship Id="rId418" Type="http://schemas.openxmlformats.org/officeDocument/2006/relationships/hyperlink" Target="https://d18vdu4p71yql0.cloudfront.net/libraries/arasaac/hummingbird.png" TargetMode="External"/><Relationship Id="rId417" Type="http://schemas.openxmlformats.org/officeDocument/2006/relationships/hyperlink" Target="https://d18vdu4p71yql0.cloudfront.net/libraries/sclera/how.png" TargetMode="External"/><Relationship Id="rId659" Type="http://schemas.openxmlformats.org/officeDocument/2006/relationships/hyperlink" Target="https://d18vdu4p71yql0.cloudfront.net/libraries/mulberry/before.svg" TargetMode="External"/><Relationship Id="rId416" Type="http://schemas.openxmlformats.org/officeDocument/2006/relationships/hyperlink" Target="https://d18vdu4p71yql0.cloudfront.net/libraries/arasaac/home.png" TargetMode="External"/><Relationship Id="rId658" Type="http://schemas.openxmlformats.org/officeDocument/2006/relationships/hyperlink" Target="https://d18vdu4p71yql0.cloudfront.net/libraries/arasaac/preference.png" TargetMode="External"/><Relationship Id="rId891" Type="http://schemas.openxmlformats.org/officeDocument/2006/relationships/hyperlink" Target="https://d18vdu4p71yql0.cloudfront.net/libraries/arasaac/tongue.png" TargetMode="External"/><Relationship Id="rId890" Type="http://schemas.openxmlformats.org/officeDocument/2006/relationships/hyperlink" Target="https://d18vdu4p71yql0.cloudfront.net/libraries/sclera/tomorrow.png" TargetMode="External"/><Relationship Id="rId411" Type="http://schemas.openxmlformats.org/officeDocument/2006/relationships/hyperlink" Target="https://d18vdu4p71yql0.cloudfront.net/libraries/arasaac/hoop_1.png" TargetMode="External"/><Relationship Id="rId653" Type="http://schemas.openxmlformats.org/officeDocument/2006/relationships/hyperlink" Target="https://d18vdu4p71yql0.cloudfront.net/libraries/arasaac/potato.png" TargetMode="External"/><Relationship Id="rId895" Type="http://schemas.openxmlformats.org/officeDocument/2006/relationships/hyperlink" Target="https://d18vdu4p71yql0.cloudfront.net/libraries/arasaac/race_1.png" TargetMode="External"/><Relationship Id="rId410" Type="http://schemas.openxmlformats.org/officeDocument/2006/relationships/hyperlink" Target="https://d18vdu4p71yql0.cloudfront.net/libraries/arasaac/hoof.png" TargetMode="External"/><Relationship Id="rId652" Type="http://schemas.openxmlformats.org/officeDocument/2006/relationships/hyperlink" Target="https://d18vdu4p71yql0.cloudfront.net/libraries/noun-project/Poison-35872462c8.svg" TargetMode="External"/><Relationship Id="rId894" Type="http://schemas.openxmlformats.org/officeDocument/2006/relationships/hyperlink" Target="https://d18vdu4p71yql0.cloudfront.net/libraries/arasaac/to%20throw%20(away)_3.png.varianted-skin.png" TargetMode="External"/><Relationship Id="rId651" Type="http://schemas.openxmlformats.org/officeDocument/2006/relationships/hyperlink" Target="https://upload.wikimedia.org/wikipedia/commons/thumb/a/ae/Portland_in_Jamaica.svg/1200px-Portland_in_Jamaica.svg.png" TargetMode="External"/><Relationship Id="rId893" Type="http://schemas.openxmlformats.org/officeDocument/2006/relationships/hyperlink" Target="https://d18vdu4p71yql0.cloudfront.net/libraries/arasaac/to%20throw%20(away)_3.png.varianted-skin.png" TargetMode="External"/><Relationship Id="rId650" Type="http://schemas.openxmlformats.org/officeDocument/2006/relationships/hyperlink" Target="https://d18vdu4p71yql0.cloudfront.net/libraries/noun-project/group_316_g.svg" TargetMode="External"/><Relationship Id="rId892" Type="http://schemas.openxmlformats.org/officeDocument/2006/relationships/hyperlink" Target="https://d18vdu4p71yql0.cloudfront.net/libraries/arasaac/tornado.png" TargetMode="External"/><Relationship Id="rId206" Type="http://schemas.openxmlformats.org/officeDocument/2006/relationships/hyperlink" Target="https://d18vdu4p71yql0.cloudfront.net/libraries/arasaac/village.png" TargetMode="External"/><Relationship Id="rId448" Type="http://schemas.openxmlformats.org/officeDocument/2006/relationships/hyperlink" Target="https://d18vdu4p71yql0.cloudfront.net/libraries/noun-project/Move_844_339298.svg" TargetMode="External"/><Relationship Id="rId205" Type="http://schemas.openxmlformats.org/officeDocument/2006/relationships/hyperlink" Target="https://d18vdu4p71yql0.cloudfront.net/libraries/twemoji/1f308.svg" TargetMode="External"/><Relationship Id="rId447" Type="http://schemas.openxmlformats.org/officeDocument/2006/relationships/hyperlink" Target="https://d18vdu4p71yql0.cloudfront.net/libraries/sclera/interpreters_1.png" TargetMode="External"/><Relationship Id="rId689" Type="http://schemas.openxmlformats.org/officeDocument/2006/relationships/hyperlink" Target="https://d18vdu4p71yql0.cloudfront.net/libraries/noun-project/read_808_g.svg" TargetMode="External"/><Relationship Id="rId204" Type="http://schemas.openxmlformats.org/officeDocument/2006/relationships/hyperlink" Target="https://d18vdu4p71yql0.cloudfront.net/libraries/arasaac/cuff%20links.png" TargetMode="External"/><Relationship Id="rId446" Type="http://schemas.openxmlformats.org/officeDocument/2006/relationships/hyperlink" Target="https://d18vdu4p71yql0.cloudfront.net/libraries/arasaac/world%20map.png" TargetMode="External"/><Relationship Id="rId688" Type="http://schemas.openxmlformats.org/officeDocument/2006/relationships/hyperlink" Target="https://d18vdu4p71yql0.cloudfront.net/libraries/mulberry/red.svg" TargetMode="External"/><Relationship Id="rId203" Type="http://schemas.openxmlformats.org/officeDocument/2006/relationships/hyperlink" Target="https://d18vdu4p71yql0.cloudfront.net/libraries/sclera/cold.png" TargetMode="External"/><Relationship Id="rId445" Type="http://schemas.openxmlformats.org/officeDocument/2006/relationships/hyperlink" Target="https://d18vdu4p71yql0.cloudfront.net/libraries/sclera/music%20instruments.png" TargetMode="External"/><Relationship Id="rId687" Type="http://schemas.openxmlformats.org/officeDocument/2006/relationships/hyperlink" Target="https://d18vdu4p71yql0.cloudfront.net/libraries/sclera/plate%20rectangular.png" TargetMode="External"/><Relationship Id="rId209" Type="http://schemas.openxmlformats.org/officeDocument/2006/relationships/hyperlink" Target="https://d18vdu4p71yql0.cloudfront.net/libraries/arasaac/writer.png.variant-medium-dark.png" TargetMode="External"/><Relationship Id="rId208" Type="http://schemas.openxmlformats.org/officeDocument/2006/relationships/hyperlink" Target="https://d18vdu4p71yql0.cloudfront.net/libraries/arasaac/competition.png.varianted-skin.png" TargetMode="External"/><Relationship Id="rId207" Type="http://schemas.openxmlformats.org/officeDocument/2006/relationships/hyperlink" Target="https://d18vdu4p71yql0.cloudfront.net/libraries/noun-project/Libra_401_669299.svg" TargetMode="External"/><Relationship Id="rId449" Type="http://schemas.openxmlformats.org/officeDocument/2006/relationships/hyperlink" Target="https://d18vdu4p71yql0.cloudfront.net/libraries/sclera/interview.png" TargetMode="External"/><Relationship Id="rId440" Type="http://schemas.openxmlformats.org/officeDocument/2006/relationships/hyperlink" Target="https://d18vdu4p71yql0.cloudfront.net/libraries/mulberry/in%20front.svg" TargetMode="External"/><Relationship Id="rId682" Type="http://schemas.openxmlformats.org/officeDocument/2006/relationships/hyperlink" Target="https://d18vdu4p71yql0.cloudfront.net/libraries/arasaac/to%20read_1.png.variant-dark.png" TargetMode="External"/><Relationship Id="rId681" Type="http://schemas.openxmlformats.org/officeDocument/2006/relationships/hyperlink" Target="https://d18vdu4p71yql0.cloudfront.net/libraries/tawasol/Read%20(M).png" TargetMode="External"/><Relationship Id="rId680" Type="http://schemas.openxmlformats.org/officeDocument/2006/relationships/hyperlink" Target="https://d18vdu4p71yql0.cloudfront.net/libraries/arasaac/ray.png" TargetMode="External"/><Relationship Id="rId202" Type="http://schemas.openxmlformats.org/officeDocument/2006/relationships/hyperlink" Target="https://d18vdu4p71yql0.cloudfront.net/libraries/sclera/cold.png" TargetMode="External"/><Relationship Id="rId444" Type="http://schemas.openxmlformats.org/officeDocument/2006/relationships/hyperlink" Target="https://d18vdu4p71yql0.cloudfront.net/libraries/arasaac/fall.png.varianted-skin.png" TargetMode="External"/><Relationship Id="rId686" Type="http://schemas.openxmlformats.org/officeDocument/2006/relationships/hyperlink" Target="https://d18vdu4p71yql0.cloudfront.net/libraries/noun-project/rectangle_84_g.svg" TargetMode="External"/><Relationship Id="rId201" Type="http://schemas.openxmlformats.org/officeDocument/2006/relationships/hyperlink" Target="https://d18vdu4p71yql0.cloudfront.net/libraries/arasaac/cold.png.variant-medium-dark.png" TargetMode="External"/><Relationship Id="rId443" Type="http://schemas.openxmlformats.org/officeDocument/2006/relationships/hyperlink" Target="https://d18vdu4p71yql0.cloudfront.net/libraries/noun-project/Information-4228dd3ded.svg" TargetMode="External"/><Relationship Id="rId685" Type="http://schemas.openxmlformats.org/officeDocument/2006/relationships/hyperlink" Target="https://d18vdu4p71yql0.cloudfront.net/libraries/sclera/consumption%20record.png" TargetMode="External"/><Relationship Id="rId200" Type="http://schemas.openxmlformats.org/officeDocument/2006/relationships/hyperlink" Target="https://d18vdu4p71yql0.cloudfront.net/libraries/mulberry/collar%201.svg.varianted-skin.svg" TargetMode="External"/><Relationship Id="rId442" Type="http://schemas.openxmlformats.org/officeDocument/2006/relationships/hyperlink" Target="https://d18vdu4p71yql0.cloudfront.net/libraries/sclera/give%20infant%20milk.png" TargetMode="External"/><Relationship Id="rId684" Type="http://schemas.openxmlformats.org/officeDocument/2006/relationships/hyperlink" Target="https://d18vdu4p71yql0.cloudfront.net/libraries/arasaac/to%20read_3.png" TargetMode="External"/><Relationship Id="rId441" Type="http://schemas.openxmlformats.org/officeDocument/2006/relationships/hyperlink" Target="https://d18vdu4p71yql0.cloudfront.net/libraries/mulberry/index%20cards.svg" TargetMode="External"/><Relationship Id="rId683" Type="http://schemas.openxmlformats.org/officeDocument/2006/relationships/hyperlink" Target="https://d18vdu4p71yql0.cloudfront.net/libraries/arasaac/to%20read_1.png.variant-dark.png" TargetMode="External"/><Relationship Id="rId437" Type="http://schemas.openxmlformats.org/officeDocument/2006/relationships/hyperlink" Target="https://d18vdu4p71yql0.cloudfront.net/libraries/arasaac/in.png" TargetMode="External"/><Relationship Id="rId679" Type="http://schemas.openxmlformats.org/officeDocument/2006/relationships/hyperlink" Target="https://d18vdu4p71yql0.cloudfront.net/libraries/mulberry/rat.svg.varianted-skin.svg" TargetMode="External"/><Relationship Id="rId436" Type="http://schemas.openxmlformats.org/officeDocument/2006/relationships/hyperlink" Target="https://d18vdu4p71yql0.cloudfront.net/libraries/arasaac/in.png" TargetMode="External"/><Relationship Id="rId678" Type="http://schemas.openxmlformats.org/officeDocument/2006/relationships/hyperlink" Target="https://d18vdu4p71yql0.cloudfront.net/libraries/arasaac/diamond.png" TargetMode="External"/><Relationship Id="rId435" Type="http://schemas.openxmlformats.org/officeDocument/2006/relationships/hyperlink" Target="https://d18vdu4p71yql0.cloudfront.net/libraries/arasaac/in.png" TargetMode="External"/><Relationship Id="rId677" Type="http://schemas.openxmlformats.org/officeDocument/2006/relationships/hyperlink" Target="https://d18vdu4p71yql0.cloudfront.net/libraries/arasaac/rare.png" TargetMode="External"/><Relationship Id="rId434" Type="http://schemas.openxmlformats.org/officeDocument/2006/relationships/hyperlink" Target="https://d18vdu4p71yql0.cloudfront.net/libraries/arasaac/Important.png" TargetMode="External"/><Relationship Id="rId676" Type="http://schemas.openxmlformats.org/officeDocument/2006/relationships/hyperlink" Target="https://d18vdu4p71yql0.cloudfront.net/libraries/arasaac/quickly.png" TargetMode="External"/><Relationship Id="rId439" Type="http://schemas.openxmlformats.org/officeDocument/2006/relationships/hyperlink" Target="https://d18vdu4p71yql0.cloudfront.net/libraries/arasaac/in%20front%20of.png" TargetMode="External"/><Relationship Id="rId438" Type="http://schemas.openxmlformats.org/officeDocument/2006/relationships/hyperlink" Target="https://d18vdu4p71yql0.cloudfront.net/libraries/arasaac/in.png" TargetMode="External"/><Relationship Id="rId671" Type="http://schemas.openxmlformats.org/officeDocument/2006/relationships/hyperlink" Target="https://d18vdu4p71yql0.cloudfront.net/libraries/sclera/proud.png" TargetMode="External"/><Relationship Id="rId670" Type="http://schemas.openxmlformats.org/officeDocument/2006/relationships/hyperlink" Target="https://d18vdu4p71yql0.cloudfront.net/libraries/mulberry/protein.svg" TargetMode="External"/><Relationship Id="rId433" Type="http://schemas.openxmlformats.org/officeDocument/2006/relationships/hyperlink" Target="https://d18vdu4p71yql0.cloudfront.net/libraries/sclera/impatient_1.png" TargetMode="External"/><Relationship Id="rId675" Type="http://schemas.openxmlformats.org/officeDocument/2006/relationships/hyperlink" Target="https://d18vdu4p71yql0.cloudfront.net/libraries/arasaac/quick.png" TargetMode="External"/><Relationship Id="rId432" Type="http://schemas.openxmlformats.org/officeDocument/2006/relationships/hyperlink" Target="https://d18vdu4p71yql0.cloudfront.net/libraries/sclera/imitate_2.png" TargetMode="External"/><Relationship Id="rId674" Type="http://schemas.openxmlformats.org/officeDocument/2006/relationships/hyperlink" Target="https://d18vdu4p71yql0.cloudfront.net/libraries/mulberry/purse.svg" TargetMode="External"/><Relationship Id="rId431" Type="http://schemas.openxmlformats.org/officeDocument/2006/relationships/hyperlink" Target="https://d18vdu4p71yql0.cloudfront.net/libraries/noun-project/think_857_631590.svg" TargetMode="External"/><Relationship Id="rId673" Type="http://schemas.openxmlformats.org/officeDocument/2006/relationships/hyperlink" Target="https://d18vdu4p71yql0.cloudfront.net/libraries/arasaac/pumpkin.png" TargetMode="External"/><Relationship Id="rId430" Type="http://schemas.openxmlformats.org/officeDocument/2006/relationships/hyperlink" Target="https://d18vdu4p71yql0.cloudfront.net/libraries/icomoon/images.svg" TargetMode="External"/><Relationship Id="rId672" Type="http://schemas.openxmlformats.org/officeDocument/2006/relationships/hyperlink" Target="https://d18vdu4p71yql0.cloudfront.net/libraries/sclera/photo%20publishing.pn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ordtype.org/of/classroom" TargetMode="External"/><Relationship Id="rId2" Type="http://schemas.openxmlformats.org/officeDocument/2006/relationships/hyperlink" Target="https://wordtype.org/of/classroom" TargetMode="External"/><Relationship Id="rId3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17.63"/>
    <col customWidth="1" min="3" max="3" width="15.88"/>
    <col customWidth="1" min="4" max="4" width="15.38"/>
    <col customWidth="1" min="8" max="8" width="8.13"/>
    <col customWidth="1" min="9" max="9" width="419.38"/>
    <col customWidth="1" min="10" max="10" width="2.25"/>
    <col customWidth="1" min="11" max="11" width="16.13"/>
    <col customWidth="1" min="12" max="13" width="2.25"/>
    <col customWidth="1" min="17" max="17" width="10.5"/>
    <col customWidth="1" min="18" max="18" width="68.63"/>
    <col customWidth="1" min="19" max="19" width="26.88"/>
  </cols>
  <sheetData>
    <row r="1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4" t="s">
        <v>7</v>
      </c>
      <c r="J1" s="6"/>
      <c r="K1" s="6"/>
      <c r="L1" s="6"/>
      <c r="M1" s="6"/>
      <c r="N1" s="6"/>
      <c r="O1" s="6"/>
      <c r="P1" s="6"/>
      <c r="Q1" s="3" t="s">
        <v>8</v>
      </c>
      <c r="R1" s="6"/>
      <c r="S1" s="3" t="s">
        <v>9</v>
      </c>
      <c r="U1" s="6"/>
      <c r="V1" s="6"/>
      <c r="W1" s="6"/>
      <c r="X1" s="6"/>
      <c r="Y1" s="6"/>
      <c r="Z1" s="6"/>
      <c r="AA1" s="6"/>
    </row>
    <row r="2">
      <c r="A2" s="7">
        <v>1.0</v>
      </c>
      <c r="B2" s="8">
        <v>0.0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7">
        <v>1.0</v>
      </c>
      <c r="I2" s="10" t="s">
        <v>15</v>
      </c>
      <c r="Q2" s="9" t="s">
        <v>16</v>
      </c>
      <c r="S2" s="9" t="s">
        <v>17</v>
      </c>
    </row>
    <row r="3">
      <c r="A3" s="7">
        <v>2.0</v>
      </c>
      <c r="B3" s="8">
        <v>0.041666666666666664</v>
      </c>
      <c r="C3" s="9" t="s">
        <v>10</v>
      </c>
      <c r="D3" s="9" t="s">
        <v>11</v>
      </c>
      <c r="E3" s="9" t="s">
        <v>12</v>
      </c>
      <c r="F3" s="9" t="s">
        <v>18</v>
      </c>
      <c r="G3" s="9" t="s">
        <v>14</v>
      </c>
      <c r="H3" s="7">
        <v>2.0</v>
      </c>
      <c r="I3" s="10" t="s">
        <v>19</v>
      </c>
      <c r="Q3" s="9" t="s">
        <v>20</v>
      </c>
      <c r="S3" s="9" t="s">
        <v>21</v>
      </c>
    </row>
    <row r="4">
      <c r="A4" s="7">
        <v>3.0</v>
      </c>
      <c r="B4" s="11">
        <v>0.08333333333333333</v>
      </c>
      <c r="C4" s="12" t="s">
        <v>10</v>
      </c>
      <c r="D4" s="9" t="s">
        <v>11</v>
      </c>
      <c r="E4" s="9" t="s">
        <v>12</v>
      </c>
      <c r="F4" s="9" t="s">
        <v>18</v>
      </c>
      <c r="G4" s="9" t="s">
        <v>14</v>
      </c>
      <c r="H4" s="7">
        <v>3.0</v>
      </c>
      <c r="I4" s="10" t="s">
        <v>22</v>
      </c>
      <c r="Q4" s="9" t="s">
        <v>23</v>
      </c>
      <c r="S4" s="9" t="s">
        <v>24</v>
      </c>
    </row>
    <row r="5">
      <c r="A5" s="7">
        <v>4.0</v>
      </c>
      <c r="B5" s="11">
        <v>0.125</v>
      </c>
      <c r="C5" s="12" t="s">
        <v>10</v>
      </c>
      <c r="D5" s="9" t="s">
        <v>11</v>
      </c>
      <c r="E5" s="9" t="s">
        <v>12</v>
      </c>
      <c r="F5" s="9" t="s">
        <v>18</v>
      </c>
      <c r="G5" s="9" t="s">
        <v>14</v>
      </c>
      <c r="H5" s="7">
        <v>4.0</v>
      </c>
      <c r="I5" s="10" t="s">
        <v>25</v>
      </c>
      <c r="Q5" s="9" t="s">
        <v>26</v>
      </c>
      <c r="S5" s="9" t="s">
        <v>27</v>
      </c>
    </row>
    <row r="6">
      <c r="A6" s="7">
        <v>5.0</v>
      </c>
      <c r="B6" s="8">
        <v>0.16666666666666666</v>
      </c>
      <c r="C6" s="9" t="s">
        <v>10</v>
      </c>
      <c r="D6" s="9" t="s">
        <v>11</v>
      </c>
      <c r="E6" s="9" t="s">
        <v>12</v>
      </c>
      <c r="F6" s="9" t="s">
        <v>18</v>
      </c>
      <c r="G6" s="9" t="s">
        <v>14</v>
      </c>
      <c r="H6" s="7">
        <v>5.0</v>
      </c>
      <c r="I6" s="10" t="s">
        <v>28</v>
      </c>
      <c r="Q6" s="9" t="s">
        <v>29</v>
      </c>
      <c r="S6" s="9" t="s">
        <v>30</v>
      </c>
    </row>
    <row r="7">
      <c r="A7" s="7">
        <v>6.0</v>
      </c>
      <c r="B7" s="8">
        <v>0.20833333333333334</v>
      </c>
      <c r="C7" s="9" t="s">
        <v>10</v>
      </c>
      <c r="D7" s="9" t="s">
        <v>11</v>
      </c>
      <c r="E7" s="9" t="s">
        <v>12</v>
      </c>
      <c r="F7" s="9" t="s">
        <v>18</v>
      </c>
      <c r="G7" s="9" t="s">
        <v>14</v>
      </c>
      <c r="H7" s="7">
        <v>6.0</v>
      </c>
      <c r="I7" s="10" t="s">
        <v>31</v>
      </c>
      <c r="Q7" s="9" t="s">
        <v>32</v>
      </c>
      <c r="R7" s="9" t="s">
        <v>33</v>
      </c>
    </row>
    <row r="8">
      <c r="A8" s="7">
        <v>7.0</v>
      </c>
      <c r="B8" s="8">
        <v>0.25</v>
      </c>
      <c r="C8" s="9" t="s">
        <v>10</v>
      </c>
      <c r="D8" s="9" t="s">
        <v>11</v>
      </c>
      <c r="E8" s="9" t="s">
        <v>12</v>
      </c>
      <c r="F8" s="9" t="s">
        <v>18</v>
      </c>
      <c r="G8" s="9" t="s">
        <v>14</v>
      </c>
      <c r="H8" s="7">
        <v>7.0</v>
      </c>
      <c r="I8" s="10" t="s">
        <v>34</v>
      </c>
      <c r="Q8" s="9" t="s">
        <v>35</v>
      </c>
    </row>
    <row r="9">
      <c r="A9" s="7">
        <v>8.0</v>
      </c>
      <c r="B9" s="8">
        <v>0.2916666666666667</v>
      </c>
      <c r="C9" s="9" t="s">
        <v>10</v>
      </c>
      <c r="D9" s="9" t="s">
        <v>11</v>
      </c>
      <c r="E9" s="9" t="s">
        <v>12</v>
      </c>
      <c r="F9" s="9" t="s">
        <v>18</v>
      </c>
      <c r="G9" s="9" t="s">
        <v>14</v>
      </c>
      <c r="H9" s="7">
        <v>8.0</v>
      </c>
      <c r="I9" s="10" t="s">
        <v>36</v>
      </c>
      <c r="Q9" s="9" t="s">
        <v>37</v>
      </c>
    </row>
    <row r="10">
      <c r="A10" s="7">
        <v>9.0</v>
      </c>
      <c r="B10" s="8">
        <v>0.3333333333333333</v>
      </c>
      <c r="C10" s="9" t="s">
        <v>10</v>
      </c>
      <c r="D10" s="9" t="s">
        <v>11</v>
      </c>
      <c r="E10" s="9" t="s">
        <v>12</v>
      </c>
      <c r="F10" s="9" t="s">
        <v>18</v>
      </c>
      <c r="G10" s="9" t="s">
        <v>14</v>
      </c>
      <c r="H10" s="7">
        <v>9.0</v>
      </c>
      <c r="I10" s="10" t="s">
        <v>38</v>
      </c>
      <c r="Q10" s="9" t="s">
        <v>4</v>
      </c>
    </row>
    <row r="11">
      <c r="A11" s="7">
        <v>10.0</v>
      </c>
      <c r="B11" s="8">
        <v>0.375</v>
      </c>
      <c r="C11" s="9" t="s">
        <v>10</v>
      </c>
      <c r="D11" s="9" t="s">
        <v>11</v>
      </c>
      <c r="E11" s="9" t="s">
        <v>12</v>
      </c>
      <c r="F11" s="9" t="s">
        <v>18</v>
      </c>
      <c r="G11" s="9" t="s">
        <v>14</v>
      </c>
      <c r="H11" s="7">
        <v>10.0</v>
      </c>
      <c r="I11" s="10" t="s">
        <v>39</v>
      </c>
      <c r="Q11" s="9" t="s">
        <v>40</v>
      </c>
    </row>
    <row r="12">
      <c r="A12" s="7">
        <v>11.0</v>
      </c>
      <c r="B12" s="8">
        <v>0.4166666666666667</v>
      </c>
      <c r="C12" s="9" t="s">
        <v>10</v>
      </c>
      <c r="D12" s="9" t="s">
        <v>11</v>
      </c>
      <c r="E12" s="9" t="s">
        <v>12</v>
      </c>
      <c r="F12" s="9" t="s">
        <v>18</v>
      </c>
      <c r="G12" s="9" t="s">
        <v>14</v>
      </c>
      <c r="H12" s="7">
        <v>11.0</v>
      </c>
      <c r="I12" s="10" t="s">
        <v>41</v>
      </c>
      <c r="Q12" s="9" t="s">
        <v>42</v>
      </c>
    </row>
    <row r="13">
      <c r="A13" s="7">
        <v>12.0</v>
      </c>
      <c r="B13" s="8">
        <v>0.4583333333333333</v>
      </c>
      <c r="C13" s="9" t="s">
        <v>10</v>
      </c>
      <c r="D13" s="9" t="s">
        <v>11</v>
      </c>
      <c r="E13" s="9" t="s">
        <v>12</v>
      </c>
      <c r="F13" s="9" t="s">
        <v>18</v>
      </c>
      <c r="G13" s="9" t="s">
        <v>14</v>
      </c>
      <c r="H13" s="7">
        <v>12.0</v>
      </c>
      <c r="I13" s="10" t="s">
        <v>43</v>
      </c>
      <c r="Q13" s="9" t="s">
        <v>44</v>
      </c>
    </row>
    <row r="14">
      <c r="A14" s="7">
        <v>13.0</v>
      </c>
      <c r="B14" s="8">
        <v>0.5</v>
      </c>
      <c r="C14" s="9" t="s">
        <v>10</v>
      </c>
      <c r="D14" s="9" t="s">
        <v>11</v>
      </c>
      <c r="E14" s="9" t="s">
        <v>12</v>
      </c>
      <c r="F14" s="9" t="s">
        <v>45</v>
      </c>
      <c r="G14" s="9" t="s">
        <v>14</v>
      </c>
      <c r="H14" s="7">
        <v>13.0</v>
      </c>
      <c r="I14" s="13" t="s">
        <v>15</v>
      </c>
    </row>
    <row r="15">
      <c r="A15" s="7">
        <v>14.0</v>
      </c>
      <c r="B15" s="8">
        <v>0.5416666666666666</v>
      </c>
      <c r="C15" s="9" t="s">
        <v>10</v>
      </c>
      <c r="D15" s="9" t="s">
        <v>11</v>
      </c>
      <c r="E15" s="9" t="s">
        <v>12</v>
      </c>
      <c r="F15" s="9" t="s">
        <v>45</v>
      </c>
      <c r="G15" s="9" t="s">
        <v>14</v>
      </c>
      <c r="H15" s="7">
        <v>14.0</v>
      </c>
      <c r="I15" s="14" t="s">
        <v>19</v>
      </c>
    </row>
    <row r="16">
      <c r="A16" s="7">
        <v>15.0</v>
      </c>
      <c r="B16" s="8">
        <v>0.5833333333333334</v>
      </c>
      <c r="C16" s="9" t="s">
        <v>10</v>
      </c>
      <c r="D16" s="9" t="s">
        <v>11</v>
      </c>
      <c r="E16" s="9" t="s">
        <v>12</v>
      </c>
      <c r="F16" s="9" t="s">
        <v>45</v>
      </c>
      <c r="G16" s="9" t="s">
        <v>14</v>
      </c>
      <c r="H16" s="7">
        <v>15.0</v>
      </c>
      <c r="I16" s="14" t="s">
        <v>22</v>
      </c>
    </row>
    <row r="17">
      <c r="A17" s="7">
        <v>16.0</v>
      </c>
      <c r="B17" s="8">
        <v>0.625</v>
      </c>
      <c r="C17" s="9" t="s">
        <v>10</v>
      </c>
      <c r="D17" s="9" t="s">
        <v>11</v>
      </c>
      <c r="E17" s="9" t="s">
        <v>12</v>
      </c>
      <c r="F17" s="9" t="s">
        <v>45</v>
      </c>
      <c r="G17" s="9" t="s">
        <v>14</v>
      </c>
      <c r="H17" s="7">
        <v>16.0</v>
      </c>
      <c r="I17" s="14" t="s">
        <v>25</v>
      </c>
    </row>
    <row r="18">
      <c r="A18" s="7">
        <v>17.0</v>
      </c>
      <c r="B18" s="8">
        <v>0.6666666666666666</v>
      </c>
      <c r="C18" s="9" t="s">
        <v>10</v>
      </c>
      <c r="D18" s="9" t="s">
        <v>11</v>
      </c>
      <c r="E18" s="9" t="s">
        <v>12</v>
      </c>
      <c r="F18" s="9" t="s">
        <v>45</v>
      </c>
      <c r="G18" s="9" t="s">
        <v>14</v>
      </c>
      <c r="H18" s="7">
        <v>17.0</v>
      </c>
      <c r="I18" s="14" t="s">
        <v>28</v>
      </c>
    </row>
    <row r="19">
      <c r="A19" s="7">
        <v>18.0</v>
      </c>
      <c r="B19" s="8">
        <v>0.7083333333333334</v>
      </c>
      <c r="C19" s="9" t="s">
        <v>10</v>
      </c>
      <c r="D19" s="9" t="s">
        <v>11</v>
      </c>
      <c r="E19" s="9" t="s">
        <v>12</v>
      </c>
      <c r="F19" s="9" t="s">
        <v>46</v>
      </c>
      <c r="G19" s="9" t="s">
        <v>14</v>
      </c>
      <c r="H19" s="7">
        <v>18.0</v>
      </c>
      <c r="I19" s="14" t="s">
        <v>31</v>
      </c>
    </row>
    <row r="20">
      <c r="A20" s="7">
        <v>19.0</v>
      </c>
      <c r="B20" s="8">
        <v>0.75</v>
      </c>
      <c r="C20" s="9" t="s">
        <v>10</v>
      </c>
      <c r="D20" s="9" t="s">
        <v>11</v>
      </c>
      <c r="E20" s="9" t="s">
        <v>12</v>
      </c>
      <c r="F20" s="9" t="s">
        <v>46</v>
      </c>
      <c r="G20" s="9" t="s">
        <v>14</v>
      </c>
      <c r="H20" s="7">
        <v>19.0</v>
      </c>
      <c r="I20" s="14" t="s">
        <v>34</v>
      </c>
    </row>
    <row r="21">
      <c r="A21" s="7">
        <v>20.0</v>
      </c>
      <c r="B21" s="8">
        <v>0.7916666666666666</v>
      </c>
      <c r="C21" s="9" t="s">
        <v>10</v>
      </c>
      <c r="D21" s="9" t="s">
        <v>11</v>
      </c>
      <c r="E21" s="9" t="s">
        <v>12</v>
      </c>
      <c r="F21" s="9" t="s">
        <v>46</v>
      </c>
      <c r="G21" s="9" t="s">
        <v>14</v>
      </c>
      <c r="H21" s="7">
        <v>20.0</v>
      </c>
      <c r="I21" s="14" t="s">
        <v>36</v>
      </c>
    </row>
    <row r="22">
      <c r="A22" s="7">
        <v>21.0</v>
      </c>
      <c r="B22" s="8">
        <v>0.8333333333333334</v>
      </c>
      <c r="C22" s="9" t="s">
        <v>10</v>
      </c>
      <c r="D22" s="9" t="s">
        <v>11</v>
      </c>
      <c r="E22" s="9" t="s">
        <v>12</v>
      </c>
      <c r="F22" s="9" t="s">
        <v>46</v>
      </c>
      <c r="G22" s="9" t="s">
        <v>14</v>
      </c>
      <c r="H22" s="7">
        <v>21.0</v>
      </c>
      <c r="I22" s="14" t="s">
        <v>38</v>
      </c>
    </row>
    <row r="23">
      <c r="A23" s="7">
        <v>22.0</v>
      </c>
      <c r="B23" s="8">
        <v>0.875</v>
      </c>
      <c r="C23" s="9" t="s">
        <v>10</v>
      </c>
      <c r="D23" s="9" t="s">
        <v>11</v>
      </c>
      <c r="E23" s="9" t="s">
        <v>12</v>
      </c>
      <c r="F23" s="9" t="s">
        <v>47</v>
      </c>
      <c r="G23" s="9" t="s">
        <v>14</v>
      </c>
      <c r="H23" s="7">
        <v>22.0</v>
      </c>
      <c r="I23" s="14" t="s">
        <v>39</v>
      </c>
    </row>
    <row r="24">
      <c r="A24" s="7">
        <v>23.0</v>
      </c>
      <c r="B24" s="8">
        <v>0.9166666666666666</v>
      </c>
      <c r="C24" s="9" t="s">
        <v>10</v>
      </c>
      <c r="D24" s="9" t="s">
        <v>11</v>
      </c>
      <c r="E24" s="9" t="s">
        <v>12</v>
      </c>
      <c r="F24" s="9" t="s">
        <v>47</v>
      </c>
      <c r="G24" s="9" t="s">
        <v>14</v>
      </c>
      <c r="H24" s="7">
        <v>23.0</v>
      </c>
      <c r="I24" s="14" t="s">
        <v>41</v>
      </c>
    </row>
    <row r="25">
      <c r="A25" s="7">
        <v>24.0</v>
      </c>
      <c r="B25" s="8">
        <v>0.9583333333333334</v>
      </c>
      <c r="C25" s="9" t="s">
        <v>10</v>
      </c>
      <c r="D25" s="9" t="s">
        <v>11</v>
      </c>
      <c r="E25" s="9" t="s">
        <v>12</v>
      </c>
      <c r="F25" s="9" t="s">
        <v>47</v>
      </c>
      <c r="G25" s="9" t="s">
        <v>14</v>
      </c>
      <c r="H25" s="7">
        <v>24.0</v>
      </c>
      <c r="I25" s="14" t="s">
        <v>43</v>
      </c>
    </row>
    <row r="26">
      <c r="A26" s="7">
        <v>25.0</v>
      </c>
      <c r="B26" s="15" t="s">
        <v>48</v>
      </c>
      <c r="C26" s="9" t="s">
        <v>49</v>
      </c>
      <c r="D26" s="16"/>
      <c r="E26" s="9" t="s">
        <v>12</v>
      </c>
      <c r="F26" s="9" t="s">
        <v>50</v>
      </c>
      <c r="G26" s="9" t="s">
        <v>14</v>
      </c>
      <c r="H26" s="7">
        <v>25.0</v>
      </c>
      <c r="I26" s="17" t="s">
        <v>51</v>
      </c>
    </row>
    <row r="27">
      <c r="A27" s="7">
        <v>26.0</v>
      </c>
      <c r="B27" s="18" t="s">
        <v>52</v>
      </c>
      <c r="C27" s="9" t="s">
        <v>53</v>
      </c>
      <c r="D27" s="16"/>
      <c r="E27" s="9" t="s">
        <v>12</v>
      </c>
      <c r="H27" s="7">
        <v>26.0</v>
      </c>
    </row>
    <row r="28">
      <c r="A28" s="7">
        <v>27.0</v>
      </c>
      <c r="B28" s="18" t="s">
        <v>54</v>
      </c>
      <c r="C28" s="9" t="s">
        <v>53</v>
      </c>
      <c r="D28" s="9" t="s">
        <v>55</v>
      </c>
      <c r="E28" s="9" t="s">
        <v>12</v>
      </c>
      <c r="F28" s="16"/>
      <c r="G28" s="9" t="s">
        <v>14</v>
      </c>
      <c r="H28" s="7">
        <v>27.0</v>
      </c>
      <c r="I28" s="10" t="s">
        <v>56</v>
      </c>
    </row>
    <row r="29">
      <c r="A29" s="7">
        <v>28.0</v>
      </c>
      <c r="B29" s="18" t="s">
        <v>54</v>
      </c>
      <c r="C29" s="9" t="s">
        <v>57</v>
      </c>
      <c r="D29" s="16"/>
      <c r="E29" s="9" t="s">
        <v>12</v>
      </c>
      <c r="F29" s="16"/>
      <c r="G29" s="9" t="s">
        <v>14</v>
      </c>
      <c r="H29" s="7">
        <v>28.0</v>
      </c>
      <c r="I29" s="17" t="s">
        <v>58</v>
      </c>
    </row>
    <row r="30">
      <c r="A30" s="7">
        <v>29.0</v>
      </c>
      <c r="B30" s="18" t="s">
        <v>54</v>
      </c>
      <c r="C30" s="9" t="s">
        <v>59</v>
      </c>
      <c r="D30" s="16"/>
      <c r="E30" s="9" t="s">
        <v>12</v>
      </c>
      <c r="F30" s="16"/>
      <c r="G30" s="9" t="s">
        <v>14</v>
      </c>
      <c r="H30" s="7">
        <v>29.0</v>
      </c>
      <c r="I30" s="17" t="s">
        <v>58</v>
      </c>
    </row>
    <row r="31">
      <c r="A31" s="7">
        <v>30.0</v>
      </c>
      <c r="B31" s="18" t="s">
        <v>54</v>
      </c>
      <c r="C31" s="9" t="s">
        <v>10</v>
      </c>
      <c r="D31" s="16"/>
      <c r="E31" s="9" t="s">
        <v>12</v>
      </c>
      <c r="F31" s="16"/>
      <c r="G31" s="9" t="s">
        <v>14</v>
      </c>
      <c r="H31" s="7">
        <v>30.0</v>
      </c>
      <c r="I31" s="17" t="s">
        <v>58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7">
        <v>31.0</v>
      </c>
      <c r="B32" s="18" t="s">
        <v>60</v>
      </c>
      <c r="C32" s="9" t="s">
        <v>61</v>
      </c>
      <c r="D32" s="16"/>
      <c r="E32" s="9" t="s">
        <v>62</v>
      </c>
      <c r="H32" s="7">
        <v>31.0</v>
      </c>
    </row>
    <row r="33">
      <c r="A33" s="7">
        <v>32.0</v>
      </c>
      <c r="B33" s="18" t="s">
        <v>63</v>
      </c>
      <c r="C33" s="9" t="s">
        <v>10</v>
      </c>
      <c r="D33" s="9" t="s">
        <v>64</v>
      </c>
      <c r="E33" s="9" t="s">
        <v>12</v>
      </c>
      <c r="H33" s="7">
        <v>32.0</v>
      </c>
      <c r="I33" s="10" t="s">
        <v>65</v>
      </c>
    </row>
    <row r="34">
      <c r="A34" s="7">
        <v>33.0</v>
      </c>
      <c r="B34" s="18" t="s">
        <v>66</v>
      </c>
      <c r="C34" s="9" t="s">
        <v>61</v>
      </c>
      <c r="D34" s="16"/>
      <c r="E34" s="9" t="s">
        <v>62</v>
      </c>
      <c r="H34" s="7">
        <v>33.0</v>
      </c>
      <c r="I34" s="10" t="s">
        <v>67</v>
      </c>
    </row>
    <row r="35">
      <c r="A35" s="7">
        <v>34.0</v>
      </c>
      <c r="B35" s="18" t="s">
        <v>68</v>
      </c>
      <c r="C35" s="9" t="s">
        <v>53</v>
      </c>
      <c r="D35" s="16"/>
      <c r="E35" s="9" t="s">
        <v>62</v>
      </c>
      <c r="H35" s="7">
        <v>34.0</v>
      </c>
      <c r="I35" s="10" t="s">
        <v>69</v>
      </c>
    </row>
    <row r="36">
      <c r="A36" s="7">
        <v>35.0</v>
      </c>
      <c r="B36" s="18" t="s">
        <v>70</v>
      </c>
      <c r="C36" s="9" t="s">
        <v>61</v>
      </c>
      <c r="D36" s="16"/>
      <c r="E36" s="9" t="s">
        <v>62</v>
      </c>
      <c r="H36" s="7">
        <v>35.0</v>
      </c>
    </row>
    <row r="37">
      <c r="A37" s="7">
        <v>36.0</v>
      </c>
      <c r="B37" s="18" t="s">
        <v>71</v>
      </c>
      <c r="C37" s="9" t="s">
        <v>10</v>
      </c>
      <c r="D37" s="16"/>
      <c r="E37" s="9" t="s">
        <v>62</v>
      </c>
      <c r="H37" s="7">
        <v>36.0</v>
      </c>
      <c r="I37" s="10" t="s">
        <v>72</v>
      </c>
    </row>
    <row r="38">
      <c r="A38" s="7">
        <v>37.0</v>
      </c>
      <c r="B38" s="18" t="s">
        <v>73</v>
      </c>
      <c r="C38" s="9" t="s">
        <v>10</v>
      </c>
      <c r="D38" s="9" t="s">
        <v>74</v>
      </c>
      <c r="E38" s="9" t="s">
        <v>12</v>
      </c>
      <c r="F38" s="16"/>
      <c r="G38" s="16"/>
      <c r="H38" s="7">
        <v>37.0</v>
      </c>
      <c r="I38" s="10" t="s">
        <v>75</v>
      </c>
    </row>
    <row r="39">
      <c r="A39" s="7">
        <v>38.0</v>
      </c>
      <c r="B39" s="18" t="s">
        <v>76</v>
      </c>
      <c r="C39" s="9" t="s">
        <v>53</v>
      </c>
      <c r="D39" s="16"/>
      <c r="E39" s="9" t="s">
        <v>12</v>
      </c>
      <c r="H39" s="7">
        <v>38.0</v>
      </c>
      <c r="I39" s="10" t="s">
        <v>77</v>
      </c>
    </row>
    <row r="40">
      <c r="A40" s="7">
        <v>39.0</v>
      </c>
      <c r="B40" s="18" t="s">
        <v>78</v>
      </c>
      <c r="C40" s="9" t="s">
        <v>10</v>
      </c>
      <c r="D40" s="16"/>
      <c r="E40" s="9" t="s">
        <v>62</v>
      </c>
      <c r="H40" s="7">
        <v>39.0</v>
      </c>
      <c r="I40" s="10" t="s">
        <v>79</v>
      </c>
    </row>
    <row r="41">
      <c r="A41" s="7">
        <v>40.0</v>
      </c>
      <c r="B41" s="18" t="s">
        <v>80</v>
      </c>
      <c r="C41" s="9" t="s">
        <v>59</v>
      </c>
      <c r="D41" s="16"/>
      <c r="E41" s="9" t="s">
        <v>12</v>
      </c>
      <c r="F41" s="16"/>
      <c r="G41" s="9" t="s">
        <v>14</v>
      </c>
      <c r="H41" s="7">
        <v>40.0</v>
      </c>
      <c r="I41" s="10" t="s">
        <v>81</v>
      </c>
    </row>
    <row r="42">
      <c r="A42" s="7">
        <v>41.0</v>
      </c>
      <c r="B42" s="18" t="s">
        <v>82</v>
      </c>
      <c r="C42" s="9" t="s">
        <v>10</v>
      </c>
      <c r="D42" s="16"/>
      <c r="E42" s="9" t="s">
        <v>62</v>
      </c>
      <c r="H42" s="7">
        <v>41.0</v>
      </c>
      <c r="I42" s="10" t="s">
        <v>83</v>
      </c>
    </row>
    <row r="43">
      <c r="A43" s="7">
        <v>42.0</v>
      </c>
      <c r="B43" s="18" t="s">
        <v>84</v>
      </c>
      <c r="C43" s="9" t="s">
        <v>10</v>
      </c>
      <c r="D43" s="16"/>
      <c r="E43" s="9" t="s">
        <v>62</v>
      </c>
      <c r="H43" s="7">
        <v>42.0</v>
      </c>
    </row>
    <row r="44">
      <c r="A44" s="7">
        <v>43.0</v>
      </c>
      <c r="B44" s="18" t="s">
        <v>85</v>
      </c>
      <c r="C44" s="9" t="s">
        <v>59</v>
      </c>
      <c r="D44" s="16"/>
      <c r="E44" s="9" t="s">
        <v>62</v>
      </c>
      <c r="H44" s="7">
        <v>43.0</v>
      </c>
      <c r="I44" s="10" t="s">
        <v>86</v>
      </c>
    </row>
    <row r="45">
      <c r="A45" s="7">
        <v>44.0</v>
      </c>
      <c r="B45" s="18" t="s">
        <v>87</v>
      </c>
      <c r="C45" s="9" t="s">
        <v>10</v>
      </c>
      <c r="D45" s="9" t="s">
        <v>26</v>
      </c>
      <c r="E45" s="9" t="s">
        <v>12</v>
      </c>
      <c r="H45" s="7">
        <v>44.0</v>
      </c>
      <c r="I45" s="10" t="s">
        <v>88</v>
      </c>
    </row>
    <row r="46">
      <c r="A46" s="7">
        <v>45.0</v>
      </c>
      <c r="B46" s="18" t="s">
        <v>89</v>
      </c>
      <c r="C46" s="9" t="s">
        <v>53</v>
      </c>
      <c r="D46" s="16"/>
      <c r="E46" s="9" t="s">
        <v>12</v>
      </c>
      <c r="H46" s="7">
        <v>45.0</v>
      </c>
      <c r="I46" s="10" t="s">
        <v>90</v>
      </c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>
      <c r="A47" s="7">
        <v>46.0</v>
      </c>
      <c r="B47" s="18" t="s">
        <v>91</v>
      </c>
      <c r="C47" s="9" t="s">
        <v>57</v>
      </c>
      <c r="D47" s="16"/>
      <c r="E47" s="9" t="s">
        <v>12</v>
      </c>
      <c r="H47" s="7">
        <v>46.0</v>
      </c>
      <c r="I47" s="10" t="s">
        <v>92</v>
      </c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>
      <c r="A48" s="7">
        <v>47.0</v>
      </c>
      <c r="B48" s="18" t="s">
        <v>93</v>
      </c>
      <c r="C48" s="9" t="s">
        <v>53</v>
      </c>
      <c r="D48" s="16"/>
      <c r="E48" s="9" t="s">
        <v>62</v>
      </c>
      <c r="H48" s="7">
        <v>47.0</v>
      </c>
      <c r="I48" s="10" t="s">
        <v>94</v>
      </c>
    </row>
    <row r="49">
      <c r="A49" s="7">
        <v>48.0</v>
      </c>
      <c r="B49" s="18" t="s">
        <v>95</v>
      </c>
      <c r="C49" s="9" t="s">
        <v>61</v>
      </c>
      <c r="D49" s="16"/>
      <c r="E49" s="9" t="s">
        <v>62</v>
      </c>
      <c r="H49" s="7">
        <v>48.0</v>
      </c>
    </row>
    <row r="50">
      <c r="A50" s="7">
        <v>49.0</v>
      </c>
      <c r="B50" s="18" t="s">
        <v>96</v>
      </c>
      <c r="C50" s="9" t="s">
        <v>61</v>
      </c>
      <c r="D50" s="16"/>
      <c r="E50" s="9" t="s">
        <v>12</v>
      </c>
      <c r="H50" s="7">
        <v>49.0</v>
      </c>
      <c r="I50" s="10" t="s">
        <v>97</v>
      </c>
    </row>
    <row r="51">
      <c r="A51" s="7">
        <v>50.0</v>
      </c>
      <c r="B51" s="18" t="s">
        <v>98</v>
      </c>
      <c r="C51" s="9" t="s">
        <v>59</v>
      </c>
      <c r="D51" s="16"/>
      <c r="E51" s="9" t="s">
        <v>62</v>
      </c>
      <c r="H51" s="7">
        <v>50.0</v>
      </c>
      <c r="I51" s="10" t="s">
        <v>99</v>
      </c>
    </row>
    <row r="52">
      <c r="A52" s="7">
        <v>51.0</v>
      </c>
      <c r="B52" s="18" t="s">
        <v>100</v>
      </c>
      <c r="C52" s="9" t="s">
        <v>61</v>
      </c>
      <c r="D52" s="16"/>
      <c r="E52" s="9" t="s">
        <v>62</v>
      </c>
      <c r="H52" s="7">
        <v>51.0</v>
      </c>
    </row>
    <row r="53">
      <c r="A53" s="7">
        <v>52.0</v>
      </c>
      <c r="B53" s="18" t="s">
        <v>101</v>
      </c>
      <c r="C53" s="9" t="s">
        <v>59</v>
      </c>
      <c r="D53" s="16"/>
      <c r="E53" s="9" t="s">
        <v>12</v>
      </c>
      <c r="H53" s="7">
        <v>52.0</v>
      </c>
      <c r="I53" s="10" t="s">
        <v>102</v>
      </c>
    </row>
    <row r="54">
      <c r="A54" s="7">
        <v>53.0</v>
      </c>
      <c r="B54" s="18" t="s">
        <v>103</v>
      </c>
      <c r="C54" s="9" t="s">
        <v>57</v>
      </c>
      <c r="D54" s="16"/>
      <c r="E54" s="9" t="s">
        <v>12</v>
      </c>
      <c r="H54" s="7">
        <v>53.0</v>
      </c>
    </row>
    <row r="55">
      <c r="A55" s="7">
        <v>54.0</v>
      </c>
      <c r="B55" s="21" t="s">
        <v>104</v>
      </c>
      <c r="C55" s="9" t="s">
        <v>59</v>
      </c>
      <c r="D55" s="16"/>
      <c r="E55" s="9" t="s">
        <v>62</v>
      </c>
      <c r="H55" s="7">
        <v>54.0</v>
      </c>
      <c r="I55" s="10" t="s">
        <v>105</v>
      </c>
    </row>
    <row r="56">
      <c r="A56" s="7">
        <v>55.0</v>
      </c>
      <c r="B56" s="18" t="s">
        <v>106</v>
      </c>
      <c r="C56" s="9" t="s">
        <v>107</v>
      </c>
      <c r="D56" s="16"/>
      <c r="E56" s="9" t="s">
        <v>12</v>
      </c>
      <c r="H56" s="7">
        <v>55.0</v>
      </c>
      <c r="I56" s="10" t="s">
        <v>108</v>
      </c>
    </row>
    <row r="57">
      <c r="A57" s="7">
        <v>56.0</v>
      </c>
      <c r="B57" s="18" t="s">
        <v>109</v>
      </c>
      <c r="C57" s="9" t="s">
        <v>59</v>
      </c>
      <c r="D57" s="9" t="s">
        <v>110</v>
      </c>
      <c r="E57" s="9" t="s">
        <v>12</v>
      </c>
      <c r="F57" s="16"/>
      <c r="G57" s="9" t="s">
        <v>111</v>
      </c>
      <c r="H57" s="7">
        <v>56.0</v>
      </c>
      <c r="I57" s="10" t="s">
        <v>112</v>
      </c>
    </row>
    <row r="58">
      <c r="A58" s="7">
        <v>57.0</v>
      </c>
      <c r="B58" s="18" t="s">
        <v>113</v>
      </c>
      <c r="C58" s="9" t="s">
        <v>59</v>
      </c>
      <c r="D58" s="16"/>
      <c r="E58" s="9" t="s">
        <v>62</v>
      </c>
      <c r="H58" s="7">
        <v>57.0</v>
      </c>
    </row>
    <row r="59">
      <c r="A59" s="7">
        <v>58.0</v>
      </c>
      <c r="B59" s="18" t="s">
        <v>114</v>
      </c>
      <c r="C59" s="9" t="s">
        <v>10</v>
      </c>
      <c r="D59" s="16"/>
      <c r="E59" s="9" t="s">
        <v>12</v>
      </c>
      <c r="H59" s="7">
        <v>58.0</v>
      </c>
    </row>
    <row r="60">
      <c r="A60" s="7">
        <v>59.0</v>
      </c>
      <c r="B60" s="18" t="s">
        <v>115</v>
      </c>
      <c r="C60" s="9" t="s">
        <v>10</v>
      </c>
      <c r="D60" s="9" t="s">
        <v>64</v>
      </c>
      <c r="E60" s="9" t="s">
        <v>12</v>
      </c>
      <c r="H60" s="7">
        <v>59.0</v>
      </c>
      <c r="I60" s="17" t="s">
        <v>116</v>
      </c>
    </row>
    <row r="61">
      <c r="A61" s="7">
        <v>60.0</v>
      </c>
      <c r="B61" s="18" t="s">
        <v>117</v>
      </c>
      <c r="C61" s="9" t="s">
        <v>61</v>
      </c>
      <c r="D61" s="16"/>
      <c r="E61" s="9" t="s">
        <v>62</v>
      </c>
      <c r="H61" s="7">
        <v>60.0</v>
      </c>
    </row>
    <row r="62">
      <c r="A62" s="7">
        <v>61.0</v>
      </c>
      <c r="B62" s="15" t="s">
        <v>118</v>
      </c>
      <c r="C62" s="9" t="s">
        <v>49</v>
      </c>
      <c r="D62" s="16"/>
      <c r="E62" s="9" t="s">
        <v>12</v>
      </c>
      <c r="F62" s="16"/>
      <c r="G62" s="9" t="s">
        <v>14</v>
      </c>
      <c r="H62" s="7">
        <v>61.0</v>
      </c>
      <c r="I62" s="10" t="s">
        <v>119</v>
      </c>
    </row>
    <row r="63">
      <c r="A63" s="7">
        <v>62.0</v>
      </c>
      <c r="B63" s="18" t="s">
        <v>120</v>
      </c>
      <c r="C63" s="9" t="s">
        <v>10</v>
      </c>
      <c r="D63" s="16"/>
      <c r="E63" s="9" t="s">
        <v>62</v>
      </c>
      <c r="H63" s="7">
        <v>62.0</v>
      </c>
      <c r="I63" s="10" t="s">
        <v>121</v>
      </c>
    </row>
    <row r="64">
      <c r="A64" s="7">
        <v>63.0</v>
      </c>
      <c r="B64" s="18" t="s">
        <v>122</v>
      </c>
      <c r="C64" s="9" t="s">
        <v>59</v>
      </c>
      <c r="D64" s="16"/>
      <c r="E64" s="9" t="s">
        <v>12</v>
      </c>
      <c r="H64" s="7">
        <v>63.0</v>
      </c>
      <c r="I64" s="10" t="s">
        <v>123</v>
      </c>
    </row>
    <row r="65">
      <c r="A65" s="7">
        <v>64.0</v>
      </c>
      <c r="B65" s="15" t="s">
        <v>124</v>
      </c>
      <c r="C65" s="9" t="s">
        <v>49</v>
      </c>
      <c r="D65" s="16"/>
      <c r="E65" s="9" t="s">
        <v>12</v>
      </c>
      <c r="F65" s="16"/>
      <c r="G65" s="9" t="s">
        <v>14</v>
      </c>
      <c r="H65" s="7">
        <v>64.0</v>
      </c>
      <c r="I65" s="10" t="s">
        <v>125</v>
      </c>
    </row>
    <row r="66">
      <c r="A66" s="7">
        <v>65.0</v>
      </c>
      <c r="B66" s="18" t="s">
        <v>124</v>
      </c>
      <c r="C66" s="9" t="s">
        <v>107</v>
      </c>
      <c r="D66" s="16"/>
      <c r="E66" s="9" t="s">
        <v>12</v>
      </c>
      <c r="F66" s="16"/>
      <c r="G66" s="9" t="s">
        <v>14</v>
      </c>
      <c r="H66" s="7">
        <v>65.0</v>
      </c>
      <c r="I66" s="10" t="s">
        <v>125</v>
      </c>
    </row>
    <row r="67">
      <c r="A67" s="7">
        <v>66.0</v>
      </c>
      <c r="B67" s="18" t="s">
        <v>126</v>
      </c>
      <c r="C67" s="9" t="s">
        <v>61</v>
      </c>
      <c r="D67" s="9" t="s">
        <v>40</v>
      </c>
      <c r="E67" s="9" t="s">
        <v>62</v>
      </c>
      <c r="H67" s="7">
        <v>66.0</v>
      </c>
      <c r="I67" s="10" t="s">
        <v>127</v>
      </c>
    </row>
    <row r="68">
      <c r="A68" s="7">
        <v>67.0</v>
      </c>
      <c r="B68" s="18" t="s">
        <v>128</v>
      </c>
      <c r="C68" s="9" t="s">
        <v>59</v>
      </c>
      <c r="D68" s="9" t="s">
        <v>23</v>
      </c>
      <c r="E68" s="9" t="s">
        <v>12</v>
      </c>
      <c r="F68" s="9" t="s">
        <v>50</v>
      </c>
      <c r="G68" s="9" t="s">
        <v>111</v>
      </c>
      <c r="H68" s="7">
        <v>67.0</v>
      </c>
      <c r="I68" s="10" t="s">
        <v>129</v>
      </c>
    </row>
    <row r="69">
      <c r="A69" s="7">
        <v>68.0</v>
      </c>
      <c r="B69" s="18" t="s">
        <v>128</v>
      </c>
      <c r="C69" s="9" t="s">
        <v>59</v>
      </c>
      <c r="D69" s="9" t="s">
        <v>23</v>
      </c>
      <c r="E69" s="9" t="s">
        <v>12</v>
      </c>
      <c r="H69" s="7">
        <v>68.0</v>
      </c>
      <c r="I69" s="10" t="s">
        <v>130</v>
      </c>
    </row>
    <row r="70">
      <c r="A70" s="7">
        <v>69.0</v>
      </c>
      <c r="B70" s="18" t="s">
        <v>131</v>
      </c>
      <c r="C70" s="9" t="s">
        <v>10</v>
      </c>
      <c r="D70" s="9" t="s">
        <v>132</v>
      </c>
      <c r="E70" s="9" t="s">
        <v>12</v>
      </c>
      <c r="F70" s="16"/>
      <c r="G70" s="9" t="s">
        <v>14</v>
      </c>
      <c r="H70" s="7">
        <v>69.0</v>
      </c>
      <c r="I70" s="10" t="s">
        <v>133</v>
      </c>
    </row>
    <row r="71">
      <c r="A71" s="7">
        <v>70.0</v>
      </c>
      <c r="B71" s="18" t="s">
        <v>134</v>
      </c>
      <c r="C71" s="9" t="s">
        <v>59</v>
      </c>
      <c r="D71" s="16"/>
      <c r="E71" s="9" t="s">
        <v>62</v>
      </c>
      <c r="H71" s="7">
        <v>70.0</v>
      </c>
      <c r="I71" s="10" t="s">
        <v>135</v>
      </c>
    </row>
    <row r="72">
      <c r="A72" s="7">
        <v>71.0</v>
      </c>
      <c r="B72" s="18" t="s">
        <v>136</v>
      </c>
      <c r="C72" s="9" t="s">
        <v>59</v>
      </c>
      <c r="D72" s="16"/>
      <c r="E72" s="9" t="s">
        <v>62</v>
      </c>
      <c r="H72" s="7">
        <v>71.0</v>
      </c>
    </row>
    <row r="73">
      <c r="A73" s="7">
        <v>72.0</v>
      </c>
      <c r="B73" s="18" t="s">
        <v>137</v>
      </c>
      <c r="C73" s="9" t="s">
        <v>10</v>
      </c>
      <c r="D73" s="16"/>
      <c r="E73" s="9" t="s">
        <v>12</v>
      </c>
      <c r="H73" s="7">
        <v>72.0</v>
      </c>
    </row>
    <row r="74">
      <c r="A74" s="7">
        <v>73.0</v>
      </c>
      <c r="B74" s="18" t="s">
        <v>137</v>
      </c>
      <c r="C74" s="9" t="s">
        <v>61</v>
      </c>
      <c r="D74" s="16"/>
      <c r="E74" s="9" t="s">
        <v>12</v>
      </c>
      <c r="H74" s="7">
        <v>73.0</v>
      </c>
    </row>
    <row r="75">
      <c r="A75" s="7">
        <v>74.0</v>
      </c>
      <c r="B75" s="18" t="s">
        <v>138</v>
      </c>
      <c r="C75" s="9" t="s">
        <v>61</v>
      </c>
      <c r="D75" s="16"/>
      <c r="E75" s="9" t="s">
        <v>12</v>
      </c>
      <c r="H75" s="7">
        <v>74.0</v>
      </c>
    </row>
    <row r="76">
      <c r="A76" s="7">
        <v>75.0</v>
      </c>
      <c r="B76" s="21" t="s">
        <v>139</v>
      </c>
      <c r="C76" s="9" t="s">
        <v>10</v>
      </c>
      <c r="D76" s="16"/>
      <c r="E76" s="9" t="s">
        <v>62</v>
      </c>
      <c r="F76" s="16"/>
      <c r="G76" s="16"/>
      <c r="H76" s="7">
        <v>75.0</v>
      </c>
      <c r="I76" s="10" t="s">
        <v>140</v>
      </c>
    </row>
    <row r="77">
      <c r="A77" s="7">
        <v>76.0</v>
      </c>
      <c r="B77" s="18" t="s">
        <v>141</v>
      </c>
      <c r="C77" s="9" t="s">
        <v>59</v>
      </c>
      <c r="D77" s="9" t="s">
        <v>23</v>
      </c>
      <c r="E77" s="9" t="s">
        <v>62</v>
      </c>
      <c r="H77" s="7">
        <v>76.0</v>
      </c>
      <c r="I77" s="10" t="s">
        <v>142</v>
      </c>
    </row>
    <row r="78">
      <c r="A78" s="7">
        <v>77.0</v>
      </c>
      <c r="B78" s="18" t="s">
        <v>143</v>
      </c>
      <c r="C78" s="9" t="s">
        <v>10</v>
      </c>
      <c r="D78" s="16"/>
      <c r="E78" s="9" t="s">
        <v>62</v>
      </c>
      <c r="H78" s="7">
        <v>77.0</v>
      </c>
    </row>
    <row r="79">
      <c r="A79" s="7">
        <v>78.0</v>
      </c>
      <c r="B79" s="18" t="s">
        <v>144</v>
      </c>
      <c r="C79" s="9" t="s">
        <v>10</v>
      </c>
      <c r="D79" s="22" t="s">
        <v>74</v>
      </c>
      <c r="E79" s="9" t="s">
        <v>12</v>
      </c>
      <c r="F79" s="16"/>
      <c r="G79" s="9" t="s">
        <v>14</v>
      </c>
      <c r="H79" s="7">
        <v>78.0</v>
      </c>
      <c r="I79" s="10" t="s">
        <v>145</v>
      </c>
    </row>
    <row r="80">
      <c r="A80" s="7">
        <v>79.0</v>
      </c>
      <c r="B80" s="18" t="s">
        <v>146</v>
      </c>
      <c r="C80" s="9" t="s">
        <v>61</v>
      </c>
      <c r="D80" s="16"/>
      <c r="E80" s="9" t="s">
        <v>62</v>
      </c>
      <c r="H80" s="7">
        <v>79.0</v>
      </c>
    </row>
    <row r="81">
      <c r="A81" s="7">
        <v>80.0</v>
      </c>
      <c r="B81" s="18" t="s">
        <v>147</v>
      </c>
      <c r="C81" s="9" t="s">
        <v>59</v>
      </c>
      <c r="D81" s="16"/>
      <c r="E81" s="9" t="s">
        <v>62</v>
      </c>
      <c r="H81" s="7">
        <v>80.0</v>
      </c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7">
        <v>81.0</v>
      </c>
      <c r="B82" s="15" t="s">
        <v>148</v>
      </c>
      <c r="C82" s="9" t="s">
        <v>10</v>
      </c>
      <c r="D82" s="9" t="s">
        <v>149</v>
      </c>
      <c r="E82" s="9" t="s">
        <v>12</v>
      </c>
      <c r="F82" s="16"/>
      <c r="G82" s="9" t="s">
        <v>14</v>
      </c>
      <c r="H82" s="7">
        <v>81.0</v>
      </c>
      <c r="I82" s="10" t="s">
        <v>150</v>
      </c>
    </row>
    <row r="83">
      <c r="A83" s="7">
        <v>82.0</v>
      </c>
      <c r="B83" s="18" t="s">
        <v>151</v>
      </c>
      <c r="C83" s="9" t="s">
        <v>61</v>
      </c>
      <c r="D83" s="16"/>
      <c r="E83" s="9" t="s">
        <v>62</v>
      </c>
      <c r="H83" s="7">
        <v>82.0</v>
      </c>
    </row>
    <row r="84">
      <c r="A84" s="7">
        <v>83.0</v>
      </c>
      <c r="B84" s="18" t="s">
        <v>152</v>
      </c>
      <c r="C84" s="9" t="s">
        <v>10</v>
      </c>
      <c r="D84" s="16"/>
      <c r="E84" s="9" t="s">
        <v>62</v>
      </c>
      <c r="H84" s="7">
        <v>83.0</v>
      </c>
    </row>
    <row r="85">
      <c r="A85" s="7">
        <v>84.0</v>
      </c>
      <c r="B85" s="18" t="s">
        <v>153</v>
      </c>
      <c r="C85" s="9" t="s">
        <v>10</v>
      </c>
      <c r="D85" s="9" t="s">
        <v>132</v>
      </c>
      <c r="E85" s="9" t="s">
        <v>12</v>
      </c>
      <c r="F85" s="16"/>
      <c r="G85" s="9" t="s">
        <v>14</v>
      </c>
      <c r="H85" s="7">
        <v>84.0</v>
      </c>
      <c r="I85" s="10" t="s">
        <v>154</v>
      </c>
    </row>
    <row r="86">
      <c r="A86" s="7">
        <v>85.0</v>
      </c>
      <c r="B86" s="18" t="s">
        <v>155</v>
      </c>
      <c r="C86" s="9" t="s">
        <v>61</v>
      </c>
      <c r="D86" s="16"/>
      <c r="E86" s="9" t="s">
        <v>62</v>
      </c>
      <c r="H86" s="7">
        <v>85.0</v>
      </c>
    </row>
    <row r="87">
      <c r="A87" s="7">
        <v>86.0</v>
      </c>
      <c r="B87" s="18" t="s">
        <v>156</v>
      </c>
      <c r="C87" s="9" t="s">
        <v>10</v>
      </c>
      <c r="D87" s="9" t="s">
        <v>26</v>
      </c>
      <c r="E87" s="9" t="s">
        <v>12</v>
      </c>
      <c r="H87" s="7">
        <v>86.0</v>
      </c>
      <c r="I87" s="10" t="s">
        <v>157</v>
      </c>
    </row>
    <row r="88">
      <c r="A88" s="7">
        <v>87.0</v>
      </c>
      <c r="B88" s="18" t="s">
        <v>158</v>
      </c>
      <c r="C88" s="9" t="s">
        <v>61</v>
      </c>
      <c r="D88" s="16"/>
      <c r="E88" s="9" t="s">
        <v>12</v>
      </c>
      <c r="H88" s="7">
        <v>87.0</v>
      </c>
      <c r="I88" s="10" t="s">
        <v>159</v>
      </c>
    </row>
    <row r="89">
      <c r="A89" s="7">
        <v>88.0</v>
      </c>
      <c r="B89" s="18" t="s">
        <v>160</v>
      </c>
      <c r="C89" s="9" t="s">
        <v>61</v>
      </c>
      <c r="D89" s="16"/>
      <c r="E89" s="9" t="s">
        <v>12</v>
      </c>
      <c r="H89" s="7">
        <v>88.0</v>
      </c>
    </row>
    <row r="90">
      <c r="A90" s="7">
        <v>89.0</v>
      </c>
      <c r="B90" s="18" t="s">
        <v>161</v>
      </c>
      <c r="C90" s="9" t="s">
        <v>61</v>
      </c>
      <c r="D90" s="16"/>
      <c r="E90" s="9" t="s">
        <v>62</v>
      </c>
      <c r="H90" s="7">
        <v>89.0</v>
      </c>
      <c r="I90" s="10" t="s">
        <v>162</v>
      </c>
    </row>
    <row r="91">
      <c r="A91" s="7">
        <v>90.0</v>
      </c>
      <c r="B91" s="18" t="s">
        <v>163</v>
      </c>
      <c r="C91" s="9" t="s">
        <v>10</v>
      </c>
      <c r="D91" s="16"/>
      <c r="E91" s="9" t="s">
        <v>62</v>
      </c>
      <c r="H91" s="7">
        <v>90.0</v>
      </c>
      <c r="I91" s="10" t="s">
        <v>164</v>
      </c>
    </row>
    <row r="92">
      <c r="A92" s="7">
        <v>91.0</v>
      </c>
      <c r="B92" s="15" t="s">
        <v>165</v>
      </c>
      <c r="C92" s="9" t="s">
        <v>53</v>
      </c>
      <c r="D92" s="16"/>
      <c r="E92" s="9" t="s">
        <v>12</v>
      </c>
      <c r="F92" s="16"/>
      <c r="G92" s="9" t="s">
        <v>14</v>
      </c>
      <c r="H92" s="7">
        <v>91.0</v>
      </c>
      <c r="I92" s="10" t="s">
        <v>166</v>
      </c>
    </row>
    <row r="93">
      <c r="A93" s="7">
        <v>92.0</v>
      </c>
      <c r="B93" s="15" t="s">
        <v>165</v>
      </c>
      <c r="C93" s="9" t="s">
        <v>10</v>
      </c>
      <c r="D93" s="16"/>
      <c r="E93" s="9" t="s">
        <v>12</v>
      </c>
      <c r="F93" s="16"/>
      <c r="G93" s="9" t="s">
        <v>14</v>
      </c>
      <c r="H93" s="7">
        <v>92.0</v>
      </c>
      <c r="I93" s="10" t="s">
        <v>166</v>
      </c>
    </row>
    <row r="94">
      <c r="A94" s="7">
        <v>93.0</v>
      </c>
      <c r="B94" s="21" t="s">
        <v>167</v>
      </c>
      <c r="C94" s="9" t="s">
        <v>10</v>
      </c>
      <c r="D94" s="16"/>
      <c r="E94" s="9" t="s">
        <v>62</v>
      </c>
      <c r="H94" s="7">
        <v>93.0</v>
      </c>
      <c r="I94" s="10" t="s">
        <v>168</v>
      </c>
    </row>
    <row r="95">
      <c r="A95" s="7">
        <v>94.0</v>
      </c>
      <c r="B95" s="18" t="s">
        <v>169</v>
      </c>
      <c r="C95" s="9" t="s">
        <v>61</v>
      </c>
      <c r="D95" s="16"/>
      <c r="E95" s="9" t="s">
        <v>62</v>
      </c>
      <c r="H95" s="7">
        <v>94.0</v>
      </c>
    </row>
    <row r="96">
      <c r="A96" s="7">
        <v>95.0</v>
      </c>
      <c r="B96" s="21" t="s">
        <v>170</v>
      </c>
      <c r="C96" s="9" t="s">
        <v>10</v>
      </c>
      <c r="D96" s="16"/>
      <c r="E96" s="9" t="s">
        <v>62</v>
      </c>
      <c r="H96" s="7">
        <v>95.0</v>
      </c>
      <c r="I96" s="10" t="s">
        <v>171</v>
      </c>
    </row>
    <row r="97">
      <c r="A97" s="7">
        <v>96.0</v>
      </c>
      <c r="B97" s="21" t="s">
        <v>172</v>
      </c>
      <c r="C97" s="9" t="s">
        <v>10</v>
      </c>
      <c r="D97" s="16"/>
      <c r="E97" s="9" t="s">
        <v>62</v>
      </c>
      <c r="H97" s="7">
        <v>96.0</v>
      </c>
      <c r="I97" s="10" t="s">
        <v>173</v>
      </c>
    </row>
    <row r="98">
      <c r="A98" s="7">
        <v>97.0</v>
      </c>
      <c r="B98" s="15" t="s">
        <v>174</v>
      </c>
      <c r="C98" s="9" t="s">
        <v>10</v>
      </c>
      <c r="D98" s="9" t="s">
        <v>149</v>
      </c>
      <c r="E98" s="9" t="s">
        <v>12</v>
      </c>
      <c r="F98" s="16"/>
      <c r="G98" s="9" t="s">
        <v>14</v>
      </c>
      <c r="H98" s="7">
        <v>97.0</v>
      </c>
      <c r="I98" s="10" t="s">
        <v>175</v>
      </c>
    </row>
    <row r="99">
      <c r="A99" s="7">
        <v>98.0</v>
      </c>
      <c r="B99" s="18" t="s">
        <v>176</v>
      </c>
      <c r="C99" s="9" t="s">
        <v>10</v>
      </c>
      <c r="D99" s="9" t="s">
        <v>16</v>
      </c>
      <c r="E99" s="9" t="s">
        <v>12</v>
      </c>
      <c r="F99" s="16"/>
      <c r="G99" s="9" t="s">
        <v>14</v>
      </c>
      <c r="H99" s="7">
        <v>98.0</v>
      </c>
      <c r="I99" s="10" t="s">
        <v>177</v>
      </c>
    </row>
    <row r="100">
      <c r="A100" s="7">
        <v>99.0</v>
      </c>
      <c r="B100" s="21" t="s">
        <v>178</v>
      </c>
      <c r="C100" s="9" t="s">
        <v>10</v>
      </c>
      <c r="D100" s="16"/>
      <c r="E100" s="9" t="s">
        <v>62</v>
      </c>
      <c r="H100" s="7">
        <v>99.0</v>
      </c>
      <c r="I100" s="10" t="s">
        <v>179</v>
      </c>
    </row>
    <row r="101">
      <c r="A101" s="7">
        <v>100.0</v>
      </c>
      <c r="B101" s="18" t="s">
        <v>180</v>
      </c>
      <c r="C101" s="9" t="s">
        <v>10</v>
      </c>
      <c r="D101" s="9" t="s">
        <v>26</v>
      </c>
      <c r="E101" s="9" t="s">
        <v>12</v>
      </c>
      <c r="H101" s="7">
        <v>100.0</v>
      </c>
      <c r="I101" s="17" t="s">
        <v>181</v>
      </c>
    </row>
    <row r="102">
      <c r="A102" s="7">
        <v>101.0</v>
      </c>
      <c r="B102" s="18" t="s">
        <v>182</v>
      </c>
      <c r="C102" s="9" t="s">
        <v>61</v>
      </c>
      <c r="D102" s="16"/>
      <c r="E102" s="9" t="s">
        <v>62</v>
      </c>
      <c r="H102" s="7">
        <v>101.0</v>
      </c>
    </row>
    <row r="103">
      <c r="A103" s="7">
        <v>102.0</v>
      </c>
      <c r="B103" s="18" t="s">
        <v>183</v>
      </c>
      <c r="C103" s="9" t="s">
        <v>10</v>
      </c>
      <c r="D103" s="16"/>
      <c r="E103" s="9" t="s">
        <v>62</v>
      </c>
      <c r="H103" s="7">
        <v>102.0</v>
      </c>
    </row>
    <row r="104">
      <c r="A104" s="7">
        <v>103.0</v>
      </c>
      <c r="B104" s="18" t="s">
        <v>184</v>
      </c>
      <c r="C104" s="9" t="s">
        <v>59</v>
      </c>
      <c r="D104" s="16"/>
      <c r="E104" s="9" t="s">
        <v>62</v>
      </c>
      <c r="H104" s="7">
        <v>103.0</v>
      </c>
    </row>
    <row r="105">
      <c r="A105" s="7">
        <v>104.0</v>
      </c>
      <c r="B105" s="21" t="s">
        <v>185</v>
      </c>
      <c r="C105" s="9" t="s">
        <v>10</v>
      </c>
      <c r="D105" s="16"/>
      <c r="E105" s="9" t="s">
        <v>62</v>
      </c>
      <c r="F105" s="16"/>
      <c r="G105" s="16"/>
      <c r="H105" s="7">
        <v>104.0</v>
      </c>
      <c r="I105" s="10" t="s">
        <v>186</v>
      </c>
    </row>
    <row r="106">
      <c r="A106" s="7">
        <v>105.0</v>
      </c>
      <c r="B106" s="18" t="s">
        <v>187</v>
      </c>
      <c r="C106" s="9" t="s">
        <v>59</v>
      </c>
      <c r="D106" s="9" t="s">
        <v>16</v>
      </c>
      <c r="E106" s="9" t="s">
        <v>12</v>
      </c>
      <c r="F106" s="16"/>
      <c r="G106" s="9" t="s">
        <v>14</v>
      </c>
      <c r="H106" s="7">
        <v>105.0</v>
      </c>
      <c r="I106" s="10" t="s">
        <v>188</v>
      </c>
    </row>
    <row r="107">
      <c r="A107" s="7">
        <v>106.0</v>
      </c>
      <c r="B107" s="18" t="s">
        <v>187</v>
      </c>
      <c r="C107" s="9" t="s">
        <v>61</v>
      </c>
      <c r="D107" s="16"/>
      <c r="E107" s="9" t="s">
        <v>12</v>
      </c>
      <c r="F107" s="16"/>
      <c r="G107" s="9" t="s">
        <v>14</v>
      </c>
      <c r="H107" s="7">
        <v>106.0</v>
      </c>
      <c r="I107" s="10" t="s">
        <v>188</v>
      </c>
    </row>
    <row r="108">
      <c r="A108" s="7">
        <v>107.0</v>
      </c>
      <c r="B108" s="18" t="s">
        <v>187</v>
      </c>
      <c r="C108" s="9" t="s">
        <v>10</v>
      </c>
      <c r="D108" s="16"/>
      <c r="E108" s="9" t="s">
        <v>12</v>
      </c>
      <c r="F108" s="16"/>
      <c r="G108" s="9" t="s">
        <v>14</v>
      </c>
      <c r="H108" s="7">
        <v>107.0</v>
      </c>
      <c r="I108" s="10" t="s">
        <v>189</v>
      </c>
    </row>
    <row r="109">
      <c r="A109" s="7">
        <v>108.0</v>
      </c>
      <c r="B109" s="15" t="s">
        <v>190</v>
      </c>
      <c r="C109" s="9" t="s">
        <v>10</v>
      </c>
      <c r="D109" s="9" t="s">
        <v>132</v>
      </c>
      <c r="E109" s="9" t="s">
        <v>12</v>
      </c>
      <c r="F109" s="16"/>
      <c r="G109" s="9" t="s">
        <v>14</v>
      </c>
      <c r="H109" s="7">
        <v>108.0</v>
      </c>
      <c r="I109" s="10" t="s">
        <v>191</v>
      </c>
    </row>
    <row r="110">
      <c r="A110" s="7">
        <v>109.0</v>
      </c>
      <c r="B110" s="18" t="s">
        <v>192</v>
      </c>
      <c r="C110" s="9" t="s">
        <v>53</v>
      </c>
      <c r="D110" s="9" t="s">
        <v>55</v>
      </c>
      <c r="E110" s="9" t="s">
        <v>12</v>
      </c>
      <c r="F110" s="16"/>
      <c r="G110" s="9" t="s">
        <v>14</v>
      </c>
      <c r="H110" s="7">
        <v>109.0</v>
      </c>
      <c r="I110" s="17" t="s">
        <v>193</v>
      </c>
    </row>
    <row r="111">
      <c r="A111" s="7">
        <v>110.0</v>
      </c>
      <c r="B111" s="18" t="s">
        <v>192</v>
      </c>
      <c r="C111" s="9" t="s">
        <v>59</v>
      </c>
      <c r="D111" s="16"/>
      <c r="E111" s="9" t="s">
        <v>12</v>
      </c>
      <c r="F111" s="16"/>
      <c r="G111" s="9" t="s">
        <v>14</v>
      </c>
      <c r="H111" s="7">
        <v>110.0</v>
      </c>
      <c r="I111" s="17" t="s">
        <v>193</v>
      </c>
    </row>
    <row r="112">
      <c r="A112" s="7">
        <v>111.0</v>
      </c>
      <c r="B112" s="18" t="s">
        <v>192</v>
      </c>
      <c r="C112" s="9" t="s">
        <v>57</v>
      </c>
      <c r="D112" s="16"/>
      <c r="E112" s="9" t="s">
        <v>12</v>
      </c>
      <c r="F112" s="16"/>
      <c r="G112" s="9" t="s">
        <v>14</v>
      </c>
      <c r="H112" s="7">
        <v>111.0</v>
      </c>
      <c r="I112" s="17" t="s">
        <v>193</v>
      </c>
    </row>
    <row r="113">
      <c r="A113" s="7">
        <v>112.0</v>
      </c>
      <c r="B113" s="18" t="s">
        <v>192</v>
      </c>
      <c r="C113" s="9" t="s">
        <v>61</v>
      </c>
      <c r="D113" s="16"/>
      <c r="E113" s="9" t="s">
        <v>12</v>
      </c>
      <c r="F113" s="16"/>
      <c r="G113" s="9" t="s">
        <v>14</v>
      </c>
      <c r="H113" s="7">
        <v>112.0</v>
      </c>
      <c r="I113" s="17" t="s">
        <v>193</v>
      </c>
      <c r="J113" s="9" t="s">
        <v>194</v>
      </c>
    </row>
    <row r="114">
      <c r="A114" s="7">
        <v>113.0</v>
      </c>
      <c r="B114" s="18" t="s">
        <v>195</v>
      </c>
      <c r="C114" s="9" t="s">
        <v>10</v>
      </c>
      <c r="D114" s="9" t="s">
        <v>196</v>
      </c>
      <c r="E114" s="9" t="s">
        <v>12</v>
      </c>
      <c r="H114" s="7">
        <v>113.0</v>
      </c>
      <c r="I114" s="10" t="s">
        <v>197</v>
      </c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>
      <c r="A115" s="7">
        <v>114.0</v>
      </c>
      <c r="B115" s="18" t="s">
        <v>198</v>
      </c>
      <c r="C115" s="9" t="s">
        <v>10</v>
      </c>
      <c r="D115" s="9" t="s">
        <v>196</v>
      </c>
      <c r="E115" s="9" t="s">
        <v>12</v>
      </c>
      <c r="H115" s="7">
        <v>114.0</v>
      </c>
      <c r="I115" s="10" t="s">
        <v>199</v>
      </c>
    </row>
    <row r="116">
      <c r="A116" s="7">
        <v>115.0</v>
      </c>
      <c r="B116" s="18" t="s">
        <v>200</v>
      </c>
      <c r="C116" s="9" t="s">
        <v>10</v>
      </c>
      <c r="D116" s="9" t="s">
        <v>74</v>
      </c>
      <c r="E116" s="9" t="s">
        <v>12</v>
      </c>
      <c r="F116" s="16"/>
      <c r="G116" s="9" t="s">
        <v>14</v>
      </c>
      <c r="H116" s="7">
        <v>115.0</v>
      </c>
      <c r="I116" s="10" t="s">
        <v>201</v>
      </c>
    </row>
    <row r="117">
      <c r="A117" s="7">
        <v>116.0</v>
      </c>
      <c r="B117" s="18" t="s">
        <v>202</v>
      </c>
      <c r="C117" s="9" t="s">
        <v>59</v>
      </c>
      <c r="D117" s="16"/>
      <c r="E117" s="9" t="s">
        <v>12</v>
      </c>
      <c r="F117" s="16"/>
      <c r="G117" s="9" t="s">
        <v>14</v>
      </c>
      <c r="H117" s="7">
        <v>116.0</v>
      </c>
      <c r="I117" s="10" t="s">
        <v>203</v>
      </c>
    </row>
    <row r="118">
      <c r="A118" s="7">
        <v>117.0</v>
      </c>
      <c r="B118" s="18" t="s">
        <v>202</v>
      </c>
      <c r="C118" s="9" t="s">
        <v>61</v>
      </c>
      <c r="D118" s="16"/>
      <c r="E118" s="9" t="s">
        <v>12</v>
      </c>
      <c r="F118" s="16"/>
      <c r="G118" s="9" t="s">
        <v>14</v>
      </c>
      <c r="H118" s="7">
        <v>117.0</v>
      </c>
      <c r="I118" s="10" t="s">
        <v>203</v>
      </c>
    </row>
    <row r="119">
      <c r="A119" s="7">
        <v>118.0</v>
      </c>
      <c r="B119" s="18" t="s">
        <v>202</v>
      </c>
      <c r="C119" s="9" t="s">
        <v>10</v>
      </c>
      <c r="D119" s="16"/>
      <c r="E119" s="9" t="s">
        <v>12</v>
      </c>
      <c r="F119" s="16"/>
      <c r="G119" s="9" t="s">
        <v>14</v>
      </c>
      <c r="H119" s="7">
        <v>118.0</v>
      </c>
      <c r="I119" s="10" t="s">
        <v>203</v>
      </c>
    </row>
    <row r="120">
      <c r="A120" s="7">
        <v>119.0</v>
      </c>
      <c r="B120" s="18" t="s">
        <v>204</v>
      </c>
      <c r="C120" s="9" t="s">
        <v>57</v>
      </c>
      <c r="D120" s="16"/>
      <c r="E120" s="9" t="s">
        <v>12</v>
      </c>
      <c r="F120" s="16"/>
      <c r="G120" s="9" t="s">
        <v>111</v>
      </c>
      <c r="H120" s="7">
        <v>119.0</v>
      </c>
      <c r="I120" s="10" t="s">
        <v>203</v>
      </c>
    </row>
    <row r="121">
      <c r="A121" s="7">
        <v>120.0</v>
      </c>
      <c r="B121" s="18" t="s">
        <v>205</v>
      </c>
      <c r="C121" s="9" t="s">
        <v>10</v>
      </c>
      <c r="D121" s="9" t="s">
        <v>196</v>
      </c>
      <c r="E121" s="9" t="s">
        <v>12</v>
      </c>
      <c r="F121" s="16"/>
      <c r="G121" s="9" t="s">
        <v>14</v>
      </c>
      <c r="H121" s="7">
        <v>120.0</v>
      </c>
      <c r="I121" s="10" t="s">
        <v>206</v>
      </c>
    </row>
    <row r="122">
      <c r="A122" s="7">
        <v>121.0</v>
      </c>
      <c r="B122" s="18" t="s">
        <v>207</v>
      </c>
      <c r="C122" s="9" t="s">
        <v>10</v>
      </c>
      <c r="D122" s="9" t="s">
        <v>74</v>
      </c>
      <c r="E122" s="9" t="s">
        <v>12</v>
      </c>
      <c r="F122" s="16"/>
      <c r="G122" s="9" t="s">
        <v>14</v>
      </c>
      <c r="H122" s="7">
        <v>121.0</v>
      </c>
      <c r="I122" s="10" t="s">
        <v>208</v>
      </c>
    </row>
    <row r="123">
      <c r="A123" s="7">
        <v>122.0</v>
      </c>
      <c r="B123" s="18" t="s">
        <v>209</v>
      </c>
      <c r="C123" s="9" t="s">
        <v>10</v>
      </c>
      <c r="D123" s="16"/>
      <c r="E123" s="9" t="s">
        <v>12</v>
      </c>
      <c r="F123" s="16"/>
      <c r="G123" s="9" t="s">
        <v>14</v>
      </c>
      <c r="H123" s="7">
        <v>122.0</v>
      </c>
      <c r="I123" s="10" t="s">
        <v>210</v>
      </c>
    </row>
    <row r="124">
      <c r="A124" s="7">
        <v>123.0</v>
      </c>
      <c r="B124" s="21" t="s">
        <v>211</v>
      </c>
      <c r="C124" s="9" t="s">
        <v>10</v>
      </c>
      <c r="D124" s="9" t="s">
        <v>40</v>
      </c>
      <c r="E124" s="9" t="s">
        <v>62</v>
      </c>
      <c r="H124" s="7">
        <v>123.0</v>
      </c>
      <c r="I124" s="10" t="s">
        <v>212</v>
      </c>
    </row>
    <row r="125">
      <c r="A125" s="7">
        <v>124.0</v>
      </c>
      <c r="B125" s="18" t="s">
        <v>213</v>
      </c>
      <c r="C125" s="9" t="s">
        <v>10</v>
      </c>
      <c r="D125" s="9" t="s">
        <v>196</v>
      </c>
      <c r="E125" s="9" t="s">
        <v>12</v>
      </c>
      <c r="F125" s="16"/>
      <c r="G125" s="9" t="s">
        <v>14</v>
      </c>
      <c r="H125" s="7">
        <v>124.0</v>
      </c>
      <c r="I125" s="10" t="s">
        <v>214</v>
      </c>
    </row>
    <row r="126">
      <c r="A126" s="7">
        <v>125.0</v>
      </c>
      <c r="B126" s="18" t="s">
        <v>215</v>
      </c>
      <c r="C126" s="9" t="s">
        <v>10</v>
      </c>
      <c r="D126" s="9" t="s">
        <v>37</v>
      </c>
      <c r="E126" s="9" t="s">
        <v>12</v>
      </c>
      <c r="F126" s="9" t="s">
        <v>50</v>
      </c>
      <c r="G126" s="9" t="s">
        <v>14</v>
      </c>
      <c r="H126" s="7">
        <v>125.0</v>
      </c>
      <c r="I126" s="10" t="s">
        <v>216</v>
      </c>
    </row>
    <row r="127">
      <c r="A127" s="7">
        <v>126.0</v>
      </c>
      <c r="B127" s="18" t="s">
        <v>215</v>
      </c>
      <c r="C127" s="9" t="s">
        <v>10</v>
      </c>
      <c r="D127" s="9" t="s">
        <v>196</v>
      </c>
      <c r="E127" s="9" t="s">
        <v>12</v>
      </c>
      <c r="F127" s="9" t="s">
        <v>50</v>
      </c>
      <c r="G127" s="9" t="s">
        <v>14</v>
      </c>
      <c r="H127" s="7">
        <v>126.0</v>
      </c>
      <c r="I127" s="10" t="s">
        <v>216</v>
      </c>
    </row>
    <row r="128">
      <c r="A128" s="7">
        <v>127.0</v>
      </c>
      <c r="B128" s="18" t="s">
        <v>217</v>
      </c>
      <c r="C128" s="9" t="s">
        <v>10</v>
      </c>
      <c r="D128" s="16"/>
      <c r="E128" s="9" t="s">
        <v>12</v>
      </c>
      <c r="F128" s="16"/>
      <c r="G128" s="9" t="s">
        <v>14</v>
      </c>
      <c r="H128" s="7">
        <v>127.0</v>
      </c>
      <c r="I128" s="10" t="s">
        <v>218</v>
      </c>
    </row>
    <row r="129">
      <c r="A129" s="7">
        <v>128.0</v>
      </c>
      <c r="B129" s="15" t="s">
        <v>219</v>
      </c>
      <c r="C129" s="9" t="s">
        <v>61</v>
      </c>
      <c r="D129" s="9" t="s">
        <v>220</v>
      </c>
      <c r="E129" s="9" t="s">
        <v>12</v>
      </c>
      <c r="F129" s="16"/>
      <c r="G129" s="9" t="s">
        <v>14</v>
      </c>
      <c r="H129" s="7">
        <v>128.0</v>
      </c>
      <c r="I129" s="10" t="s">
        <v>221</v>
      </c>
    </row>
    <row r="130">
      <c r="A130" s="7">
        <v>129.0</v>
      </c>
      <c r="B130" s="18" t="s">
        <v>222</v>
      </c>
      <c r="C130" s="9" t="s">
        <v>10</v>
      </c>
      <c r="D130" s="9" t="s">
        <v>26</v>
      </c>
      <c r="E130" s="9" t="s">
        <v>12</v>
      </c>
      <c r="F130" s="16"/>
      <c r="G130" s="9" t="s">
        <v>14</v>
      </c>
      <c r="H130" s="7">
        <v>129.0</v>
      </c>
      <c r="I130" s="10" t="s">
        <v>221</v>
      </c>
    </row>
    <row r="131">
      <c r="A131" s="7">
        <v>130.0</v>
      </c>
      <c r="B131" s="18" t="s">
        <v>222</v>
      </c>
      <c r="C131" s="9" t="s">
        <v>61</v>
      </c>
      <c r="D131" s="16"/>
      <c r="E131" s="9" t="s">
        <v>12</v>
      </c>
      <c r="F131" s="16"/>
      <c r="G131" s="9" t="s">
        <v>14</v>
      </c>
      <c r="H131" s="7">
        <v>130.0</v>
      </c>
      <c r="I131" s="10" t="s">
        <v>221</v>
      </c>
    </row>
    <row r="132">
      <c r="A132" s="7">
        <v>131.0</v>
      </c>
      <c r="B132" s="18" t="s">
        <v>223</v>
      </c>
      <c r="C132" s="9" t="s">
        <v>10</v>
      </c>
      <c r="D132" s="9" t="s">
        <v>74</v>
      </c>
      <c r="E132" s="9" t="s">
        <v>12</v>
      </c>
      <c r="F132" s="16"/>
      <c r="G132" s="9" t="s">
        <v>224</v>
      </c>
      <c r="H132" s="7">
        <v>131.0</v>
      </c>
      <c r="I132" s="10" t="s">
        <v>225</v>
      </c>
    </row>
    <row r="133">
      <c r="A133" s="7">
        <v>132.0</v>
      </c>
      <c r="B133" s="18" t="s">
        <v>226</v>
      </c>
      <c r="C133" s="9" t="s">
        <v>59</v>
      </c>
      <c r="D133" s="9" t="s">
        <v>110</v>
      </c>
      <c r="E133" s="9" t="s">
        <v>12</v>
      </c>
      <c r="F133" s="16"/>
      <c r="G133" s="9" t="s">
        <v>111</v>
      </c>
      <c r="H133" s="7">
        <v>132.0</v>
      </c>
      <c r="I133" s="10" t="s">
        <v>227</v>
      </c>
    </row>
    <row r="134">
      <c r="A134" s="7">
        <v>133.0</v>
      </c>
      <c r="B134" s="18" t="s">
        <v>228</v>
      </c>
      <c r="C134" s="9" t="s">
        <v>10</v>
      </c>
      <c r="D134" s="9" t="s">
        <v>196</v>
      </c>
      <c r="E134" s="9" t="s">
        <v>12</v>
      </c>
      <c r="H134" s="7">
        <v>133.0</v>
      </c>
      <c r="I134" s="10" t="s">
        <v>229</v>
      </c>
    </row>
    <row r="135">
      <c r="A135" s="7">
        <v>134.0</v>
      </c>
      <c r="B135" s="18" t="s">
        <v>230</v>
      </c>
      <c r="C135" s="9" t="s">
        <v>10</v>
      </c>
      <c r="D135" s="9" t="s">
        <v>37</v>
      </c>
      <c r="E135" s="9" t="s">
        <v>12</v>
      </c>
      <c r="F135" s="9" t="s">
        <v>50</v>
      </c>
      <c r="G135" s="9" t="s">
        <v>14</v>
      </c>
      <c r="H135" s="7">
        <v>134.0</v>
      </c>
      <c r="I135" s="10" t="s">
        <v>231</v>
      </c>
    </row>
    <row r="136">
      <c r="A136" s="7">
        <v>135.0</v>
      </c>
      <c r="B136" s="18" t="s">
        <v>232</v>
      </c>
      <c r="C136" s="9" t="s">
        <v>61</v>
      </c>
      <c r="D136" s="16"/>
      <c r="E136" s="9" t="s">
        <v>62</v>
      </c>
      <c r="H136" s="7">
        <v>135.0</v>
      </c>
      <c r="I136" s="10" t="s">
        <v>233</v>
      </c>
    </row>
    <row r="137">
      <c r="A137" s="7">
        <v>136.0</v>
      </c>
      <c r="B137" s="18" t="s">
        <v>234</v>
      </c>
      <c r="C137" s="9" t="s">
        <v>59</v>
      </c>
      <c r="D137" s="9" t="s">
        <v>11</v>
      </c>
      <c r="E137" s="9" t="s">
        <v>12</v>
      </c>
      <c r="F137" s="16"/>
      <c r="G137" s="9" t="s">
        <v>111</v>
      </c>
      <c r="H137" s="7">
        <v>136.0</v>
      </c>
      <c r="I137" s="23" t="s">
        <v>235</v>
      </c>
    </row>
    <row r="138">
      <c r="A138" s="7">
        <v>137.0</v>
      </c>
      <c r="B138" s="18" t="s">
        <v>234</v>
      </c>
      <c r="C138" s="9" t="s">
        <v>10</v>
      </c>
      <c r="D138" s="16"/>
      <c r="E138" s="9" t="s">
        <v>12</v>
      </c>
      <c r="F138" s="16"/>
      <c r="G138" s="9" t="s">
        <v>111</v>
      </c>
      <c r="H138" s="7">
        <v>137.0</v>
      </c>
      <c r="I138" s="10" t="s">
        <v>235</v>
      </c>
    </row>
    <row r="139">
      <c r="A139" s="7">
        <v>138.0</v>
      </c>
      <c r="B139" s="18" t="s">
        <v>234</v>
      </c>
      <c r="C139" s="9" t="s">
        <v>61</v>
      </c>
      <c r="D139" s="16"/>
      <c r="E139" s="9" t="s">
        <v>12</v>
      </c>
      <c r="F139" s="16"/>
      <c r="G139" s="9" t="s">
        <v>111</v>
      </c>
      <c r="H139" s="7">
        <v>138.0</v>
      </c>
      <c r="I139" s="10" t="s">
        <v>235</v>
      </c>
    </row>
    <row r="140">
      <c r="A140" s="7">
        <v>139.0</v>
      </c>
      <c r="B140" s="18" t="s">
        <v>236</v>
      </c>
      <c r="C140" s="9" t="s">
        <v>53</v>
      </c>
      <c r="D140" s="9" t="s">
        <v>55</v>
      </c>
      <c r="E140" s="9" t="s">
        <v>12</v>
      </c>
      <c r="F140" s="16"/>
      <c r="G140" s="9" t="s">
        <v>14</v>
      </c>
      <c r="H140" s="7">
        <v>139.0</v>
      </c>
      <c r="I140" s="10" t="s">
        <v>237</v>
      </c>
    </row>
    <row r="141">
      <c r="A141" s="7">
        <v>140.0</v>
      </c>
      <c r="B141" s="18" t="s">
        <v>236</v>
      </c>
      <c r="C141" s="9" t="s">
        <v>10</v>
      </c>
      <c r="D141" s="16"/>
      <c r="E141" s="9" t="s">
        <v>12</v>
      </c>
      <c r="F141" s="16"/>
      <c r="G141" s="9" t="s">
        <v>14</v>
      </c>
      <c r="H141" s="7">
        <v>140.0</v>
      </c>
      <c r="I141" s="10" t="s">
        <v>237</v>
      </c>
    </row>
    <row r="142">
      <c r="A142" s="7">
        <v>141.0</v>
      </c>
      <c r="B142" s="18" t="s">
        <v>236</v>
      </c>
      <c r="C142" s="9" t="s">
        <v>57</v>
      </c>
      <c r="D142" s="16"/>
      <c r="E142" s="9" t="s">
        <v>12</v>
      </c>
      <c r="F142" s="16"/>
      <c r="G142" s="9" t="s">
        <v>14</v>
      </c>
      <c r="H142" s="7">
        <v>141.0</v>
      </c>
      <c r="I142" s="10" t="s">
        <v>237</v>
      </c>
    </row>
    <row r="143">
      <c r="A143" s="7">
        <v>142.0</v>
      </c>
      <c r="B143" s="21" t="s">
        <v>238</v>
      </c>
      <c r="C143" s="9" t="s">
        <v>59</v>
      </c>
      <c r="D143" s="16"/>
      <c r="E143" s="9" t="s">
        <v>62</v>
      </c>
      <c r="F143" s="16"/>
      <c r="G143" s="16"/>
      <c r="H143" s="7">
        <v>142.0</v>
      </c>
      <c r="I143" s="10" t="s">
        <v>239</v>
      </c>
    </row>
    <row r="144">
      <c r="A144" s="7">
        <v>143.0</v>
      </c>
      <c r="B144" s="18" t="s">
        <v>240</v>
      </c>
      <c r="C144" s="9" t="s">
        <v>10</v>
      </c>
      <c r="D144" s="9" t="s">
        <v>132</v>
      </c>
      <c r="E144" s="9" t="s">
        <v>12</v>
      </c>
      <c r="F144" s="16"/>
      <c r="G144" s="9" t="s">
        <v>14</v>
      </c>
      <c r="H144" s="7">
        <v>143.0</v>
      </c>
      <c r="I144" s="10" t="s">
        <v>241</v>
      </c>
    </row>
    <row r="145">
      <c r="A145" s="7">
        <v>144.0</v>
      </c>
      <c r="B145" s="18" t="s">
        <v>242</v>
      </c>
      <c r="C145" s="9" t="s">
        <v>53</v>
      </c>
      <c r="D145" s="9" t="s">
        <v>55</v>
      </c>
      <c r="E145" s="9" t="s">
        <v>12</v>
      </c>
      <c r="F145" s="16"/>
      <c r="G145" s="9" t="s">
        <v>14</v>
      </c>
      <c r="H145" s="7">
        <v>144.0</v>
      </c>
      <c r="I145" s="10" t="s">
        <v>243</v>
      </c>
    </row>
    <row r="146">
      <c r="A146" s="7">
        <v>145.0</v>
      </c>
      <c r="B146" s="18" t="s">
        <v>242</v>
      </c>
      <c r="C146" s="9" t="s">
        <v>57</v>
      </c>
      <c r="D146" s="16"/>
      <c r="E146" s="9" t="s">
        <v>12</v>
      </c>
      <c r="F146" s="16"/>
      <c r="G146" s="9" t="s">
        <v>14</v>
      </c>
      <c r="H146" s="7">
        <v>145.0</v>
      </c>
      <c r="I146" s="10" t="s">
        <v>244</v>
      </c>
    </row>
    <row r="147">
      <c r="A147" s="7">
        <v>146.0</v>
      </c>
      <c r="B147" s="18" t="s">
        <v>245</v>
      </c>
      <c r="C147" s="9" t="s">
        <v>10</v>
      </c>
      <c r="D147" s="9" t="s">
        <v>196</v>
      </c>
      <c r="E147" s="9" t="s">
        <v>12</v>
      </c>
      <c r="H147" s="7">
        <v>146.0</v>
      </c>
      <c r="I147" s="10" t="s">
        <v>246</v>
      </c>
    </row>
    <row r="148">
      <c r="A148" s="7">
        <v>147.0</v>
      </c>
      <c r="B148" s="18" t="s">
        <v>247</v>
      </c>
      <c r="C148" s="9" t="s">
        <v>61</v>
      </c>
      <c r="D148" s="9" t="s">
        <v>220</v>
      </c>
      <c r="E148" s="9" t="s">
        <v>12</v>
      </c>
      <c r="F148" s="16"/>
      <c r="G148" s="9" t="s">
        <v>14</v>
      </c>
      <c r="H148" s="7">
        <v>147.0</v>
      </c>
      <c r="I148" s="17" t="s">
        <v>248</v>
      </c>
    </row>
    <row r="149">
      <c r="A149" s="7">
        <v>148.0</v>
      </c>
      <c r="B149" s="18" t="s">
        <v>247</v>
      </c>
      <c r="C149" s="9" t="s">
        <v>10</v>
      </c>
      <c r="D149" s="16"/>
      <c r="E149" s="9" t="s">
        <v>12</v>
      </c>
      <c r="F149" s="16"/>
      <c r="G149" s="9" t="s">
        <v>14</v>
      </c>
      <c r="H149" s="7">
        <v>148.0</v>
      </c>
      <c r="I149" s="10" t="s">
        <v>249</v>
      </c>
    </row>
    <row r="150">
      <c r="A150" s="7">
        <v>149.0</v>
      </c>
      <c r="B150" s="18" t="s">
        <v>250</v>
      </c>
      <c r="C150" s="9" t="s">
        <v>53</v>
      </c>
      <c r="D150" s="9" t="s">
        <v>55</v>
      </c>
      <c r="E150" s="9" t="s">
        <v>12</v>
      </c>
      <c r="F150" s="16"/>
      <c r="G150" s="9" t="s">
        <v>14</v>
      </c>
      <c r="H150" s="7">
        <v>149.0</v>
      </c>
      <c r="I150" s="10" t="s">
        <v>251</v>
      </c>
    </row>
    <row r="151">
      <c r="A151" s="7">
        <v>150.0</v>
      </c>
      <c r="B151" s="21" t="s">
        <v>252</v>
      </c>
      <c r="C151" s="9" t="s">
        <v>10</v>
      </c>
      <c r="D151" s="16"/>
      <c r="E151" s="9" t="s">
        <v>62</v>
      </c>
      <c r="H151" s="7">
        <v>150.0</v>
      </c>
      <c r="I151" s="10" t="s">
        <v>253</v>
      </c>
    </row>
    <row r="152">
      <c r="A152" s="7">
        <v>151.0</v>
      </c>
      <c r="B152" s="18" t="s">
        <v>254</v>
      </c>
      <c r="C152" s="9" t="s">
        <v>59</v>
      </c>
      <c r="D152" s="9" t="s">
        <v>220</v>
      </c>
      <c r="E152" s="9" t="s">
        <v>12</v>
      </c>
      <c r="F152" s="9" t="s">
        <v>50</v>
      </c>
      <c r="G152" s="9" t="s">
        <v>111</v>
      </c>
      <c r="H152" s="7">
        <v>151.0</v>
      </c>
      <c r="I152" s="10" t="s">
        <v>255</v>
      </c>
    </row>
    <row r="153">
      <c r="A153" s="7">
        <v>152.0</v>
      </c>
      <c r="B153" s="18" t="s">
        <v>256</v>
      </c>
      <c r="C153" s="9" t="s">
        <v>10</v>
      </c>
      <c r="D153" s="9" t="s">
        <v>64</v>
      </c>
      <c r="E153" s="9" t="s">
        <v>62</v>
      </c>
      <c r="H153" s="7">
        <v>152.0</v>
      </c>
      <c r="I153" s="10" t="s">
        <v>257</v>
      </c>
    </row>
    <row r="154">
      <c r="A154" s="7">
        <v>153.0</v>
      </c>
      <c r="B154" s="18" t="s">
        <v>258</v>
      </c>
      <c r="C154" s="9" t="s">
        <v>10</v>
      </c>
      <c r="D154" s="9" t="s">
        <v>37</v>
      </c>
      <c r="E154" s="9" t="s">
        <v>12</v>
      </c>
      <c r="F154" s="9" t="s">
        <v>50</v>
      </c>
      <c r="G154" s="9" t="s">
        <v>14</v>
      </c>
      <c r="H154" s="7">
        <v>153.0</v>
      </c>
      <c r="I154" s="10" t="s">
        <v>259</v>
      </c>
    </row>
    <row r="155">
      <c r="A155" s="7">
        <v>154.0</v>
      </c>
      <c r="B155" s="18" t="s">
        <v>260</v>
      </c>
      <c r="C155" s="9" t="s">
        <v>10</v>
      </c>
      <c r="D155" s="9" t="s">
        <v>149</v>
      </c>
      <c r="E155" s="9" t="s">
        <v>12</v>
      </c>
      <c r="F155" s="16"/>
      <c r="G155" s="9" t="s">
        <v>14</v>
      </c>
      <c r="H155" s="7">
        <v>154.0</v>
      </c>
      <c r="I155" s="10" t="s">
        <v>261</v>
      </c>
    </row>
    <row r="156">
      <c r="A156" s="7">
        <v>155.0</v>
      </c>
      <c r="B156" s="18" t="s">
        <v>262</v>
      </c>
      <c r="C156" s="9" t="s">
        <v>59</v>
      </c>
      <c r="D156" s="9" t="s">
        <v>74</v>
      </c>
      <c r="E156" s="9" t="s">
        <v>12</v>
      </c>
      <c r="F156" s="16"/>
      <c r="G156" s="9" t="s">
        <v>14</v>
      </c>
      <c r="H156" s="7">
        <v>155.0</v>
      </c>
      <c r="I156" s="10" t="s">
        <v>263</v>
      </c>
    </row>
    <row r="157">
      <c r="A157" s="7">
        <v>156.0</v>
      </c>
      <c r="B157" s="18" t="s">
        <v>264</v>
      </c>
      <c r="C157" s="9" t="s">
        <v>59</v>
      </c>
      <c r="D157" s="9" t="s">
        <v>20</v>
      </c>
      <c r="E157" s="9" t="s">
        <v>12</v>
      </c>
      <c r="F157" s="9" t="s">
        <v>50</v>
      </c>
      <c r="G157" s="9" t="s">
        <v>14</v>
      </c>
      <c r="H157" s="7">
        <v>156.0</v>
      </c>
      <c r="I157" s="10" t="s">
        <v>265</v>
      </c>
    </row>
    <row r="158">
      <c r="A158" s="7">
        <v>157.0</v>
      </c>
      <c r="B158" s="18" t="s">
        <v>266</v>
      </c>
      <c r="C158" s="9" t="s">
        <v>10</v>
      </c>
      <c r="D158" s="9" t="s">
        <v>196</v>
      </c>
      <c r="E158" s="9" t="s">
        <v>12</v>
      </c>
      <c r="H158" s="7">
        <v>157.0</v>
      </c>
      <c r="I158" s="10" t="s">
        <v>267</v>
      </c>
    </row>
    <row r="159">
      <c r="A159" s="7">
        <v>158.0</v>
      </c>
      <c r="B159" s="18" t="s">
        <v>268</v>
      </c>
      <c r="C159" s="9" t="s">
        <v>10</v>
      </c>
      <c r="D159" s="9" t="s">
        <v>196</v>
      </c>
      <c r="E159" s="9" t="s">
        <v>62</v>
      </c>
      <c r="H159" s="7">
        <v>158.0</v>
      </c>
      <c r="I159" s="10" t="s">
        <v>269</v>
      </c>
    </row>
    <row r="160">
      <c r="A160" s="7">
        <v>159.0</v>
      </c>
      <c r="B160" s="18" t="s">
        <v>270</v>
      </c>
      <c r="C160" s="9" t="s">
        <v>10</v>
      </c>
      <c r="D160" s="9" t="s">
        <v>196</v>
      </c>
      <c r="E160" s="9" t="s">
        <v>62</v>
      </c>
      <c r="H160" s="7">
        <v>159.0</v>
      </c>
      <c r="I160" s="10" t="s">
        <v>271</v>
      </c>
    </row>
    <row r="161">
      <c r="A161" s="7">
        <v>160.0</v>
      </c>
      <c r="B161" s="18" t="s">
        <v>272</v>
      </c>
      <c r="C161" s="9" t="s">
        <v>59</v>
      </c>
      <c r="D161" s="9" t="s">
        <v>20</v>
      </c>
      <c r="E161" s="9" t="s">
        <v>12</v>
      </c>
      <c r="F161" s="9" t="s">
        <v>50</v>
      </c>
      <c r="G161" s="9" t="s">
        <v>14</v>
      </c>
      <c r="H161" s="7">
        <v>160.0</v>
      </c>
      <c r="I161" s="10" t="s">
        <v>273</v>
      </c>
    </row>
    <row r="162">
      <c r="A162" s="7">
        <v>161.0</v>
      </c>
      <c r="B162" s="18" t="s">
        <v>274</v>
      </c>
      <c r="C162" s="9" t="s">
        <v>10</v>
      </c>
      <c r="D162" s="9" t="s">
        <v>26</v>
      </c>
      <c r="E162" s="9" t="s">
        <v>12</v>
      </c>
      <c r="F162" s="16"/>
      <c r="G162" s="16"/>
      <c r="H162" s="7">
        <v>161.0</v>
      </c>
    </row>
    <row r="163">
      <c r="A163" s="7">
        <v>162.0</v>
      </c>
      <c r="B163" s="18" t="s">
        <v>275</v>
      </c>
      <c r="C163" s="9" t="s">
        <v>10</v>
      </c>
      <c r="D163" s="9" t="s">
        <v>26</v>
      </c>
      <c r="E163" s="9" t="s">
        <v>12</v>
      </c>
      <c r="F163" s="16"/>
      <c r="G163" s="16"/>
      <c r="H163" s="7">
        <v>162.0</v>
      </c>
      <c r="I163" s="10" t="s">
        <v>276</v>
      </c>
    </row>
    <row r="164">
      <c r="A164" s="7">
        <v>163.0</v>
      </c>
      <c r="B164" s="18" t="s">
        <v>277</v>
      </c>
      <c r="C164" s="9" t="s">
        <v>10</v>
      </c>
      <c r="D164" s="16"/>
      <c r="E164" s="9" t="s">
        <v>12</v>
      </c>
      <c r="F164" s="16"/>
      <c r="G164" s="9" t="s">
        <v>14</v>
      </c>
      <c r="H164" s="7">
        <v>163.0</v>
      </c>
      <c r="I164" s="10" t="s">
        <v>278</v>
      </c>
    </row>
    <row r="165">
      <c r="A165" s="7">
        <v>164.0</v>
      </c>
      <c r="B165" s="18" t="s">
        <v>279</v>
      </c>
      <c r="C165" s="9" t="s">
        <v>59</v>
      </c>
      <c r="D165" s="16"/>
      <c r="E165" s="9" t="s">
        <v>12</v>
      </c>
      <c r="F165" s="16"/>
      <c r="G165" s="9" t="s">
        <v>14</v>
      </c>
      <c r="H165" s="7">
        <v>164.0</v>
      </c>
      <c r="I165" s="10" t="s">
        <v>280</v>
      </c>
    </row>
    <row r="166">
      <c r="A166" s="7">
        <v>165.0</v>
      </c>
      <c r="B166" s="18" t="s">
        <v>279</v>
      </c>
      <c r="C166" s="9" t="s">
        <v>61</v>
      </c>
      <c r="D166" s="16"/>
      <c r="E166" s="9" t="s">
        <v>12</v>
      </c>
      <c r="F166" s="16"/>
      <c r="G166" s="9" t="s">
        <v>14</v>
      </c>
      <c r="H166" s="7">
        <v>165.0</v>
      </c>
      <c r="I166" s="10" t="s">
        <v>281</v>
      </c>
    </row>
    <row r="167">
      <c r="A167" s="7">
        <v>166.0</v>
      </c>
      <c r="B167" s="18" t="s">
        <v>282</v>
      </c>
      <c r="C167" s="9" t="s">
        <v>10</v>
      </c>
      <c r="D167" s="9" t="s">
        <v>196</v>
      </c>
      <c r="E167" s="9" t="s">
        <v>12</v>
      </c>
      <c r="F167" s="9" t="s">
        <v>50</v>
      </c>
      <c r="G167" s="9" t="s">
        <v>14</v>
      </c>
      <c r="H167" s="7">
        <v>166.0</v>
      </c>
      <c r="I167" s="10" t="s">
        <v>283</v>
      </c>
    </row>
    <row r="168">
      <c r="A168" s="7">
        <v>167.0</v>
      </c>
      <c r="B168" s="18" t="s">
        <v>284</v>
      </c>
      <c r="C168" s="9" t="s">
        <v>10</v>
      </c>
      <c r="D168" s="9" t="s">
        <v>196</v>
      </c>
      <c r="E168" s="9" t="s">
        <v>12</v>
      </c>
      <c r="H168" s="7">
        <v>167.0</v>
      </c>
      <c r="I168" s="10" t="s">
        <v>285</v>
      </c>
    </row>
    <row r="169">
      <c r="A169" s="7">
        <v>168.0</v>
      </c>
      <c r="B169" s="18" t="s">
        <v>286</v>
      </c>
      <c r="C169" s="9" t="s">
        <v>59</v>
      </c>
      <c r="D169" s="9" t="s">
        <v>23</v>
      </c>
      <c r="E169" s="9" t="s">
        <v>12</v>
      </c>
      <c r="F169" s="9" t="s">
        <v>50</v>
      </c>
      <c r="G169" s="9" t="s">
        <v>224</v>
      </c>
      <c r="H169" s="7">
        <v>168.0</v>
      </c>
      <c r="I169" s="10" t="s">
        <v>287</v>
      </c>
    </row>
    <row r="170">
      <c r="A170" s="7">
        <v>169.0</v>
      </c>
      <c r="B170" s="18" t="s">
        <v>288</v>
      </c>
      <c r="C170" s="9" t="s">
        <v>61</v>
      </c>
      <c r="D170" s="9" t="s">
        <v>220</v>
      </c>
      <c r="E170" s="9" t="s">
        <v>12</v>
      </c>
      <c r="F170" s="16"/>
      <c r="G170" s="9" t="s">
        <v>14</v>
      </c>
      <c r="H170" s="7">
        <v>169.0</v>
      </c>
      <c r="I170" s="10" t="s">
        <v>289</v>
      </c>
    </row>
    <row r="171">
      <c r="A171" s="7">
        <v>170.0</v>
      </c>
      <c r="B171" s="18" t="s">
        <v>288</v>
      </c>
      <c r="C171" s="9" t="s">
        <v>10</v>
      </c>
      <c r="D171" s="16"/>
      <c r="E171" s="9" t="s">
        <v>12</v>
      </c>
      <c r="F171" s="16"/>
      <c r="G171" s="9" t="s">
        <v>14</v>
      </c>
      <c r="H171" s="7">
        <v>170.0</v>
      </c>
      <c r="I171" s="10" t="s">
        <v>290</v>
      </c>
    </row>
    <row r="172">
      <c r="A172" s="7">
        <v>171.0</v>
      </c>
      <c r="B172" s="18" t="s">
        <v>291</v>
      </c>
      <c r="C172" s="9" t="s">
        <v>61</v>
      </c>
      <c r="D172" s="16"/>
      <c r="E172" s="9" t="s">
        <v>62</v>
      </c>
      <c r="H172" s="7">
        <v>171.0</v>
      </c>
      <c r="I172" s="10" t="s">
        <v>292</v>
      </c>
    </row>
    <row r="173">
      <c r="A173" s="7">
        <v>172.0</v>
      </c>
      <c r="B173" s="18" t="s">
        <v>293</v>
      </c>
      <c r="C173" s="9" t="s">
        <v>61</v>
      </c>
      <c r="D173" s="16"/>
      <c r="E173" s="9" t="s">
        <v>62</v>
      </c>
      <c r="F173" s="16"/>
      <c r="G173" s="16"/>
      <c r="H173" s="7">
        <v>172.0</v>
      </c>
      <c r="I173" s="10" t="s">
        <v>294</v>
      </c>
    </row>
    <row r="174">
      <c r="A174" s="7">
        <v>173.0</v>
      </c>
      <c r="B174" s="18" t="s">
        <v>295</v>
      </c>
      <c r="C174" s="9" t="s">
        <v>10</v>
      </c>
      <c r="D174" s="9" t="s">
        <v>74</v>
      </c>
      <c r="E174" s="9" t="s">
        <v>12</v>
      </c>
      <c r="F174" s="16"/>
      <c r="G174" s="9" t="s">
        <v>14</v>
      </c>
      <c r="H174" s="7">
        <v>173.0</v>
      </c>
      <c r="I174" s="10" t="s">
        <v>296</v>
      </c>
    </row>
    <row r="175">
      <c r="A175" s="7">
        <v>174.0</v>
      </c>
      <c r="B175" s="18" t="s">
        <v>295</v>
      </c>
      <c r="C175" s="9" t="s">
        <v>61</v>
      </c>
      <c r="D175" s="16"/>
      <c r="E175" s="9" t="s">
        <v>12</v>
      </c>
      <c r="F175" s="16"/>
      <c r="G175" s="9" t="s">
        <v>14</v>
      </c>
      <c r="H175" s="7">
        <v>174.0</v>
      </c>
      <c r="I175" s="10" t="s">
        <v>297</v>
      </c>
    </row>
    <row r="176">
      <c r="A176" s="7">
        <v>175.0</v>
      </c>
      <c r="B176" s="18" t="s">
        <v>298</v>
      </c>
      <c r="C176" s="9" t="s">
        <v>10</v>
      </c>
      <c r="D176" s="9" t="s">
        <v>74</v>
      </c>
      <c r="E176" s="9" t="s">
        <v>12</v>
      </c>
      <c r="F176" s="16"/>
      <c r="G176" s="9" t="s">
        <v>224</v>
      </c>
      <c r="H176" s="7">
        <v>175.0</v>
      </c>
      <c r="I176" s="10" t="s">
        <v>299</v>
      </c>
    </row>
    <row r="177">
      <c r="A177" s="7">
        <v>176.0</v>
      </c>
      <c r="B177" s="18" t="s">
        <v>298</v>
      </c>
      <c r="C177" s="9" t="s">
        <v>61</v>
      </c>
      <c r="D177" s="16"/>
      <c r="E177" s="9" t="s">
        <v>12</v>
      </c>
      <c r="F177" s="16"/>
      <c r="G177" s="9" t="s">
        <v>224</v>
      </c>
      <c r="H177" s="7">
        <v>176.0</v>
      </c>
      <c r="I177" s="10" t="s">
        <v>299</v>
      </c>
    </row>
    <row r="178">
      <c r="A178" s="7">
        <v>177.0</v>
      </c>
      <c r="B178" s="18" t="s">
        <v>300</v>
      </c>
      <c r="C178" s="9" t="s">
        <v>10</v>
      </c>
      <c r="D178" s="9" t="s">
        <v>196</v>
      </c>
      <c r="E178" s="9" t="s">
        <v>12</v>
      </c>
      <c r="F178" s="9" t="s">
        <v>50</v>
      </c>
      <c r="G178" s="9" t="s">
        <v>224</v>
      </c>
      <c r="H178" s="7">
        <v>177.0</v>
      </c>
      <c r="I178" s="10" t="s">
        <v>301</v>
      </c>
    </row>
    <row r="179">
      <c r="A179" s="7">
        <v>178.0</v>
      </c>
      <c r="B179" s="18" t="s">
        <v>302</v>
      </c>
      <c r="C179" s="9" t="s">
        <v>10</v>
      </c>
      <c r="D179" s="9" t="s">
        <v>16</v>
      </c>
      <c r="E179" s="9" t="s">
        <v>12</v>
      </c>
      <c r="F179" s="16"/>
      <c r="G179" s="9" t="s">
        <v>224</v>
      </c>
      <c r="H179" s="7">
        <v>178.0</v>
      </c>
      <c r="I179" s="10" t="s">
        <v>303</v>
      </c>
    </row>
    <row r="180">
      <c r="A180" s="7">
        <v>179.0</v>
      </c>
      <c r="B180" s="18" t="s">
        <v>304</v>
      </c>
      <c r="C180" s="9" t="s">
        <v>59</v>
      </c>
      <c r="D180" s="9" t="s">
        <v>20</v>
      </c>
      <c r="E180" s="9" t="s">
        <v>12</v>
      </c>
      <c r="F180" s="9" t="s">
        <v>50</v>
      </c>
      <c r="G180" s="9" t="s">
        <v>14</v>
      </c>
      <c r="H180" s="7">
        <v>179.0</v>
      </c>
      <c r="I180" s="10" t="s">
        <v>305</v>
      </c>
    </row>
    <row r="181">
      <c r="A181" s="7">
        <v>180.0</v>
      </c>
      <c r="B181" s="18" t="s">
        <v>306</v>
      </c>
      <c r="C181" s="9" t="s">
        <v>10</v>
      </c>
      <c r="D181" s="16"/>
      <c r="E181" s="9" t="s">
        <v>12</v>
      </c>
      <c r="F181" s="16"/>
      <c r="G181" s="9" t="s">
        <v>111</v>
      </c>
      <c r="H181" s="7">
        <v>180.0</v>
      </c>
      <c r="I181" s="24" t="s">
        <v>307</v>
      </c>
    </row>
    <row r="182">
      <c r="A182" s="7">
        <v>181.0</v>
      </c>
      <c r="B182" s="18" t="s">
        <v>308</v>
      </c>
      <c r="C182" s="9" t="s">
        <v>59</v>
      </c>
      <c r="D182" s="16"/>
      <c r="E182" s="9" t="s">
        <v>12</v>
      </c>
      <c r="F182" s="16"/>
      <c r="G182" s="9" t="s">
        <v>224</v>
      </c>
      <c r="H182" s="7">
        <v>181.0</v>
      </c>
      <c r="I182" s="10" t="s">
        <v>309</v>
      </c>
    </row>
    <row r="183">
      <c r="A183" s="7">
        <v>182.0</v>
      </c>
      <c r="B183" s="18" t="s">
        <v>310</v>
      </c>
      <c r="C183" s="9" t="s">
        <v>61</v>
      </c>
      <c r="D183" s="9" t="s">
        <v>64</v>
      </c>
      <c r="E183" s="9" t="s">
        <v>12</v>
      </c>
      <c r="H183" s="7">
        <v>182.0</v>
      </c>
      <c r="I183" s="10" t="s">
        <v>311</v>
      </c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>
      <c r="A184" s="7">
        <v>183.0</v>
      </c>
      <c r="B184" s="18" t="s">
        <v>312</v>
      </c>
      <c r="C184" s="9" t="s">
        <v>10</v>
      </c>
      <c r="D184" s="9" t="s">
        <v>74</v>
      </c>
      <c r="E184" s="9" t="s">
        <v>12</v>
      </c>
      <c r="F184" s="16"/>
      <c r="G184" s="9" t="s">
        <v>224</v>
      </c>
      <c r="H184" s="7">
        <v>183.0</v>
      </c>
      <c r="I184" s="10" t="s">
        <v>313</v>
      </c>
    </row>
    <row r="185">
      <c r="A185" s="7">
        <v>184.0</v>
      </c>
      <c r="B185" s="18" t="s">
        <v>312</v>
      </c>
      <c r="C185" s="9" t="s">
        <v>61</v>
      </c>
      <c r="D185" s="16"/>
      <c r="E185" s="9" t="s">
        <v>12</v>
      </c>
      <c r="F185" s="16"/>
      <c r="G185" s="9" t="s">
        <v>224</v>
      </c>
      <c r="H185" s="7">
        <v>184.0</v>
      </c>
      <c r="I185" s="10" t="s">
        <v>314</v>
      </c>
    </row>
    <row r="186">
      <c r="A186" s="7">
        <v>185.0</v>
      </c>
      <c r="B186" s="18" t="s">
        <v>315</v>
      </c>
      <c r="C186" s="9" t="s">
        <v>10</v>
      </c>
      <c r="D186" s="9" t="s">
        <v>196</v>
      </c>
      <c r="E186" s="9" t="s">
        <v>12</v>
      </c>
      <c r="H186" s="7">
        <v>185.0</v>
      </c>
      <c r="I186" s="10" t="s">
        <v>316</v>
      </c>
    </row>
    <row r="187">
      <c r="A187" s="7">
        <v>186.0</v>
      </c>
      <c r="B187" s="18" t="s">
        <v>317</v>
      </c>
      <c r="C187" s="9" t="s">
        <v>10</v>
      </c>
      <c r="D187" s="9" t="s">
        <v>74</v>
      </c>
      <c r="E187" s="9" t="s">
        <v>12</v>
      </c>
      <c r="F187" s="16"/>
      <c r="G187" s="9" t="s">
        <v>224</v>
      </c>
      <c r="H187" s="7">
        <v>186.0</v>
      </c>
      <c r="I187" s="10" t="s">
        <v>318</v>
      </c>
    </row>
    <row r="188">
      <c r="A188" s="7">
        <v>187.0</v>
      </c>
      <c r="B188" s="18" t="s">
        <v>319</v>
      </c>
      <c r="C188" s="9" t="s">
        <v>10</v>
      </c>
      <c r="D188" s="9" t="s">
        <v>149</v>
      </c>
      <c r="E188" s="9" t="s">
        <v>12</v>
      </c>
      <c r="F188" s="16"/>
      <c r="G188" s="9" t="s">
        <v>111</v>
      </c>
      <c r="H188" s="7">
        <v>187.0</v>
      </c>
      <c r="I188" s="10" t="s">
        <v>320</v>
      </c>
    </row>
    <row r="189">
      <c r="A189" s="7">
        <v>188.0</v>
      </c>
      <c r="B189" s="18" t="s">
        <v>321</v>
      </c>
      <c r="C189" s="9" t="s">
        <v>61</v>
      </c>
      <c r="D189" s="9" t="s">
        <v>64</v>
      </c>
      <c r="E189" s="9" t="s">
        <v>12</v>
      </c>
      <c r="H189" s="7">
        <v>188.0</v>
      </c>
      <c r="I189" s="10" t="s">
        <v>322</v>
      </c>
    </row>
    <row r="190">
      <c r="A190" s="7">
        <v>189.0</v>
      </c>
      <c r="B190" s="18" t="s">
        <v>323</v>
      </c>
      <c r="C190" s="9" t="s">
        <v>10</v>
      </c>
      <c r="D190" s="9" t="s">
        <v>74</v>
      </c>
      <c r="E190" s="9" t="s">
        <v>12</v>
      </c>
      <c r="F190" s="16"/>
      <c r="G190" s="9" t="s">
        <v>111</v>
      </c>
      <c r="H190" s="7">
        <v>189.0</v>
      </c>
      <c r="I190" s="10" t="s">
        <v>324</v>
      </c>
    </row>
    <row r="191">
      <c r="A191" s="7">
        <v>190.0</v>
      </c>
      <c r="B191" s="21" t="s">
        <v>325</v>
      </c>
      <c r="C191" s="9" t="s">
        <v>10</v>
      </c>
      <c r="D191" s="16"/>
      <c r="E191" s="9" t="s">
        <v>62</v>
      </c>
      <c r="H191" s="7">
        <v>190.0</v>
      </c>
      <c r="I191" s="10" t="s">
        <v>326</v>
      </c>
    </row>
    <row r="192">
      <c r="A192" s="7">
        <v>191.0</v>
      </c>
      <c r="B192" s="18" t="s">
        <v>327</v>
      </c>
      <c r="C192" s="9" t="s">
        <v>10</v>
      </c>
      <c r="D192" s="9" t="s">
        <v>196</v>
      </c>
      <c r="E192" s="9" t="s">
        <v>12</v>
      </c>
      <c r="F192" s="16"/>
      <c r="G192" s="9" t="s">
        <v>14</v>
      </c>
      <c r="H192" s="7">
        <v>191.0</v>
      </c>
      <c r="I192" s="25" t="s">
        <v>328</v>
      </c>
    </row>
    <row r="193">
      <c r="A193" s="7">
        <v>192.0</v>
      </c>
      <c r="B193" s="18" t="s">
        <v>329</v>
      </c>
      <c r="C193" s="9" t="s">
        <v>10</v>
      </c>
      <c r="D193" s="9" t="s">
        <v>74</v>
      </c>
      <c r="E193" s="9" t="s">
        <v>62</v>
      </c>
      <c r="F193" s="16"/>
      <c r="G193" s="9" t="s">
        <v>111</v>
      </c>
      <c r="H193" s="7">
        <v>192.0</v>
      </c>
      <c r="I193" s="10" t="s">
        <v>330</v>
      </c>
    </row>
    <row r="194">
      <c r="A194" s="7">
        <v>193.0</v>
      </c>
      <c r="B194" s="18" t="s">
        <v>331</v>
      </c>
      <c r="C194" s="9" t="s">
        <v>10</v>
      </c>
      <c r="D194" s="9" t="s">
        <v>196</v>
      </c>
      <c r="E194" s="9" t="s">
        <v>62</v>
      </c>
      <c r="H194" s="7">
        <v>193.0</v>
      </c>
      <c r="I194" s="10" t="s">
        <v>332</v>
      </c>
    </row>
    <row r="195">
      <c r="A195" s="7">
        <v>194.0</v>
      </c>
      <c r="B195" s="18" t="s">
        <v>333</v>
      </c>
      <c r="C195" s="9" t="s">
        <v>10</v>
      </c>
      <c r="D195" s="16"/>
      <c r="E195" s="9" t="s">
        <v>62</v>
      </c>
      <c r="H195" s="7">
        <v>194.0</v>
      </c>
      <c r="I195" s="10" t="s">
        <v>334</v>
      </c>
    </row>
    <row r="196">
      <c r="A196" s="7">
        <v>195.0</v>
      </c>
      <c r="B196" s="18" t="s">
        <v>335</v>
      </c>
      <c r="C196" s="9" t="s">
        <v>57</v>
      </c>
      <c r="D196" s="16"/>
      <c r="E196" s="9" t="s">
        <v>12</v>
      </c>
      <c r="H196" s="7">
        <v>195.0</v>
      </c>
    </row>
    <row r="197">
      <c r="A197" s="7">
        <v>196.0</v>
      </c>
      <c r="B197" s="18" t="s">
        <v>336</v>
      </c>
      <c r="C197" s="9" t="s">
        <v>10</v>
      </c>
      <c r="D197" s="9" t="s">
        <v>196</v>
      </c>
      <c r="E197" s="9" t="s">
        <v>62</v>
      </c>
      <c r="H197" s="7">
        <v>196.0</v>
      </c>
      <c r="I197" s="10" t="s">
        <v>337</v>
      </c>
    </row>
    <row r="198">
      <c r="A198" s="7">
        <v>197.0</v>
      </c>
      <c r="B198" s="18" t="s">
        <v>338</v>
      </c>
      <c r="C198" s="9" t="s">
        <v>10</v>
      </c>
      <c r="D198" s="9" t="s">
        <v>196</v>
      </c>
      <c r="E198" s="9" t="s">
        <v>12</v>
      </c>
      <c r="H198" s="7">
        <v>197.0</v>
      </c>
      <c r="I198" s="10" t="s">
        <v>339</v>
      </c>
    </row>
    <row r="199">
      <c r="A199" s="7">
        <v>198.0</v>
      </c>
      <c r="B199" s="18" t="s">
        <v>340</v>
      </c>
      <c r="C199" s="9" t="s">
        <v>10</v>
      </c>
      <c r="D199" s="16"/>
      <c r="E199" s="9" t="s">
        <v>62</v>
      </c>
      <c r="F199" s="16"/>
      <c r="G199" s="16"/>
      <c r="H199" s="7">
        <v>198.0</v>
      </c>
      <c r="I199" s="10" t="s">
        <v>341</v>
      </c>
    </row>
    <row r="200">
      <c r="A200" s="7">
        <v>199.0</v>
      </c>
      <c r="B200" s="18" t="s">
        <v>342</v>
      </c>
      <c r="C200" s="9" t="s">
        <v>10</v>
      </c>
      <c r="D200" s="9" t="s">
        <v>37</v>
      </c>
      <c r="E200" s="9" t="s">
        <v>12</v>
      </c>
      <c r="F200" s="9" t="s">
        <v>50</v>
      </c>
      <c r="G200" s="9" t="s">
        <v>14</v>
      </c>
      <c r="H200" s="7">
        <v>199.0</v>
      </c>
      <c r="I200" s="10" t="s">
        <v>343</v>
      </c>
    </row>
    <row r="201">
      <c r="A201" s="7">
        <v>200.0</v>
      </c>
      <c r="B201" s="21" t="s">
        <v>344</v>
      </c>
      <c r="C201" s="9" t="s">
        <v>10</v>
      </c>
      <c r="D201" s="16"/>
      <c r="E201" s="9" t="s">
        <v>62</v>
      </c>
      <c r="H201" s="7">
        <v>200.0</v>
      </c>
      <c r="I201" s="10" t="s">
        <v>345</v>
      </c>
    </row>
    <row r="202">
      <c r="A202" s="7">
        <v>201.0</v>
      </c>
      <c r="B202" s="18" t="s">
        <v>346</v>
      </c>
      <c r="C202" s="9" t="s">
        <v>61</v>
      </c>
      <c r="D202" s="9" t="s">
        <v>220</v>
      </c>
      <c r="E202" s="9" t="s">
        <v>12</v>
      </c>
      <c r="F202" s="16"/>
      <c r="G202" s="9" t="s">
        <v>14</v>
      </c>
      <c r="H202" s="7">
        <v>201.0</v>
      </c>
      <c r="I202" s="10" t="s">
        <v>347</v>
      </c>
    </row>
    <row r="203">
      <c r="A203" s="7">
        <v>202.0</v>
      </c>
      <c r="B203" s="18" t="s">
        <v>346</v>
      </c>
      <c r="C203" s="9" t="s">
        <v>10</v>
      </c>
      <c r="D203" s="16"/>
      <c r="E203" s="9" t="s">
        <v>12</v>
      </c>
      <c r="F203" s="16"/>
      <c r="G203" s="9" t="s">
        <v>14</v>
      </c>
      <c r="H203" s="7">
        <v>202.0</v>
      </c>
      <c r="I203" s="10" t="s">
        <v>347</v>
      </c>
    </row>
    <row r="204">
      <c r="A204" s="7">
        <v>203.0</v>
      </c>
      <c r="B204" s="18" t="s">
        <v>348</v>
      </c>
      <c r="C204" s="9" t="s">
        <v>10</v>
      </c>
      <c r="D204" s="9" t="s">
        <v>64</v>
      </c>
      <c r="E204" s="9" t="s">
        <v>12</v>
      </c>
      <c r="H204" s="7">
        <v>203.0</v>
      </c>
      <c r="I204" s="10" t="s">
        <v>349</v>
      </c>
    </row>
    <row r="205">
      <c r="A205" s="7">
        <v>204.0</v>
      </c>
      <c r="B205" s="18" t="s">
        <v>350</v>
      </c>
      <c r="C205" s="9" t="s">
        <v>57</v>
      </c>
      <c r="D205" s="16"/>
      <c r="E205" s="9" t="s">
        <v>62</v>
      </c>
      <c r="H205" s="7">
        <v>204.0</v>
      </c>
    </row>
    <row r="206">
      <c r="A206" s="7">
        <v>205.0</v>
      </c>
      <c r="B206" s="18" t="s">
        <v>351</v>
      </c>
      <c r="C206" s="9" t="s">
        <v>10</v>
      </c>
      <c r="D206" s="9" t="s">
        <v>196</v>
      </c>
      <c r="E206" s="9" t="s">
        <v>62</v>
      </c>
      <c r="H206" s="7">
        <v>205.0</v>
      </c>
      <c r="I206" s="10" t="s">
        <v>352</v>
      </c>
    </row>
    <row r="207">
      <c r="A207" s="7">
        <v>206.0</v>
      </c>
      <c r="B207" s="18" t="s">
        <v>353</v>
      </c>
      <c r="C207" s="9" t="s">
        <v>10</v>
      </c>
      <c r="D207" s="16"/>
      <c r="E207" s="9" t="s">
        <v>62</v>
      </c>
      <c r="F207" s="16"/>
      <c r="G207" s="16"/>
      <c r="H207" s="7">
        <v>206.0</v>
      </c>
      <c r="I207" s="10" t="s">
        <v>354</v>
      </c>
    </row>
    <row r="208">
      <c r="A208" s="7">
        <v>207.0</v>
      </c>
      <c r="B208" s="18" t="s">
        <v>355</v>
      </c>
      <c r="C208" s="9" t="s">
        <v>59</v>
      </c>
      <c r="D208" s="9" t="s">
        <v>40</v>
      </c>
      <c r="E208" s="9" t="s">
        <v>62</v>
      </c>
      <c r="F208" s="16"/>
      <c r="G208" s="16"/>
      <c r="H208" s="7">
        <v>207.0</v>
      </c>
    </row>
    <row r="209">
      <c r="A209" s="7">
        <v>208.0</v>
      </c>
      <c r="B209" s="18" t="s">
        <v>356</v>
      </c>
      <c r="C209" s="9" t="s">
        <v>10</v>
      </c>
      <c r="D209" s="16"/>
      <c r="E209" s="9" t="s">
        <v>62</v>
      </c>
      <c r="H209" s="7">
        <v>208.0</v>
      </c>
    </row>
    <row r="210">
      <c r="A210" s="7">
        <v>209.0</v>
      </c>
      <c r="B210" s="18" t="s">
        <v>357</v>
      </c>
      <c r="C210" s="9" t="s">
        <v>10</v>
      </c>
      <c r="D210" s="9" t="s">
        <v>74</v>
      </c>
      <c r="E210" s="9" t="s">
        <v>12</v>
      </c>
      <c r="F210" s="16"/>
      <c r="G210" s="9" t="s">
        <v>224</v>
      </c>
      <c r="H210" s="7">
        <v>209.0</v>
      </c>
      <c r="I210" s="10" t="s">
        <v>358</v>
      </c>
    </row>
    <row r="211">
      <c r="A211" s="7">
        <v>210.0</v>
      </c>
      <c r="B211" s="18" t="s">
        <v>359</v>
      </c>
      <c r="C211" s="9" t="s">
        <v>10</v>
      </c>
      <c r="D211" s="9" t="s">
        <v>196</v>
      </c>
      <c r="E211" s="9" t="s">
        <v>12</v>
      </c>
      <c r="F211" s="16"/>
      <c r="G211" s="9" t="s">
        <v>14</v>
      </c>
      <c r="H211" s="7">
        <v>210.0</v>
      </c>
      <c r="I211" s="25" t="s">
        <v>360</v>
      </c>
    </row>
    <row r="212">
      <c r="A212" s="7">
        <v>211.0</v>
      </c>
      <c r="B212" s="18" t="s">
        <v>361</v>
      </c>
      <c r="C212" s="9" t="s">
        <v>10</v>
      </c>
      <c r="D212" s="9" t="s">
        <v>196</v>
      </c>
      <c r="E212" s="9" t="s">
        <v>12</v>
      </c>
      <c r="F212" s="16"/>
      <c r="G212" s="9" t="s">
        <v>111</v>
      </c>
      <c r="H212" s="7">
        <v>211.0</v>
      </c>
      <c r="I212" s="10" t="s">
        <v>362</v>
      </c>
    </row>
    <row r="213">
      <c r="A213" s="7">
        <v>212.0</v>
      </c>
      <c r="B213" s="21" t="s">
        <v>363</v>
      </c>
      <c r="C213" s="9" t="s">
        <v>10</v>
      </c>
      <c r="D213" s="16"/>
      <c r="E213" s="9" t="s">
        <v>62</v>
      </c>
      <c r="H213" s="7">
        <v>212.0</v>
      </c>
      <c r="I213" s="10" t="s">
        <v>364</v>
      </c>
    </row>
    <row r="214">
      <c r="A214" s="7">
        <v>213.0</v>
      </c>
      <c r="B214" s="21" t="s">
        <v>365</v>
      </c>
      <c r="C214" s="9" t="s">
        <v>10</v>
      </c>
      <c r="D214" s="16"/>
      <c r="E214" s="9" t="s">
        <v>62</v>
      </c>
      <c r="F214" s="16"/>
      <c r="G214" s="16"/>
      <c r="H214" s="7">
        <v>213.0</v>
      </c>
      <c r="I214" s="10" t="s">
        <v>341</v>
      </c>
    </row>
    <row r="215">
      <c r="A215" s="7">
        <v>214.0</v>
      </c>
      <c r="B215" s="21" t="s">
        <v>365</v>
      </c>
      <c r="C215" s="9" t="s">
        <v>10</v>
      </c>
      <c r="D215" s="16"/>
      <c r="E215" s="9" t="s">
        <v>62</v>
      </c>
      <c r="H215" s="7">
        <v>214.0</v>
      </c>
      <c r="I215" s="10" t="s">
        <v>341</v>
      </c>
    </row>
    <row r="216">
      <c r="A216" s="7">
        <v>215.0</v>
      </c>
      <c r="B216" s="18" t="s">
        <v>366</v>
      </c>
      <c r="C216" s="9" t="s">
        <v>61</v>
      </c>
      <c r="D216" s="16"/>
      <c r="E216" s="9" t="s">
        <v>62</v>
      </c>
      <c r="H216" s="7">
        <v>215.0</v>
      </c>
    </row>
    <row r="217">
      <c r="A217" s="7">
        <v>216.0</v>
      </c>
      <c r="B217" s="18" t="s">
        <v>367</v>
      </c>
      <c r="C217" s="9" t="s">
        <v>10</v>
      </c>
      <c r="D217" s="16"/>
      <c r="E217" s="9" t="s">
        <v>62</v>
      </c>
      <c r="F217" s="16"/>
      <c r="G217" s="16"/>
      <c r="H217" s="7">
        <v>216.0</v>
      </c>
      <c r="I217" s="10" t="s">
        <v>368</v>
      </c>
    </row>
    <row r="218">
      <c r="A218" s="7">
        <v>217.0</v>
      </c>
      <c r="B218" s="15" t="s">
        <v>369</v>
      </c>
      <c r="C218" s="9" t="s">
        <v>10</v>
      </c>
      <c r="D218" s="9" t="s">
        <v>132</v>
      </c>
      <c r="E218" s="9" t="s">
        <v>12</v>
      </c>
      <c r="F218" s="16"/>
      <c r="G218" s="9" t="s">
        <v>14</v>
      </c>
      <c r="H218" s="7">
        <v>217.0</v>
      </c>
      <c r="I218" s="10" t="s">
        <v>370</v>
      </c>
    </row>
    <row r="219">
      <c r="A219" s="7">
        <v>218.0</v>
      </c>
      <c r="B219" s="18" t="s">
        <v>371</v>
      </c>
      <c r="C219" s="9" t="s">
        <v>10</v>
      </c>
      <c r="D219" s="9" t="s">
        <v>37</v>
      </c>
      <c r="E219" s="9" t="s">
        <v>12</v>
      </c>
      <c r="F219" s="9" t="s">
        <v>50</v>
      </c>
      <c r="G219" s="9" t="s">
        <v>372</v>
      </c>
      <c r="H219" s="7">
        <v>218.0</v>
      </c>
      <c r="I219" s="10" t="s">
        <v>373</v>
      </c>
    </row>
    <row r="220">
      <c r="A220" s="7">
        <v>219.0</v>
      </c>
      <c r="B220" s="18" t="s">
        <v>374</v>
      </c>
      <c r="C220" s="9" t="s">
        <v>59</v>
      </c>
      <c r="D220" s="9" t="s">
        <v>16</v>
      </c>
      <c r="E220" s="9" t="s">
        <v>12</v>
      </c>
      <c r="F220" s="16"/>
      <c r="G220" s="9" t="s">
        <v>224</v>
      </c>
      <c r="H220" s="7">
        <v>219.0</v>
      </c>
      <c r="I220" s="10" t="s">
        <v>375</v>
      </c>
    </row>
    <row r="221">
      <c r="A221" s="7">
        <v>220.0</v>
      </c>
      <c r="B221" s="26" t="s">
        <v>376</v>
      </c>
      <c r="C221" s="27" t="s">
        <v>10</v>
      </c>
      <c r="D221" s="20"/>
      <c r="E221" s="9" t="s">
        <v>12</v>
      </c>
      <c r="F221" s="20"/>
      <c r="G221" s="27" t="s">
        <v>111</v>
      </c>
      <c r="H221" s="7">
        <v>220.0</v>
      </c>
      <c r="I221" s="20"/>
      <c r="J221" s="20"/>
      <c r="K221" s="20"/>
      <c r="L221" s="20"/>
      <c r="M221" s="20"/>
    </row>
    <row r="222">
      <c r="A222" s="7">
        <v>221.0</v>
      </c>
      <c r="B222" s="18" t="s">
        <v>377</v>
      </c>
      <c r="C222" s="16"/>
      <c r="D222" s="9" t="s">
        <v>64</v>
      </c>
      <c r="E222" s="9" t="s">
        <v>12</v>
      </c>
      <c r="H222" s="7">
        <v>221.0</v>
      </c>
      <c r="I222" s="10" t="s">
        <v>378</v>
      </c>
    </row>
    <row r="223">
      <c r="A223" s="7">
        <v>222.0</v>
      </c>
      <c r="B223" s="18" t="s">
        <v>379</v>
      </c>
      <c r="C223" s="9" t="s">
        <v>61</v>
      </c>
      <c r="D223" s="16"/>
      <c r="E223" s="9" t="s">
        <v>12</v>
      </c>
      <c r="H223" s="7">
        <v>222.0</v>
      </c>
    </row>
    <row r="224">
      <c r="A224" s="7">
        <v>223.0</v>
      </c>
      <c r="B224" s="18" t="s">
        <v>380</v>
      </c>
      <c r="C224" s="9" t="s">
        <v>61</v>
      </c>
      <c r="D224" s="16"/>
      <c r="E224" s="9" t="s">
        <v>62</v>
      </c>
      <c r="H224" s="7">
        <v>223.0</v>
      </c>
      <c r="I224" s="10" t="s">
        <v>381</v>
      </c>
    </row>
    <row r="225">
      <c r="A225" s="7">
        <v>224.0</v>
      </c>
      <c r="B225" s="18" t="s">
        <v>382</v>
      </c>
      <c r="C225" s="9" t="s">
        <v>10</v>
      </c>
      <c r="D225" s="16"/>
      <c r="E225" s="9" t="s">
        <v>12</v>
      </c>
      <c r="F225" s="16"/>
      <c r="G225" s="9" t="s">
        <v>14</v>
      </c>
      <c r="H225" s="7">
        <v>224.0</v>
      </c>
      <c r="I225" s="10" t="s">
        <v>383</v>
      </c>
    </row>
    <row r="226">
      <c r="A226" s="7">
        <v>225.0</v>
      </c>
      <c r="B226" s="18" t="s">
        <v>384</v>
      </c>
      <c r="C226" s="9" t="s">
        <v>10</v>
      </c>
      <c r="D226" s="9" t="s">
        <v>26</v>
      </c>
      <c r="E226" s="9" t="s">
        <v>12</v>
      </c>
      <c r="F226" s="16"/>
      <c r="G226" s="9" t="s">
        <v>14</v>
      </c>
      <c r="H226" s="7">
        <v>225.0</v>
      </c>
      <c r="I226" s="10" t="s">
        <v>385</v>
      </c>
    </row>
    <row r="227">
      <c r="A227" s="7">
        <v>226.0</v>
      </c>
      <c r="B227" s="18" t="s">
        <v>386</v>
      </c>
      <c r="C227" s="9" t="s">
        <v>10</v>
      </c>
      <c r="D227" s="9" t="s">
        <v>40</v>
      </c>
      <c r="E227" s="9" t="s">
        <v>62</v>
      </c>
      <c r="H227" s="7">
        <v>226.0</v>
      </c>
      <c r="I227" s="10" t="s">
        <v>387</v>
      </c>
    </row>
    <row r="228">
      <c r="A228" s="7">
        <v>227.0</v>
      </c>
      <c r="B228" s="18" t="s">
        <v>388</v>
      </c>
      <c r="C228" s="9" t="s">
        <v>61</v>
      </c>
      <c r="D228" s="9" t="s">
        <v>220</v>
      </c>
      <c r="E228" s="9" t="s">
        <v>12</v>
      </c>
      <c r="F228" s="16"/>
      <c r="G228" s="9" t="s">
        <v>111</v>
      </c>
      <c r="H228" s="7">
        <v>227.0</v>
      </c>
      <c r="I228" s="10" t="s">
        <v>389</v>
      </c>
    </row>
    <row r="229">
      <c r="A229" s="7">
        <v>228.0</v>
      </c>
      <c r="B229" s="18" t="s">
        <v>388</v>
      </c>
      <c r="C229" s="9" t="s">
        <v>10</v>
      </c>
      <c r="D229" s="16"/>
      <c r="E229" s="9" t="s">
        <v>12</v>
      </c>
      <c r="F229" s="16"/>
      <c r="G229" s="9" t="s">
        <v>111</v>
      </c>
      <c r="H229" s="7">
        <v>228.0</v>
      </c>
      <c r="I229" s="10" t="s">
        <v>390</v>
      </c>
    </row>
    <row r="230">
      <c r="A230" s="7">
        <v>229.0</v>
      </c>
      <c r="B230" s="15" t="s">
        <v>391</v>
      </c>
      <c r="C230" s="9" t="s">
        <v>10</v>
      </c>
      <c r="D230" s="9" t="s">
        <v>44</v>
      </c>
      <c r="E230" s="9" t="s">
        <v>12</v>
      </c>
      <c r="F230" s="16"/>
      <c r="G230" s="9" t="s">
        <v>111</v>
      </c>
      <c r="H230" s="7">
        <v>229.0</v>
      </c>
      <c r="I230" s="10" t="s">
        <v>392</v>
      </c>
    </row>
    <row r="231">
      <c r="A231" s="7">
        <v>230.0</v>
      </c>
      <c r="B231" s="18" t="s">
        <v>393</v>
      </c>
      <c r="C231" s="9" t="s">
        <v>10</v>
      </c>
      <c r="D231" s="9" t="s">
        <v>26</v>
      </c>
      <c r="E231" s="9" t="s">
        <v>12</v>
      </c>
      <c r="F231" s="16"/>
      <c r="G231" s="9" t="s">
        <v>111</v>
      </c>
      <c r="H231" s="7">
        <v>230.0</v>
      </c>
      <c r="I231" s="10" t="s">
        <v>394</v>
      </c>
    </row>
    <row r="232">
      <c r="A232" s="7">
        <v>231.0</v>
      </c>
      <c r="B232" s="18" t="s">
        <v>395</v>
      </c>
      <c r="C232" s="9" t="s">
        <v>10</v>
      </c>
      <c r="D232" s="9" t="s">
        <v>196</v>
      </c>
      <c r="E232" s="9" t="s">
        <v>12</v>
      </c>
      <c r="H232" s="7">
        <v>231.0</v>
      </c>
      <c r="I232" s="17" t="s">
        <v>396</v>
      </c>
    </row>
    <row r="233">
      <c r="A233" s="7">
        <v>232.0</v>
      </c>
      <c r="B233" s="18" t="s">
        <v>397</v>
      </c>
      <c r="C233" s="9" t="s">
        <v>10</v>
      </c>
      <c r="D233" s="9" t="s">
        <v>196</v>
      </c>
      <c r="E233" s="9" t="s">
        <v>12</v>
      </c>
      <c r="H233" s="7">
        <v>232.0</v>
      </c>
      <c r="I233" s="10" t="s">
        <v>398</v>
      </c>
    </row>
    <row r="234">
      <c r="A234" s="7">
        <v>233.0</v>
      </c>
      <c r="B234" s="18" t="s">
        <v>399</v>
      </c>
      <c r="C234" s="9" t="s">
        <v>59</v>
      </c>
      <c r="D234" s="16"/>
      <c r="E234" s="9" t="s">
        <v>12</v>
      </c>
      <c r="F234" s="16"/>
      <c r="G234" s="9" t="s">
        <v>14</v>
      </c>
      <c r="H234" s="7">
        <v>233.0</v>
      </c>
      <c r="I234" s="10" t="s">
        <v>400</v>
      </c>
    </row>
    <row r="235">
      <c r="A235" s="7">
        <v>234.0</v>
      </c>
      <c r="B235" s="18" t="s">
        <v>399</v>
      </c>
      <c r="C235" s="9" t="s">
        <v>10</v>
      </c>
      <c r="D235" s="16"/>
      <c r="E235" s="9" t="s">
        <v>12</v>
      </c>
      <c r="F235" s="16"/>
      <c r="G235" s="9" t="s">
        <v>14</v>
      </c>
      <c r="H235" s="7">
        <v>234.0</v>
      </c>
      <c r="I235" s="10" t="s">
        <v>401</v>
      </c>
    </row>
    <row r="236">
      <c r="A236" s="7">
        <v>235.0</v>
      </c>
      <c r="B236" s="18" t="s">
        <v>399</v>
      </c>
      <c r="C236" s="9" t="s">
        <v>57</v>
      </c>
      <c r="D236" s="16"/>
      <c r="E236" s="9" t="s">
        <v>12</v>
      </c>
      <c r="F236" s="16"/>
      <c r="G236" s="9" t="s">
        <v>14</v>
      </c>
      <c r="H236" s="7">
        <v>235.0</v>
      </c>
      <c r="I236" s="10" t="s">
        <v>401</v>
      </c>
    </row>
    <row r="237">
      <c r="A237" s="7">
        <v>236.0</v>
      </c>
      <c r="B237" s="18" t="s">
        <v>402</v>
      </c>
      <c r="C237" s="9" t="s">
        <v>10</v>
      </c>
      <c r="D237" s="9" t="s">
        <v>196</v>
      </c>
      <c r="E237" s="9" t="s">
        <v>62</v>
      </c>
      <c r="H237" s="7">
        <v>236.0</v>
      </c>
      <c r="I237" s="10" t="s">
        <v>403</v>
      </c>
    </row>
    <row r="238">
      <c r="A238" s="7">
        <v>237.0</v>
      </c>
      <c r="B238" s="21" t="s">
        <v>404</v>
      </c>
      <c r="C238" s="9" t="s">
        <v>59</v>
      </c>
      <c r="D238" s="16"/>
      <c r="E238" s="9" t="s">
        <v>62</v>
      </c>
      <c r="F238" s="16"/>
      <c r="G238" s="16"/>
      <c r="H238" s="7">
        <v>237.0</v>
      </c>
      <c r="I238" s="10" t="s">
        <v>405</v>
      </c>
    </row>
    <row r="239">
      <c r="A239" s="7">
        <v>238.0</v>
      </c>
      <c r="B239" s="18" t="s">
        <v>406</v>
      </c>
      <c r="C239" s="9" t="s">
        <v>10</v>
      </c>
      <c r="D239" s="16"/>
      <c r="E239" s="9" t="s">
        <v>12</v>
      </c>
      <c r="F239" s="16"/>
      <c r="G239" s="9" t="s">
        <v>14</v>
      </c>
      <c r="H239" s="7">
        <v>238.0</v>
      </c>
      <c r="I239" s="10" t="s">
        <v>407</v>
      </c>
    </row>
    <row r="240">
      <c r="A240" s="7">
        <v>239.0</v>
      </c>
      <c r="B240" s="18" t="s">
        <v>408</v>
      </c>
      <c r="C240" s="9" t="s">
        <v>61</v>
      </c>
      <c r="D240" s="16"/>
      <c r="E240" s="9" t="s">
        <v>62</v>
      </c>
      <c r="H240" s="7">
        <v>239.0</v>
      </c>
      <c r="I240" s="10" t="s">
        <v>409</v>
      </c>
    </row>
    <row r="241">
      <c r="A241" s="7">
        <v>240.0</v>
      </c>
      <c r="B241" s="18" t="s">
        <v>410</v>
      </c>
      <c r="C241" s="9" t="s">
        <v>10</v>
      </c>
      <c r="D241" s="16"/>
      <c r="E241" s="9" t="s">
        <v>62</v>
      </c>
      <c r="H241" s="7">
        <v>240.0</v>
      </c>
      <c r="I241" s="10" t="s">
        <v>411</v>
      </c>
    </row>
    <row r="242">
      <c r="A242" s="7">
        <v>241.0</v>
      </c>
      <c r="B242" s="18" t="s">
        <v>412</v>
      </c>
      <c r="C242" s="9" t="s">
        <v>61</v>
      </c>
      <c r="D242" s="16"/>
      <c r="E242" s="9" t="s">
        <v>62</v>
      </c>
      <c r="H242" s="7">
        <v>241.0</v>
      </c>
      <c r="I242" s="10" t="s">
        <v>413</v>
      </c>
    </row>
    <row r="243">
      <c r="A243" s="7">
        <v>242.0</v>
      </c>
      <c r="B243" s="21" t="s">
        <v>414</v>
      </c>
      <c r="C243" s="9" t="s">
        <v>61</v>
      </c>
      <c r="D243" s="16"/>
      <c r="E243" s="9" t="s">
        <v>62</v>
      </c>
      <c r="F243" s="16"/>
      <c r="G243" s="16"/>
      <c r="H243" s="7">
        <v>242.0</v>
      </c>
      <c r="I243" s="10" t="s">
        <v>415</v>
      </c>
    </row>
    <row r="244">
      <c r="A244" s="7">
        <v>243.0</v>
      </c>
      <c r="B244" s="21" t="s">
        <v>416</v>
      </c>
      <c r="C244" s="9" t="s">
        <v>10</v>
      </c>
      <c r="D244" s="16"/>
      <c r="E244" s="9" t="s">
        <v>62</v>
      </c>
      <c r="F244" s="16"/>
      <c r="G244" s="16"/>
      <c r="H244" s="7">
        <v>243.0</v>
      </c>
      <c r="I244" s="10" t="s">
        <v>417</v>
      </c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>
      <c r="A245" s="7">
        <v>244.0</v>
      </c>
      <c r="B245" s="18" t="s">
        <v>418</v>
      </c>
      <c r="C245" s="9" t="s">
        <v>10</v>
      </c>
      <c r="D245" s="16"/>
      <c r="E245" s="9" t="s">
        <v>62</v>
      </c>
      <c r="H245" s="7">
        <v>244.0</v>
      </c>
      <c r="I245" s="10" t="s">
        <v>419</v>
      </c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>
      <c r="A246" s="7">
        <v>245.0</v>
      </c>
      <c r="B246" s="18" t="s">
        <v>420</v>
      </c>
      <c r="C246" s="9" t="s">
        <v>57</v>
      </c>
      <c r="D246" s="16"/>
      <c r="E246" s="9" t="s">
        <v>62</v>
      </c>
      <c r="H246" s="7">
        <v>245.0</v>
      </c>
    </row>
    <row r="247">
      <c r="A247" s="7">
        <v>246.0</v>
      </c>
      <c r="B247" s="21" t="s">
        <v>421</v>
      </c>
      <c r="C247" s="9" t="s">
        <v>61</v>
      </c>
      <c r="D247" s="16"/>
      <c r="E247" s="9" t="s">
        <v>62</v>
      </c>
      <c r="F247" s="16"/>
      <c r="G247" s="16"/>
      <c r="H247" s="7">
        <v>246.0</v>
      </c>
      <c r="I247" s="10" t="s">
        <v>422</v>
      </c>
    </row>
    <row r="248">
      <c r="A248" s="7">
        <v>247.0</v>
      </c>
      <c r="B248" s="18" t="s">
        <v>423</v>
      </c>
      <c r="C248" s="9" t="s">
        <v>59</v>
      </c>
      <c r="D248" s="9" t="s">
        <v>23</v>
      </c>
      <c r="E248" s="9" t="s">
        <v>12</v>
      </c>
      <c r="F248" s="9" t="s">
        <v>50</v>
      </c>
      <c r="G248" s="9" t="s">
        <v>14</v>
      </c>
      <c r="H248" s="7">
        <v>247.0</v>
      </c>
      <c r="I248" s="10" t="s">
        <v>424</v>
      </c>
    </row>
    <row r="249">
      <c r="A249" s="7">
        <v>248.0</v>
      </c>
      <c r="B249" s="18" t="s">
        <v>425</v>
      </c>
      <c r="C249" s="9" t="s">
        <v>59</v>
      </c>
      <c r="D249" s="16"/>
      <c r="E249" s="9" t="s">
        <v>12</v>
      </c>
      <c r="F249" s="16"/>
      <c r="G249" s="9" t="s">
        <v>14</v>
      </c>
      <c r="H249" s="7">
        <v>248.0</v>
      </c>
      <c r="I249" s="10" t="s">
        <v>426</v>
      </c>
      <c r="J249" s="9" t="s">
        <v>194</v>
      </c>
    </row>
    <row r="250">
      <c r="A250" s="7">
        <v>249.0</v>
      </c>
      <c r="B250" s="18" t="s">
        <v>425</v>
      </c>
      <c r="C250" s="9" t="s">
        <v>61</v>
      </c>
      <c r="D250" s="16"/>
      <c r="E250" s="9" t="s">
        <v>12</v>
      </c>
      <c r="F250" s="16"/>
      <c r="G250" s="9" t="s">
        <v>14</v>
      </c>
      <c r="H250" s="7">
        <v>249.0</v>
      </c>
      <c r="I250" s="10" t="s">
        <v>427</v>
      </c>
    </row>
    <row r="251">
      <c r="A251" s="7">
        <v>250.0</v>
      </c>
      <c r="B251" s="18" t="s">
        <v>428</v>
      </c>
      <c r="C251" s="9" t="s">
        <v>10</v>
      </c>
      <c r="D251" s="16"/>
      <c r="E251" s="9" t="s">
        <v>12</v>
      </c>
      <c r="F251" s="16"/>
      <c r="G251" s="9" t="s">
        <v>14</v>
      </c>
      <c r="H251" s="7">
        <v>250.0</v>
      </c>
      <c r="I251" s="25" t="s">
        <v>429</v>
      </c>
    </row>
    <row r="252">
      <c r="A252" s="7">
        <v>251.0</v>
      </c>
      <c r="B252" s="18" t="s">
        <v>430</v>
      </c>
      <c r="C252" s="9" t="s">
        <v>10</v>
      </c>
      <c r="D252" s="16"/>
      <c r="E252" s="9" t="s">
        <v>62</v>
      </c>
      <c r="H252" s="7">
        <v>251.0</v>
      </c>
      <c r="I252" s="10" t="s">
        <v>431</v>
      </c>
    </row>
    <row r="253">
      <c r="A253" s="7">
        <v>252.0</v>
      </c>
      <c r="B253" s="18" t="s">
        <v>432</v>
      </c>
      <c r="C253" s="9" t="s">
        <v>10</v>
      </c>
      <c r="D253" s="9" t="s">
        <v>16</v>
      </c>
      <c r="E253" s="9" t="s">
        <v>12</v>
      </c>
      <c r="F253" s="16"/>
      <c r="G253" s="9" t="s">
        <v>224</v>
      </c>
      <c r="H253" s="7">
        <v>252.0</v>
      </c>
      <c r="I253" s="10" t="s">
        <v>433</v>
      </c>
    </row>
    <row r="254">
      <c r="A254" s="7">
        <v>253.0</v>
      </c>
      <c r="B254" s="18" t="s">
        <v>434</v>
      </c>
      <c r="C254" s="9" t="s">
        <v>10</v>
      </c>
      <c r="D254" s="16"/>
      <c r="E254" s="9" t="s">
        <v>62</v>
      </c>
      <c r="H254" s="7">
        <v>253.0</v>
      </c>
      <c r="I254" s="10" t="s">
        <v>435</v>
      </c>
    </row>
    <row r="255">
      <c r="A255" s="7">
        <v>254.0</v>
      </c>
      <c r="B255" s="18" t="s">
        <v>436</v>
      </c>
      <c r="C255" s="9" t="s">
        <v>61</v>
      </c>
      <c r="D255" s="16"/>
      <c r="E255" s="9" t="s">
        <v>62</v>
      </c>
      <c r="H255" s="7">
        <v>254.0</v>
      </c>
    </row>
    <row r="256">
      <c r="A256" s="7">
        <v>255.0</v>
      </c>
      <c r="B256" s="18" t="s">
        <v>437</v>
      </c>
      <c r="C256" s="9" t="s">
        <v>10</v>
      </c>
      <c r="D256" s="9" t="s">
        <v>37</v>
      </c>
      <c r="E256" s="9" t="s">
        <v>12</v>
      </c>
      <c r="F256" s="9" t="s">
        <v>50</v>
      </c>
      <c r="G256" s="9" t="s">
        <v>372</v>
      </c>
      <c r="H256" s="7">
        <v>255.0</v>
      </c>
      <c r="I256" s="10" t="s">
        <v>438</v>
      </c>
    </row>
    <row r="257">
      <c r="A257" s="7">
        <v>256.0</v>
      </c>
      <c r="B257" s="18" t="s">
        <v>439</v>
      </c>
      <c r="C257" s="9" t="s">
        <v>10</v>
      </c>
      <c r="D257" s="9" t="s">
        <v>64</v>
      </c>
      <c r="E257" s="9" t="s">
        <v>12</v>
      </c>
      <c r="H257" s="7">
        <v>256.0</v>
      </c>
      <c r="I257" s="10" t="s">
        <v>440</v>
      </c>
    </row>
    <row r="258">
      <c r="A258" s="7">
        <v>257.0</v>
      </c>
      <c r="B258" s="18" t="s">
        <v>441</v>
      </c>
      <c r="C258" s="9" t="s">
        <v>10</v>
      </c>
      <c r="D258" s="9" t="s">
        <v>37</v>
      </c>
      <c r="E258" s="9" t="s">
        <v>12</v>
      </c>
      <c r="F258" s="9" t="s">
        <v>50</v>
      </c>
      <c r="G258" s="9" t="s">
        <v>372</v>
      </c>
      <c r="H258" s="7">
        <v>257.0</v>
      </c>
      <c r="I258" s="10" t="s">
        <v>442</v>
      </c>
    </row>
    <row r="259">
      <c r="A259" s="7">
        <v>258.0</v>
      </c>
      <c r="B259" s="18" t="s">
        <v>443</v>
      </c>
      <c r="C259" s="9" t="s">
        <v>61</v>
      </c>
      <c r="D259" s="16"/>
      <c r="E259" s="9" t="s">
        <v>12</v>
      </c>
      <c r="H259" s="7">
        <v>258.0</v>
      </c>
      <c r="I259" s="10" t="s">
        <v>444</v>
      </c>
    </row>
    <row r="260">
      <c r="A260" s="7">
        <v>259.0</v>
      </c>
      <c r="B260" s="21" t="s">
        <v>445</v>
      </c>
      <c r="C260" s="9" t="s">
        <v>61</v>
      </c>
      <c r="D260" s="16"/>
      <c r="E260" s="9" t="s">
        <v>62</v>
      </c>
      <c r="F260" s="16"/>
      <c r="G260" s="16"/>
      <c r="H260" s="7">
        <v>259.0</v>
      </c>
      <c r="I260" s="10" t="s">
        <v>446</v>
      </c>
    </row>
    <row r="261">
      <c r="A261" s="7">
        <v>260.0</v>
      </c>
      <c r="B261" s="18" t="s">
        <v>447</v>
      </c>
      <c r="C261" s="9" t="s">
        <v>59</v>
      </c>
      <c r="D261" s="9" t="s">
        <v>110</v>
      </c>
      <c r="E261" s="9" t="s">
        <v>12</v>
      </c>
      <c r="F261" s="16"/>
      <c r="G261" s="9" t="s">
        <v>111</v>
      </c>
      <c r="H261" s="7">
        <v>260.0</v>
      </c>
      <c r="I261" s="10" t="s">
        <v>448</v>
      </c>
    </row>
    <row r="262">
      <c r="A262" s="7">
        <v>261.0</v>
      </c>
      <c r="B262" s="18" t="s">
        <v>449</v>
      </c>
      <c r="C262" s="9" t="s">
        <v>57</v>
      </c>
      <c r="D262" s="16"/>
      <c r="E262" s="9" t="s">
        <v>62</v>
      </c>
      <c r="H262" s="7">
        <v>261.0</v>
      </c>
    </row>
    <row r="263">
      <c r="A263" s="7">
        <v>262.0</v>
      </c>
      <c r="B263" s="18" t="s">
        <v>450</v>
      </c>
      <c r="C263" s="9" t="s">
        <v>10</v>
      </c>
      <c r="D263" s="16"/>
      <c r="E263" s="9" t="s">
        <v>62</v>
      </c>
      <c r="F263" s="16"/>
      <c r="G263" s="16"/>
      <c r="H263" s="7">
        <v>262.0</v>
      </c>
      <c r="I263" s="10" t="s">
        <v>451</v>
      </c>
    </row>
    <row r="264">
      <c r="A264" s="7">
        <v>263.0</v>
      </c>
      <c r="B264" s="18" t="s">
        <v>452</v>
      </c>
      <c r="C264" s="9" t="s">
        <v>10</v>
      </c>
      <c r="D264" s="16"/>
      <c r="E264" s="9" t="s">
        <v>62</v>
      </c>
      <c r="H264" s="7">
        <v>263.0</v>
      </c>
      <c r="I264" s="10" t="s">
        <v>453</v>
      </c>
    </row>
    <row r="265">
      <c r="A265" s="7">
        <v>264.0</v>
      </c>
      <c r="B265" s="18" t="s">
        <v>454</v>
      </c>
      <c r="C265" s="9" t="s">
        <v>57</v>
      </c>
      <c r="D265" s="16"/>
      <c r="E265" s="9" t="s">
        <v>62</v>
      </c>
      <c r="H265" s="7">
        <v>264.0</v>
      </c>
    </row>
    <row r="266">
      <c r="A266" s="7">
        <v>265.0</v>
      </c>
      <c r="B266" s="18" t="s">
        <v>455</v>
      </c>
      <c r="C266" s="9" t="s">
        <v>10</v>
      </c>
      <c r="D266" s="9" t="s">
        <v>37</v>
      </c>
      <c r="E266" s="9" t="s">
        <v>12</v>
      </c>
      <c r="F266" s="9" t="s">
        <v>50</v>
      </c>
      <c r="G266" s="9" t="s">
        <v>372</v>
      </c>
      <c r="H266" s="7">
        <v>265.0</v>
      </c>
      <c r="I266" s="10" t="s">
        <v>456</v>
      </c>
    </row>
    <row r="267">
      <c r="A267" s="7">
        <v>266.0</v>
      </c>
      <c r="B267" s="18" t="s">
        <v>457</v>
      </c>
      <c r="C267" s="9" t="s">
        <v>61</v>
      </c>
      <c r="D267" s="9" t="s">
        <v>220</v>
      </c>
      <c r="E267" s="9" t="s">
        <v>12</v>
      </c>
      <c r="F267" s="16"/>
      <c r="G267" s="9" t="s">
        <v>224</v>
      </c>
      <c r="H267" s="7">
        <v>266.0</v>
      </c>
      <c r="I267" s="10" t="s">
        <v>458</v>
      </c>
    </row>
    <row r="268">
      <c r="A268" s="7">
        <v>267.0</v>
      </c>
      <c r="B268" s="18" t="s">
        <v>459</v>
      </c>
      <c r="C268" s="9" t="s">
        <v>10</v>
      </c>
      <c r="D268" s="9" t="s">
        <v>196</v>
      </c>
      <c r="E268" s="9" t="s">
        <v>12</v>
      </c>
      <c r="H268" s="7">
        <v>267.0</v>
      </c>
      <c r="I268" s="10" t="s">
        <v>460</v>
      </c>
    </row>
    <row r="269">
      <c r="A269" s="7">
        <v>268.0</v>
      </c>
      <c r="B269" s="18" t="s">
        <v>461</v>
      </c>
      <c r="C269" s="9" t="s">
        <v>59</v>
      </c>
      <c r="D269" s="9" t="s">
        <v>23</v>
      </c>
      <c r="E269" s="9" t="s">
        <v>12</v>
      </c>
      <c r="F269" s="9" t="s">
        <v>50</v>
      </c>
      <c r="G269" s="9" t="s">
        <v>111</v>
      </c>
      <c r="H269" s="7">
        <v>268.0</v>
      </c>
      <c r="I269" s="10" t="s">
        <v>462</v>
      </c>
    </row>
    <row r="270">
      <c r="A270" s="7">
        <v>269.0</v>
      </c>
      <c r="B270" s="18" t="s">
        <v>463</v>
      </c>
      <c r="C270" s="9" t="s">
        <v>10</v>
      </c>
      <c r="D270" s="16"/>
      <c r="E270" s="9" t="s">
        <v>62</v>
      </c>
      <c r="F270" s="16"/>
      <c r="G270" s="16"/>
      <c r="H270" s="7">
        <v>269.0</v>
      </c>
      <c r="I270" s="10" t="s">
        <v>464</v>
      </c>
    </row>
    <row r="271">
      <c r="A271" s="7">
        <v>270.0</v>
      </c>
      <c r="B271" s="18" t="s">
        <v>465</v>
      </c>
      <c r="C271" s="9" t="s">
        <v>10</v>
      </c>
      <c r="D271" s="9" t="s">
        <v>196</v>
      </c>
      <c r="E271" s="9" t="s">
        <v>12</v>
      </c>
      <c r="H271" s="7">
        <v>270.0</v>
      </c>
      <c r="I271" s="10" t="s">
        <v>466</v>
      </c>
    </row>
    <row r="272">
      <c r="A272" s="7">
        <v>271.0</v>
      </c>
      <c r="B272" s="18" t="s">
        <v>467</v>
      </c>
      <c r="C272" s="9" t="s">
        <v>59</v>
      </c>
      <c r="D272" s="16"/>
      <c r="E272" s="9" t="s">
        <v>12</v>
      </c>
      <c r="F272" s="16"/>
      <c r="G272" s="9" t="s">
        <v>111</v>
      </c>
      <c r="H272" s="7">
        <v>271.0</v>
      </c>
      <c r="I272" s="10" t="s">
        <v>468</v>
      </c>
    </row>
    <row r="273">
      <c r="A273" s="7">
        <v>272.0</v>
      </c>
      <c r="B273" s="18" t="s">
        <v>467</v>
      </c>
      <c r="C273" s="9" t="s">
        <v>61</v>
      </c>
      <c r="D273" s="16"/>
      <c r="E273" s="9" t="s">
        <v>12</v>
      </c>
      <c r="F273" s="16"/>
      <c r="G273" s="9" t="s">
        <v>111</v>
      </c>
      <c r="H273" s="7">
        <v>272.0</v>
      </c>
      <c r="I273" s="10" t="s">
        <v>469</v>
      </c>
    </row>
    <row r="274">
      <c r="A274" s="7">
        <v>273.0</v>
      </c>
      <c r="B274" s="18" t="s">
        <v>470</v>
      </c>
      <c r="C274" s="9" t="s">
        <v>61</v>
      </c>
      <c r="D274" s="9" t="s">
        <v>220</v>
      </c>
      <c r="E274" s="9" t="s">
        <v>12</v>
      </c>
      <c r="F274" s="16"/>
      <c r="G274" s="9" t="s">
        <v>111</v>
      </c>
      <c r="H274" s="7">
        <v>273.0</v>
      </c>
      <c r="I274" s="10" t="s">
        <v>471</v>
      </c>
    </row>
    <row r="275">
      <c r="A275" s="7">
        <v>274.0</v>
      </c>
      <c r="B275" s="18" t="s">
        <v>470</v>
      </c>
      <c r="C275" s="9" t="s">
        <v>10</v>
      </c>
      <c r="D275" s="16"/>
      <c r="E275" s="9" t="s">
        <v>12</v>
      </c>
      <c r="F275" s="16"/>
      <c r="G275" s="9" t="s">
        <v>111</v>
      </c>
      <c r="H275" s="7">
        <v>274.0</v>
      </c>
      <c r="I275" s="10" t="s">
        <v>472</v>
      </c>
    </row>
    <row r="276">
      <c r="A276" s="7">
        <v>275.0</v>
      </c>
      <c r="B276" s="26" t="s">
        <v>473</v>
      </c>
      <c r="C276" s="27" t="s">
        <v>10</v>
      </c>
      <c r="D276" s="20"/>
      <c r="E276" s="9" t="s">
        <v>12</v>
      </c>
      <c r="F276" s="20"/>
      <c r="G276" s="9" t="s">
        <v>111</v>
      </c>
      <c r="H276" s="7">
        <v>275.0</v>
      </c>
      <c r="I276" s="20"/>
      <c r="J276" s="20"/>
      <c r="K276" s="20"/>
      <c r="L276" s="20"/>
      <c r="M276" s="20"/>
    </row>
    <row r="277">
      <c r="A277" s="7">
        <v>276.0</v>
      </c>
      <c r="B277" s="18" t="s">
        <v>474</v>
      </c>
      <c r="C277" s="9" t="s">
        <v>10</v>
      </c>
      <c r="D277" s="9" t="s">
        <v>64</v>
      </c>
      <c r="E277" s="9" t="s">
        <v>12</v>
      </c>
      <c r="H277" s="7">
        <v>276.0</v>
      </c>
      <c r="I277" s="10" t="s">
        <v>475</v>
      </c>
    </row>
    <row r="278">
      <c r="A278" s="7">
        <v>277.0</v>
      </c>
      <c r="B278" s="18" t="s">
        <v>476</v>
      </c>
      <c r="C278" s="9" t="s">
        <v>10</v>
      </c>
      <c r="D278" s="16"/>
      <c r="E278" s="9" t="s">
        <v>62</v>
      </c>
      <c r="H278" s="7">
        <v>277.0</v>
      </c>
      <c r="I278" s="10" t="s">
        <v>477</v>
      </c>
    </row>
    <row r="279">
      <c r="A279" s="7">
        <v>278.0</v>
      </c>
      <c r="B279" s="15" t="s">
        <v>478</v>
      </c>
      <c r="C279" s="9" t="s">
        <v>10</v>
      </c>
      <c r="D279" s="9" t="s">
        <v>149</v>
      </c>
      <c r="E279" s="9" t="s">
        <v>12</v>
      </c>
      <c r="F279" s="16"/>
      <c r="G279" s="9" t="s">
        <v>14</v>
      </c>
      <c r="H279" s="7">
        <v>278.0</v>
      </c>
      <c r="I279" s="10" t="s">
        <v>479</v>
      </c>
    </row>
    <row r="280">
      <c r="A280" s="7">
        <v>279.0</v>
      </c>
      <c r="B280" s="18" t="s">
        <v>480</v>
      </c>
      <c r="C280" s="9" t="s">
        <v>61</v>
      </c>
      <c r="D280" s="16"/>
      <c r="E280" s="9" t="s">
        <v>12</v>
      </c>
      <c r="H280" s="7">
        <v>279.0</v>
      </c>
      <c r="I280" s="10" t="s">
        <v>481</v>
      </c>
    </row>
    <row r="281">
      <c r="A281" s="7">
        <v>280.0</v>
      </c>
      <c r="B281" s="26" t="s">
        <v>482</v>
      </c>
      <c r="C281" s="20"/>
      <c r="D281" s="20"/>
      <c r="E281" s="9" t="s">
        <v>12</v>
      </c>
      <c r="F281" s="20"/>
      <c r="G281" s="27" t="s">
        <v>111</v>
      </c>
      <c r="H281" s="7">
        <v>280.0</v>
      </c>
      <c r="I281" s="27"/>
      <c r="J281" s="20"/>
      <c r="K281" s="20"/>
      <c r="L281" s="20"/>
      <c r="M281" s="20"/>
    </row>
    <row r="282">
      <c r="A282" s="7">
        <v>281.0</v>
      </c>
      <c r="B282" s="18" t="s">
        <v>482</v>
      </c>
      <c r="C282" s="9" t="s">
        <v>61</v>
      </c>
      <c r="D282" s="16"/>
      <c r="E282" s="9" t="s">
        <v>12</v>
      </c>
      <c r="F282" s="16"/>
      <c r="G282" s="27" t="s">
        <v>111</v>
      </c>
      <c r="H282" s="7">
        <v>281.0</v>
      </c>
      <c r="I282" s="10" t="s">
        <v>483</v>
      </c>
    </row>
    <row r="283">
      <c r="A283" s="7">
        <v>282.0</v>
      </c>
      <c r="B283" s="18" t="s">
        <v>482</v>
      </c>
      <c r="C283" s="9" t="s">
        <v>10</v>
      </c>
      <c r="D283" s="16"/>
      <c r="E283" s="9" t="s">
        <v>12</v>
      </c>
      <c r="F283" s="16"/>
      <c r="G283" s="27" t="s">
        <v>111</v>
      </c>
      <c r="H283" s="7">
        <v>282.0</v>
      </c>
      <c r="I283" s="10" t="s">
        <v>484</v>
      </c>
    </row>
    <row r="284">
      <c r="A284" s="7">
        <v>283.0</v>
      </c>
      <c r="B284" s="18" t="s">
        <v>485</v>
      </c>
      <c r="C284" s="9" t="s">
        <v>61</v>
      </c>
      <c r="D284" s="9" t="s">
        <v>220</v>
      </c>
      <c r="E284" s="9" t="s">
        <v>12</v>
      </c>
      <c r="F284" s="16"/>
      <c r="G284" s="9" t="s">
        <v>14</v>
      </c>
      <c r="H284" s="7">
        <v>283.0</v>
      </c>
      <c r="I284" s="10" t="s">
        <v>486</v>
      </c>
    </row>
    <row r="285">
      <c r="A285" s="7">
        <v>284.0</v>
      </c>
      <c r="B285" s="18" t="s">
        <v>487</v>
      </c>
      <c r="C285" s="9" t="s">
        <v>10</v>
      </c>
      <c r="D285" s="16"/>
      <c r="E285" s="9" t="s">
        <v>62</v>
      </c>
      <c r="F285" s="16"/>
      <c r="G285" s="16"/>
      <c r="H285" s="7">
        <v>284.0</v>
      </c>
      <c r="I285" s="10" t="s">
        <v>488</v>
      </c>
    </row>
    <row r="286">
      <c r="A286" s="7">
        <v>285.0</v>
      </c>
      <c r="B286" s="18" t="s">
        <v>489</v>
      </c>
      <c r="C286" s="9" t="s">
        <v>59</v>
      </c>
      <c r="D286" s="16"/>
      <c r="E286" s="9" t="s">
        <v>12</v>
      </c>
      <c r="F286" s="16"/>
      <c r="G286" s="9" t="s">
        <v>14</v>
      </c>
      <c r="H286" s="7">
        <v>285.0</v>
      </c>
      <c r="I286" s="10" t="s">
        <v>490</v>
      </c>
    </row>
    <row r="287">
      <c r="A287" s="7">
        <v>286.0</v>
      </c>
      <c r="B287" s="18" t="s">
        <v>491</v>
      </c>
      <c r="C287" s="9" t="s">
        <v>61</v>
      </c>
      <c r="D287" s="16"/>
      <c r="E287" s="9" t="s">
        <v>62</v>
      </c>
      <c r="H287" s="7">
        <v>286.0</v>
      </c>
    </row>
    <row r="288">
      <c r="A288" s="7">
        <v>287.0</v>
      </c>
      <c r="B288" s="21" t="s">
        <v>492</v>
      </c>
      <c r="C288" s="9" t="s">
        <v>61</v>
      </c>
      <c r="D288" s="16"/>
      <c r="E288" s="9" t="s">
        <v>62</v>
      </c>
      <c r="F288" s="16"/>
      <c r="G288" s="16"/>
      <c r="H288" s="7">
        <v>287.0</v>
      </c>
      <c r="I288" s="10" t="s">
        <v>493</v>
      </c>
    </row>
    <row r="289">
      <c r="A289" s="7">
        <v>288.0</v>
      </c>
      <c r="B289" s="21" t="s">
        <v>494</v>
      </c>
      <c r="C289" s="9" t="s">
        <v>10</v>
      </c>
      <c r="D289" s="16"/>
      <c r="E289" s="9" t="s">
        <v>62</v>
      </c>
      <c r="F289" s="16"/>
      <c r="G289" s="16"/>
      <c r="H289" s="7">
        <v>288.0</v>
      </c>
      <c r="I289" s="10" t="s">
        <v>495</v>
      </c>
    </row>
    <row r="290">
      <c r="A290" s="7">
        <v>289.0</v>
      </c>
      <c r="B290" s="18" t="s">
        <v>496</v>
      </c>
      <c r="C290" s="9" t="s">
        <v>61</v>
      </c>
      <c r="D290" s="16"/>
      <c r="E290" s="9" t="s">
        <v>12</v>
      </c>
      <c r="H290" s="7">
        <v>289.0</v>
      </c>
    </row>
    <row r="291">
      <c r="A291" s="7">
        <v>290.0</v>
      </c>
      <c r="B291" s="18" t="s">
        <v>497</v>
      </c>
      <c r="C291" s="9" t="s">
        <v>10</v>
      </c>
      <c r="D291" s="16"/>
      <c r="E291" s="9" t="s">
        <v>62</v>
      </c>
      <c r="H291" s="7">
        <v>290.0</v>
      </c>
    </row>
    <row r="292">
      <c r="A292" s="7">
        <v>291.0</v>
      </c>
      <c r="B292" s="18" t="s">
        <v>498</v>
      </c>
      <c r="C292" s="9" t="s">
        <v>10</v>
      </c>
      <c r="D292" s="9" t="s">
        <v>26</v>
      </c>
      <c r="E292" s="9" t="s">
        <v>12</v>
      </c>
      <c r="F292" s="16"/>
      <c r="G292" s="16"/>
      <c r="H292" s="7">
        <v>291.0</v>
      </c>
      <c r="I292" s="10" t="s">
        <v>499</v>
      </c>
    </row>
    <row r="293">
      <c r="A293" s="7">
        <v>292.0</v>
      </c>
      <c r="B293" s="21" t="s">
        <v>500</v>
      </c>
      <c r="C293" s="9" t="s">
        <v>10</v>
      </c>
      <c r="D293" s="16"/>
      <c r="E293" s="9" t="s">
        <v>62</v>
      </c>
      <c r="F293" s="16"/>
      <c r="G293" s="16"/>
      <c r="H293" s="7">
        <v>292.0</v>
      </c>
      <c r="I293" s="10" t="s">
        <v>501</v>
      </c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>
      <c r="A294" s="7">
        <v>293.0</v>
      </c>
      <c r="B294" s="18" t="s">
        <v>502</v>
      </c>
      <c r="C294" s="9" t="s">
        <v>59</v>
      </c>
      <c r="D294" s="9" t="s">
        <v>110</v>
      </c>
      <c r="E294" s="9" t="s">
        <v>12</v>
      </c>
      <c r="F294" s="16"/>
      <c r="G294" s="9" t="s">
        <v>111</v>
      </c>
      <c r="H294" s="7">
        <v>293.0</v>
      </c>
      <c r="I294" s="10" t="s">
        <v>503</v>
      </c>
    </row>
    <row r="295">
      <c r="A295" s="7">
        <v>294.0</v>
      </c>
      <c r="B295" s="18" t="s">
        <v>502</v>
      </c>
      <c r="C295" s="9" t="s">
        <v>10</v>
      </c>
      <c r="D295" s="16"/>
      <c r="E295" s="9" t="s">
        <v>12</v>
      </c>
      <c r="F295" s="16"/>
      <c r="G295" s="9" t="s">
        <v>111</v>
      </c>
      <c r="H295" s="7">
        <v>294.0</v>
      </c>
      <c r="I295" s="10" t="s">
        <v>504</v>
      </c>
    </row>
    <row r="296">
      <c r="A296" s="7">
        <v>295.0</v>
      </c>
      <c r="B296" s="18" t="s">
        <v>505</v>
      </c>
      <c r="C296" s="9" t="s">
        <v>57</v>
      </c>
      <c r="D296" s="16"/>
      <c r="E296" s="9" t="s">
        <v>62</v>
      </c>
      <c r="H296" s="7">
        <v>295.0</v>
      </c>
    </row>
    <row r="297">
      <c r="A297" s="7">
        <v>296.0</v>
      </c>
      <c r="B297" s="18" t="s">
        <v>506</v>
      </c>
      <c r="C297" s="9" t="s">
        <v>10</v>
      </c>
      <c r="D297" s="9" t="s">
        <v>196</v>
      </c>
      <c r="E297" s="9" t="s">
        <v>12</v>
      </c>
      <c r="H297" s="7">
        <v>296.0</v>
      </c>
      <c r="I297" s="10" t="s">
        <v>507</v>
      </c>
    </row>
    <row r="298">
      <c r="A298" s="7">
        <v>297.0</v>
      </c>
      <c r="B298" s="18" t="s">
        <v>209</v>
      </c>
      <c r="C298" s="9" t="s">
        <v>10</v>
      </c>
      <c r="D298" s="9" t="s">
        <v>74</v>
      </c>
      <c r="E298" s="9" t="s">
        <v>12</v>
      </c>
      <c r="F298" s="16"/>
      <c r="G298" s="9" t="s">
        <v>224</v>
      </c>
      <c r="H298" s="7">
        <v>297.0</v>
      </c>
      <c r="I298" s="10" t="s">
        <v>210</v>
      </c>
    </row>
    <row r="299">
      <c r="A299" s="7">
        <v>298.0</v>
      </c>
      <c r="B299" s="18" t="s">
        <v>508</v>
      </c>
      <c r="C299" s="9" t="s">
        <v>10</v>
      </c>
      <c r="D299" s="9" t="s">
        <v>64</v>
      </c>
      <c r="E299" s="9" t="s">
        <v>12</v>
      </c>
      <c r="H299" s="7">
        <v>298.0</v>
      </c>
      <c r="I299" s="10" t="s">
        <v>509</v>
      </c>
    </row>
    <row r="300">
      <c r="A300" s="7">
        <v>299.0</v>
      </c>
      <c r="B300" s="18" t="s">
        <v>510</v>
      </c>
      <c r="C300" s="9" t="s">
        <v>10</v>
      </c>
      <c r="D300" s="9" t="s">
        <v>220</v>
      </c>
      <c r="E300" s="9" t="s">
        <v>12</v>
      </c>
      <c r="F300" s="16"/>
      <c r="G300" s="9" t="s">
        <v>14</v>
      </c>
      <c r="H300" s="7">
        <v>299.0</v>
      </c>
      <c r="I300" s="10" t="s">
        <v>511</v>
      </c>
    </row>
    <row r="301">
      <c r="A301" s="7">
        <v>300.0</v>
      </c>
      <c r="B301" s="18" t="s">
        <v>510</v>
      </c>
      <c r="C301" s="9" t="s">
        <v>61</v>
      </c>
      <c r="D301" s="16"/>
      <c r="E301" s="9" t="s">
        <v>12</v>
      </c>
      <c r="F301" s="16"/>
      <c r="G301" s="9" t="s">
        <v>14</v>
      </c>
      <c r="H301" s="7">
        <v>300.0</v>
      </c>
      <c r="I301" s="10" t="s">
        <v>512</v>
      </c>
    </row>
    <row r="302">
      <c r="A302" s="7">
        <v>301.0</v>
      </c>
      <c r="B302" s="18" t="s">
        <v>513</v>
      </c>
      <c r="C302" s="9" t="s">
        <v>61</v>
      </c>
      <c r="D302" s="9" t="s">
        <v>220</v>
      </c>
      <c r="E302" s="9" t="s">
        <v>12</v>
      </c>
      <c r="F302" s="16"/>
      <c r="G302" s="9" t="s">
        <v>111</v>
      </c>
      <c r="H302" s="7">
        <v>301.0</v>
      </c>
      <c r="I302" s="10" t="s">
        <v>514</v>
      </c>
    </row>
    <row r="303">
      <c r="A303" s="7">
        <v>302.0</v>
      </c>
      <c r="B303" s="18" t="s">
        <v>513</v>
      </c>
      <c r="C303" s="9" t="s">
        <v>10</v>
      </c>
      <c r="D303" s="16"/>
      <c r="E303" s="9" t="s">
        <v>12</v>
      </c>
      <c r="F303" s="16"/>
      <c r="G303" s="9" t="s">
        <v>111</v>
      </c>
      <c r="H303" s="7">
        <v>302.0</v>
      </c>
      <c r="I303" s="10" t="s">
        <v>514</v>
      </c>
    </row>
    <row r="304">
      <c r="A304" s="7">
        <v>303.0</v>
      </c>
      <c r="B304" s="18" t="s">
        <v>515</v>
      </c>
      <c r="C304" s="9" t="s">
        <v>61</v>
      </c>
      <c r="D304" s="16"/>
      <c r="E304" s="9" t="s">
        <v>12</v>
      </c>
      <c r="F304" s="16"/>
      <c r="G304" s="9" t="s">
        <v>14</v>
      </c>
      <c r="H304" s="7">
        <v>303.0</v>
      </c>
      <c r="I304" s="10" t="s">
        <v>125</v>
      </c>
    </row>
    <row r="305">
      <c r="A305" s="7">
        <v>304.0</v>
      </c>
      <c r="B305" s="18" t="s">
        <v>516</v>
      </c>
      <c r="C305" s="9" t="s">
        <v>10</v>
      </c>
      <c r="D305" s="9" t="s">
        <v>37</v>
      </c>
      <c r="E305" s="9" t="s">
        <v>12</v>
      </c>
      <c r="F305" s="9" t="s">
        <v>50</v>
      </c>
      <c r="G305" s="9" t="s">
        <v>14</v>
      </c>
      <c r="H305" s="7">
        <v>304.0</v>
      </c>
      <c r="I305" s="10" t="s">
        <v>517</v>
      </c>
    </row>
    <row r="306">
      <c r="A306" s="7">
        <v>305.0</v>
      </c>
      <c r="B306" s="18" t="s">
        <v>518</v>
      </c>
      <c r="C306" s="9" t="s">
        <v>10</v>
      </c>
      <c r="D306" s="9" t="s">
        <v>37</v>
      </c>
      <c r="E306" s="9" t="s">
        <v>12</v>
      </c>
      <c r="F306" s="9" t="s">
        <v>50</v>
      </c>
      <c r="G306" s="9" t="s">
        <v>14</v>
      </c>
      <c r="H306" s="7">
        <v>305.0</v>
      </c>
      <c r="I306" s="10" t="s">
        <v>519</v>
      </c>
    </row>
    <row r="307">
      <c r="A307" s="7">
        <v>306.0</v>
      </c>
      <c r="B307" s="18" t="s">
        <v>520</v>
      </c>
      <c r="C307" s="9" t="s">
        <v>10</v>
      </c>
      <c r="D307" s="9" t="s">
        <v>26</v>
      </c>
      <c r="E307" s="9" t="s">
        <v>12</v>
      </c>
      <c r="F307" s="16"/>
      <c r="G307" s="16"/>
      <c r="H307" s="7">
        <v>306.0</v>
      </c>
      <c r="I307" s="10" t="s">
        <v>521</v>
      </c>
    </row>
    <row r="308">
      <c r="A308" s="7">
        <v>307.0</v>
      </c>
      <c r="B308" s="18" t="s">
        <v>522</v>
      </c>
      <c r="C308" s="9" t="s">
        <v>10</v>
      </c>
      <c r="D308" s="9" t="s">
        <v>196</v>
      </c>
      <c r="E308" s="9" t="s">
        <v>12</v>
      </c>
      <c r="H308" s="7">
        <v>307.0</v>
      </c>
      <c r="I308" s="10" t="s">
        <v>523</v>
      </c>
    </row>
    <row r="309">
      <c r="A309" s="7">
        <v>308.0</v>
      </c>
      <c r="B309" s="18" t="s">
        <v>524</v>
      </c>
      <c r="C309" s="9" t="s">
        <v>53</v>
      </c>
      <c r="D309" s="9" t="s">
        <v>55</v>
      </c>
      <c r="E309" s="9" t="s">
        <v>12</v>
      </c>
      <c r="F309" s="16"/>
      <c r="G309" s="9" t="s">
        <v>14</v>
      </c>
      <c r="H309" s="7">
        <v>308.0</v>
      </c>
      <c r="I309" s="10" t="s">
        <v>525</v>
      </c>
    </row>
    <row r="310">
      <c r="A310" s="7">
        <v>309.0</v>
      </c>
      <c r="B310" s="18" t="s">
        <v>524</v>
      </c>
      <c r="C310" s="9" t="s">
        <v>10</v>
      </c>
      <c r="D310" s="16"/>
      <c r="E310" s="9" t="s">
        <v>12</v>
      </c>
      <c r="F310" s="16"/>
      <c r="G310" s="9" t="s">
        <v>14</v>
      </c>
      <c r="H310" s="7">
        <v>309.0</v>
      </c>
      <c r="I310" s="10" t="s">
        <v>525</v>
      </c>
    </row>
    <row r="311">
      <c r="A311" s="7">
        <v>310.0</v>
      </c>
      <c r="B311" s="18" t="s">
        <v>524</v>
      </c>
      <c r="C311" s="9" t="s">
        <v>57</v>
      </c>
      <c r="D311" s="16"/>
      <c r="E311" s="9" t="s">
        <v>12</v>
      </c>
      <c r="F311" s="16"/>
      <c r="G311" s="9" t="s">
        <v>14</v>
      </c>
      <c r="H311" s="7">
        <v>310.0</v>
      </c>
      <c r="I311" s="10" t="s">
        <v>525</v>
      </c>
    </row>
    <row r="312">
      <c r="A312" s="7">
        <v>311.0</v>
      </c>
      <c r="B312" s="18" t="s">
        <v>524</v>
      </c>
      <c r="C312" s="9" t="s">
        <v>59</v>
      </c>
      <c r="D312" s="16"/>
      <c r="E312" s="9" t="s">
        <v>12</v>
      </c>
      <c r="F312" s="16"/>
      <c r="G312" s="9" t="s">
        <v>14</v>
      </c>
      <c r="H312" s="7">
        <v>311.0</v>
      </c>
      <c r="I312" s="10" t="s">
        <v>525</v>
      </c>
    </row>
    <row r="313">
      <c r="A313" s="7">
        <v>312.0</v>
      </c>
      <c r="B313" s="18" t="s">
        <v>524</v>
      </c>
      <c r="C313" s="9" t="s">
        <v>61</v>
      </c>
      <c r="D313" s="16"/>
      <c r="E313" s="9" t="s">
        <v>12</v>
      </c>
      <c r="F313" s="16"/>
      <c r="G313" s="9" t="s">
        <v>14</v>
      </c>
      <c r="H313" s="7">
        <v>312.0</v>
      </c>
      <c r="I313" s="10" t="s">
        <v>526</v>
      </c>
    </row>
    <row r="314">
      <c r="A314" s="7">
        <v>313.0</v>
      </c>
      <c r="B314" s="18" t="s">
        <v>527</v>
      </c>
      <c r="C314" s="9" t="s">
        <v>10</v>
      </c>
      <c r="D314" s="9" t="s">
        <v>37</v>
      </c>
      <c r="E314" s="9" t="s">
        <v>12</v>
      </c>
      <c r="F314" s="9" t="s">
        <v>50</v>
      </c>
      <c r="G314" s="9" t="s">
        <v>14</v>
      </c>
      <c r="H314" s="7">
        <v>313.0</v>
      </c>
      <c r="I314" s="10" t="s">
        <v>528</v>
      </c>
      <c r="J314" s="9" t="s">
        <v>194</v>
      </c>
    </row>
    <row r="315">
      <c r="A315" s="7">
        <v>314.0</v>
      </c>
      <c r="B315" s="18" t="s">
        <v>529</v>
      </c>
      <c r="C315" s="9" t="s">
        <v>59</v>
      </c>
      <c r="D315" s="16"/>
      <c r="E315" s="9" t="s">
        <v>62</v>
      </c>
      <c r="H315" s="7">
        <v>314.0</v>
      </c>
      <c r="I315" s="10" t="s">
        <v>530</v>
      </c>
    </row>
    <row r="316">
      <c r="A316" s="7">
        <v>315.0</v>
      </c>
      <c r="B316" s="18" t="s">
        <v>531</v>
      </c>
      <c r="C316" s="9" t="s">
        <v>61</v>
      </c>
      <c r="D316" s="16"/>
      <c r="E316" s="9" t="s">
        <v>12</v>
      </c>
      <c r="H316" s="7">
        <v>315.0</v>
      </c>
      <c r="I316" s="10" t="s">
        <v>532</v>
      </c>
    </row>
    <row r="317">
      <c r="A317" s="7">
        <v>316.0</v>
      </c>
      <c r="B317" s="18" t="s">
        <v>533</v>
      </c>
      <c r="C317" s="9" t="s">
        <v>10</v>
      </c>
      <c r="D317" s="9" t="s">
        <v>196</v>
      </c>
      <c r="E317" s="9" t="s">
        <v>12</v>
      </c>
      <c r="H317" s="7">
        <v>316.0</v>
      </c>
      <c r="I317" s="10" t="s">
        <v>534</v>
      </c>
    </row>
    <row r="318">
      <c r="A318" s="7">
        <v>317.0</v>
      </c>
      <c r="B318" s="18" t="s">
        <v>535</v>
      </c>
      <c r="C318" s="9" t="s">
        <v>10</v>
      </c>
      <c r="D318" s="9" t="s">
        <v>196</v>
      </c>
      <c r="E318" s="9" t="s">
        <v>12</v>
      </c>
      <c r="H318" s="7">
        <v>317.0</v>
      </c>
      <c r="I318" s="10" t="s">
        <v>536</v>
      </c>
    </row>
    <row r="319">
      <c r="A319" s="7">
        <v>318.0</v>
      </c>
      <c r="B319" s="18" t="s">
        <v>537</v>
      </c>
      <c r="C319" s="9" t="s">
        <v>10</v>
      </c>
      <c r="D319" s="9" t="s">
        <v>74</v>
      </c>
      <c r="E319" s="9" t="s">
        <v>12</v>
      </c>
      <c r="F319" s="16"/>
      <c r="G319" s="9" t="s">
        <v>224</v>
      </c>
      <c r="H319" s="7">
        <v>318.0</v>
      </c>
      <c r="I319" s="10" t="s">
        <v>538</v>
      </c>
    </row>
    <row r="320">
      <c r="A320" s="7">
        <v>319.0</v>
      </c>
      <c r="B320" s="18" t="s">
        <v>539</v>
      </c>
      <c r="C320" s="9" t="s">
        <v>10</v>
      </c>
      <c r="D320" s="9" t="s">
        <v>26</v>
      </c>
      <c r="E320" s="9" t="s">
        <v>12</v>
      </c>
      <c r="F320" s="16"/>
      <c r="G320" s="16"/>
      <c r="H320" s="7">
        <v>319.0</v>
      </c>
      <c r="I320" s="10" t="s">
        <v>540</v>
      </c>
    </row>
    <row r="321">
      <c r="A321" s="7">
        <v>320.0</v>
      </c>
      <c r="B321" s="21" t="s">
        <v>541</v>
      </c>
      <c r="C321" s="9" t="s">
        <v>10</v>
      </c>
      <c r="D321" s="16"/>
      <c r="E321" s="9" t="s">
        <v>62</v>
      </c>
      <c r="H321" s="7">
        <v>320.0</v>
      </c>
      <c r="I321" s="10" t="s">
        <v>542</v>
      </c>
    </row>
    <row r="322">
      <c r="A322" s="7">
        <v>321.0</v>
      </c>
      <c r="B322" s="18" t="s">
        <v>543</v>
      </c>
      <c r="C322" s="9" t="s">
        <v>10</v>
      </c>
      <c r="D322" s="16"/>
      <c r="E322" s="9" t="s">
        <v>62</v>
      </c>
      <c r="H322" s="7">
        <v>321.0</v>
      </c>
    </row>
    <row r="323">
      <c r="A323" s="7">
        <v>322.0</v>
      </c>
      <c r="B323" s="18" t="s">
        <v>544</v>
      </c>
      <c r="C323" s="9" t="s">
        <v>59</v>
      </c>
      <c r="D323" s="16"/>
      <c r="E323" s="9" t="s">
        <v>62</v>
      </c>
      <c r="H323" s="7">
        <v>322.0</v>
      </c>
      <c r="I323" s="10" t="s">
        <v>545</v>
      </c>
    </row>
    <row r="324">
      <c r="A324" s="7">
        <v>323.0</v>
      </c>
      <c r="B324" s="15" t="s">
        <v>546</v>
      </c>
      <c r="C324" s="9" t="s">
        <v>10</v>
      </c>
      <c r="D324" s="9" t="s">
        <v>132</v>
      </c>
      <c r="E324" s="9" t="s">
        <v>12</v>
      </c>
      <c r="F324" s="16"/>
      <c r="G324" s="9" t="s">
        <v>14</v>
      </c>
      <c r="H324" s="7">
        <v>323.0</v>
      </c>
      <c r="I324" s="10" t="s">
        <v>547</v>
      </c>
    </row>
    <row r="325">
      <c r="A325" s="7">
        <v>324.0</v>
      </c>
      <c r="B325" s="18" t="s">
        <v>548</v>
      </c>
      <c r="C325" s="9" t="s">
        <v>10</v>
      </c>
      <c r="D325" s="9" t="s">
        <v>64</v>
      </c>
      <c r="E325" s="9" t="s">
        <v>62</v>
      </c>
      <c r="H325" s="7">
        <v>324.0</v>
      </c>
      <c r="I325" s="10" t="s">
        <v>549</v>
      </c>
    </row>
    <row r="326">
      <c r="A326" s="7">
        <v>325.0</v>
      </c>
      <c r="B326" s="18" t="s">
        <v>550</v>
      </c>
      <c r="C326" s="9" t="s">
        <v>57</v>
      </c>
      <c r="D326" s="16"/>
      <c r="E326" s="9" t="s">
        <v>62</v>
      </c>
      <c r="H326" s="7">
        <v>325.0</v>
      </c>
    </row>
    <row r="327">
      <c r="A327" s="7">
        <v>326.0</v>
      </c>
      <c r="B327" s="18" t="s">
        <v>551</v>
      </c>
      <c r="C327" s="9" t="s">
        <v>61</v>
      </c>
      <c r="D327" s="9" t="s">
        <v>74</v>
      </c>
      <c r="E327" s="9" t="s">
        <v>12</v>
      </c>
      <c r="F327" s="16"/>
      <c r="G327" s="9" t="s">
        <v>14</v>
      </c>
      <c r="H327" s="7">
        <v>326.0</v>
      </c>
      <c r="I327" s="10" t="s">
        <v>552</v>
      </c>
    </row>
    <row r="328">
      <c r="A328" s="7">
        <v>327.0</v>
      </c>
      <c r="B328" s="18" t="s">
        <v>553</v>
      </c>
      <c r="C328" s="9" t="s">
        <v>61</v>
      </c>
      <c r="D328" s="16"/>
      <c r="E328" s="9" t="s">
        <v>62</v>
      </c>
      <c r="F328" s="16"/>
      <c r="G328" s="16"/>
      <c r="H328" s="7">
        <v>327.0</v>
      </c>
      <c r="I328" s="10" t="s">
        <v>554</v>
      </c>
    </row>
    <row r="329">
      <c r="A329" s="7">
        <v>328.0</v>
      </c>
      <c r="B329" s="18" t="s">
        <v>555</v>
      </c>
      <c r="C329" s="9" t="s">
        <v>61</v>
      </c>
      <c r="D329" s="16"/>
      <c r="E329" s="9" t="s">
        <v>62</v>
      </c>
      <c r="H329" s="7">
        <v>328.0</v>
      </c>
      <c r="I329" s="10" t="s">
        <v>556</v>
      </c>
    </row>
    <row r="330">
      <c r="A330" s="7">
        <v>329.0</v>
      </c>
      <c r="B330" s="18" t="s">
        <v>557</v>
      </c>
      <c r="C330" s="9" t="s">
        <v>57</v>
      </c>
      <c r="D330" s="16"/>
      <c r="E330" s="9" t="s">
        <v>62</v>
      </c>
      <c r="H330" s="7">
        <v>329.0</v>
      </c>
    </row>
    <row r="331">
      <c r="A331" s="7">
        <v>330.0</v>
      </c>
      <c r="B331" s="18" t="s">
        <v>558</v>
      </c>
      <c r="C331" s="9" t="s">
        <v>57</v>
      </c>
      <c r="D331" s="16"/>
      <c r="E331" s="9" t="s">
        <v>62</v>
      </c>
      <c r="H331" s="7">
        <v>330.0</v>
      </c>
    </row>
    <row r="332">
      <c r="A332" s="7">
        <v>331.0</v>
      </c>
      <c r="B332" s="18" t="s">
        <v>559</v>
      </c>
      <c r="C332" s="9" t="s">
        <v>10</v>
      </c>
      <c r="D332" s="9" t="s">
        <v>74</v>
      </c>
      <c r="E332" s="9" t="s">
        <v>12</v>
      </c>
      <c r="F332" s="16"/>
      <c r="G332" s="9" t="s">
        <v>224</v>
      </c>
      <c r="H332" s="7">
        <v>331.0</v>
      </c>
      <c r="I332" s="10" t="s">
        <v>560</v>
      </c>
    </row>
    <row r="333">
      <c r="A333" s="7">
        <v>332.0</v>
      </c>
      <c r="B333" s="15" t="s">
        <v>561</v>
      </c>
      <c r="C333" s="9" t="s">
        <v>10</v>
      </c>
      <c r="D333" s="9" t="s">
        <v>132</v>
      </c>
      <c r="E333" s="9" t="s">
        <v>12</v>
      </c>
      <c r="F333" s="16"/>
      <c r="G333" s="9" t="s">
        <v>14</v>
      </c>
      <c r="H333" s="7">
        <v>332.0</v>
      </c>
      <c r="I333" s="10" t="s">
        <v>562</v>
      </c>
    </row>
    <row r="334">
      <c r="A334" s="7">
        <v>333.0</v>
      </c>
      <c r="B334" s="18" t="s">
        <v>563</v>
      </c>
      <c r="C334" s="9" t="s">
        <v>59</v>
      </c>
      <c r="D334" s="9" t="s">
        <v>16</v>
      </c>
      <c r="E334" s="9" t="s">
        <v>12</v>
      </c>
      <c r="F334" s="16"/>
      <c r="G334" s="9" t="s">
        <v>14</v>
      </c>
      <c r="H334" s="7">
        <v>333.0</v>
      </c>
      <c r="I334" s="17" t="s">
        <v>564</v>
      </c>
    </row>
    <row r="335">
      <c r="A335" s="7">
        <v>334.0</v>
      </c>
      <c r="B335" s="18" t="s">
        <v>563</v>
      </c>
      <c r="C335" s="9" t="s">
        <v>10</v>
      </c>
      <c r="D335" s="16"/>
      <c r="E335" s="9" t="s">
        <v>12</v>
      </c>
      <c r="F335" s="16"/>
      <c r="G335" s="9" t="s">
        <v>14</v>
      </c>
      <c r="H335" s="7">
        <v>334.0</v>
      </c>
      <c r="I335" s="10" t="s">
        <v>565</v>
      </c>
    </row>
    <row r="336">
      <c r="A336" s="7">
        <v>335.0</v>
      </c>
      <c r="B336" s="18" t="s">
        <v>566</v>
      </c>
      <c r="C336" s="9" t="s">
        <v>59</v>
      </c>
      <c r="D336" s="16"/>
      <c r="E336" s="9" t="s">
        <v>12</v>
      </c>
      <c r="F336" s="16"/>
      <c r="G336" s="9" t="s">
        <v>14</v>
      </c>
      <c r="H336" s="7">
        <v>335.0</v>
      </c>
      <c r="I336" s="10" t="s">
        <v>567</v>
      </c>
    </row>
    <row r="337">
      <c r="A337" s="7">
        <v>336.0</v>
      </c>
      <c r="B337" s="18" t="s">
        <v>568</v>
      </c>
      <c r="C337" s="9" t="s">
        <v>59</v>
      </c>
      <c r="D337" s="16"/>
      <c r="E337" s="9" t="s">
        <v>62</v>
      </c>
      <c r="F337" s="16"/>
      <c r="G337" s="16"/>
      <c r="H337" s="7">
        <v>336.0</v>
      </c>
      <c r="I337" s="10" t="s">
        <v>569</v>
      </c>
    </row>
    <row r="338">
      <c r="A338" s="7">
        <v>337.0</v>
      </c>
      <c r="B338" s="18" t="s">
        <v>570</v>
      </c>
      <c r="C338" s="9" t="s">
        <v>10</v>
      </c>
      <c r="D338" s="9" t="s">
        <v>26</v>
      </c>
      <c r="E338" s="9" t="s">
        <v>12</v>
      </c>
      <c r="F338" s="16"/>
      <c r="G338" s="16"/>
      <c r="H338" s="7">
        <v>337.0</v>
      </c>
      <c r="I338" s="10" t="s">
        <v>571</v>
      </c>
    </row>
    <row r="339">
      <c r="A339" s="7">
        <v>338.0</v>
      </c>
      <c r="B339" s="18" t="s">
        <v>572</v>
      </c>
      <c r="C339" s="9" t="s">
        <v>59</v>
      </c>
      <c r="D339" s="9" t="s">
        <v>23</v>
      </c>
      <c r="E339" s="9" t="s">
        <v>12</v>
      </c>
      <c r="F339" s="9" t="s">
        <v>50</v>
      </c>
      <c r="G339" s="9" t="s">
        <v>14</v>
      </c>
      <c r="H339" s="7">
        <v>338.0</v>
      </c>
      <c r="I339" s="10" t="s">
        <v>573</v>
      </c>
    </row>
    <row r="340">
      <c r="A340" s="7">
        <v>339.0</v>
      </c>
      <c r="B340" s="18" t="s">
        <v>574</v>
      </c>
      <c r="C340" s="9" t="s">
        <v>10</v>
      </c>
      <c r="D340" s="9" t="s">
        <v>64</v>
      </c>
      <c r="E340" s="9" t="s">
        <v>12</v>
      </c>
      <c r="H340" s="7">
        <v>339.0</v>
      </c>
      <c r="I340" s="10" t="s">
        <v>575</v>
      </c>
    </row>
    <row r="341">
      <c r="A341" s="7">
        <v>340.0</v>
      </c>
      <c r="B341" s="18" t="s">
        <v>576</v>
      </c>
      <c r="C341" s="9" t="s">
        <v>59</v>
      </c>
      <c r="D341" s="9" t="s">
        <v>11</v>
      </c>
      <c r="E341" s="9" t="s">
        <v>12</v>
      </c>
      <c r="F341" s="16"/>
      <c r="G341" s="9" t="s">
        <v>14</v>
      </c>
      <c r="H341" s="7">
        <v>340.0</v>
      </c>
      <c r="I341" s="10" t="s">
        <v>577</v>
      </c>
    </row>
    <row r="342">
      <c r="A342" s="7">
        <v>341.0</v>
      </c>
      <c r="B342" s="18" t="s">
        <v>576</v>
      </c>
      <c r="C342" s="9" t="s">
        <v>10</v>
      </c>
      <c r="D342" s="16"/>
      <c r="E342" s="9" t="s">
        <v>12</v>
      </c>
      <c r="F342" s="16"/>
      <c r="G342" s="9" t="s">
        <v>14</v>
      </c>
      <c r="H342" s="7">
        <v>341.0</v>
      </c>
      <c r="I342" s="10" t="s">
        <v>578</v>
      </c>
    </row>
    <row r="343">
      <c r="A343" s="7">
        <v>342.0</v>
      </c>
      <c r="B343" s="18" t="s">
        <v>576</v>
      </c>
      <c r="C343" s="9" t="s">
        <v>61</v>
      </c>
      <c r="D343" s="16"/>
      <c r="E343" s="9" t="s">
        <v>12</v>
      </c>
      <c r="F343" s="16"/>
      <c r="G343" s="9" t="s">
        <v>14</v>
      </c>
      <c r="H343" s="7">
        <v>342.0</v>
      </c>
      <c r="I343" s="10" t="s">
        <v>579</v>
      </c>
    </row>
    <row r="344">
      <c r="A344" s="7">
        <v>343.0</v>
      </c>
      <c r="B344" s="18" t="s">
        <v>580</v>
      </c>
      <c r="C344" s="9" t="s">
        <v>10</v>
      </c>
      <c r="D344" s="16"/>
      <c r="E344" s="9" t="s">
        <v>62</v>
      </c>
      <c r="H344" s="7">
        <v>343.0</v>
      </c>
      <c r="I344" s="10" t="s">
        <v>581</v>
      </c>
    </row>
    <row r="345">
      <c r="A345" s="7">
        <v>344.0</v>
      </c>
      <c r="B345" s="18" t="s">
        <v>582</v>
      </c>
      <c r="C345" s="9" t="s">
        <v>10</v>
      </c>
      <c r="D345" s="16"/>
      <c r="E345" s="9" t="s">
        <v>12</v>
      </c>
      <c r="H345" s="7">
        <v>344.0</v>
      </c>
      <c r="I345" s="10" t="s">
        <v>583</v>
      </c>
    </row>
    <row r="346">
      <c r="A346" s="7">
        <v>345.0</v>
      </c>
      <c r="B346" s="18" t="s">
        <v>584</v>
      </c>
      <c r="C346" s="9" t="s">
        <v>59</v>
      </c>
      <c r="D346" s="16"/>
      <c r="E346" s="9" t="s">
        <v>62</v>
      </c>
      <c r="H346" s="7">
        <v>345.0</v>
      </c>
      <c r="I346" s="10" t="s">
        <v>585</v>
      </c>
    </row>
    <row r="347">
      <c r="A347" s="7">
        <v>346.0</v>
      </c>
      <c r="B347" s="18" t="s">
        <v>586</v>
      </c>
      <c r="C347" s="9" t="s">
        <v>10</v>
      </c>
      <c r="D347" s="16"/>
      <c r="E347" s="9" t="s">
        <v>62</v>
      </c>
      <c r="H347" s="7">
        <v>346.0</v>
      </c>
      <c r="I347" s="10" t="s">
        <v>587</v>
      </c>
    </row>
    <row r="348">
      <c r="A348" s="7">
        <v>347.0</v>
      </c>
      <c r="B348" s="18" t="s">
        <v>588</v>
      </c>
      <c r="C348" s="9" t="s">
        <v>61</v>
      </c>
      <c r="D348" s="16"/>
      <c r="E348" s="9" t="s">
        <v>12</v>
      </c>
      <c r="H348" s="7">
        <v>347.0</v>
      </c>
    </row>
    <row r="349">
      <c r="A349" s="7">
        <v>348.0</v>
      </c>
      <c r="B349" s="18" t="s">
        <v>589</v>
      </c>
      <c r="C349" s="9" t="s">
        <v>61</v>
      </c>
      <c r="D349" s="16"/>
      <c r="E349" s="9" t="s">
        <v>62</v>
      </c>
      <c r="H349" s="7">
        <v>348.0</v>
      </c>
    </row>
    <row r="350">
      <c r="A350" s="7">
        <v>349.0</v>
      </c>
      <c r="B350" s="21" t="s">
        <v>590</v>
      </c>
      <c r="C350" s="9" t="s">
        <v>10</v>
      </c>
      <c r="D350" s="16"/>
      <c r="E350" s="9" t="s">
        <v>62</v>
      </c>
      <c r="F350" s="16"/>
      <c r="G350" s="16"/>
      <c r="H350" s="7">
        <v>349.0</v>
      </c>
      <c r="I350" s="10" t="s">
        <v>591</v>
      </c>
    </row>
    <row r="351">
      <c r="A351" s="7">
        <v>350.0</v>
      </c>
      <c r="B351" s="28" t="s">
        <v>592</v>
      </c>
      <c r="C351" s="29" t="s">
        <v>10</v>
      </c>
      <c r="D351" s="30"/>
      <c r="E351" s="29" t="s">
        <v>62</v>
      </c>
      <c r="F351" s="30"/>
      <c r="G351" s="30"/>
      <c r="H351" s="7">
        <v>350.0</v>
      </c>
      <c r="I351" s="30"/>
      <c r="J351" s="30"/>
      <c r="K351" s="30"/>
      <c r="L351" s="30"/>
      <c r="M351" s="30"/>
    </row>
    <row r="352">
      <c r="A352" s="7">
        <v>351.0</v>
      </c>
      <c r="B352" s="18" t="s">
        <v>593</v>
      </c>
      <c r="C352" s="9" t="s">
        <v>10</v>
      </c>
      <c r="D352" s="9" t="s">
        <v>26</v>
      </c>
      <c r="E352" s="9" t="s">
        <v>12</v>
      </c>
      <c r="H352" s="7">
        <v>351.0</v>
      </c>
      <c r="I352" s="10" t="s">
        <v>594</v>
      </c>
    </row>
    <row r="353">
      <c r="A353" s="7">
        <v>352.0</v>
      </c>
      <c r="B353" s="18" t="s">
        <v>595</v>
      </c>
      <c r="C353" s="9" t="s">
        <v>61</v>
      </c>
      <c r="D353" s="9" t="s">
        <v>64</v>
      </c>
      <c r="E353" s="9" t="s">
        <v>12</v>
      </c>
      <c r="H353" s="7">
        <v>352.0</v>
      </c>
      <c r="I353" s="10" t="s">
        <v>596</v>
      </c>
    </row>
    <row r="354">
      <c r="A354" s="7">
        <v>353.0</v>
      </c>
      <c r="B354" s="18" t="s">
        <v>597</v>
      </c>
      <c r="C354" s="9" t="s">
        <v>10</v>
      </c>
      <c r="D354" s="9" t="s">
        <v>64</v>
      </c>
      <c r="E354" s="9" t="s">
        <v>62</v>
      </c>
      <c r="H354" s="7">
        <v>353.0</v>
      </c>
      <c r="I354" s="10" t="s">
        <v>598</v>
      </c>
    </row>
    <row r="355">
      <c r="A355" s="7">
        <v>354.0</v>
      </c>
      <c r="B355" s="18" t="s">
        <v>46</v>
      </c>
      <c r="C355" s="9" t="s">
        <v>10</v>
      </c>
      <c r="D355" s="9" t="s">
        <v>11</v>
      </c>
      <c r="E355" s="9" t="s">
        <v>12</v>
      </c>
      <c r="F355" s="9" t="s">
        <v>46</v>
      </c>
      <c r="G355" s="9" t="s">
        <v>14</v>
      </c>
      <c r="H355" s="7">
        <v>354.0</v>
      </c>
      <c r="I355" s="10" t="s">
        <v>599</v>
      </c>
      <c r="J355" s="9" t="s">
        <v>194</v>
      </c>
    </row>
    <row r="356">
      <c r="A356" s="7">
        <v>355.0</v>
      </c>
      <c r="B356" s="18" t="s">
        <v>600</v>
      </c>
      <c r="C356" s="9" t="s">
        <v>59</v>
      </c>
      <c r="D356" s="9" t="s">
        <v>23</v>
      </c>
      <c r="E356" s="9" t="s">
        <v>12</v>
      </c>
      <c r="F356" s="9" t="s">
        <v>50</v>
      </c>
      <c r="G356" s="9" t="s">
        <v>14</v>
      </c>
      <c r="H356" s="7">
        <v>355.0</v>
      </c>
      <c r="I356" s="10" t="s">
        <v>601</v>
      </c>
    </row>
    <row r="357">
      <c r="A357" s="7">
        <v>356.0</v>
      </c>
      <c r="B357" s="18" t="s">
        <v>602</v>
      </c>
      <c r="C357" s="9" t="s">
        <v>59</v>
      </c>
      <c r="D357" s="16"/>
      <c r="E357" s="9" t="s">
        <v>62</v>
      </c>
      <c r="F357" s="16"/>
      <c r="G357" s="16"/>
      <c r="H357" s="7">
        <v>356.0</v>
      </c>
      <c r="I357" s="10" t="s">
        <v>601</v>
      </c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>
      <c r="A358" s="7">
        <v>357.0</v>
      </c>
      <c r="B358" s="18" t="s">
        <v>603</v>
      </c>
      <c r="C358" s="9" t="s">
        <v>61</v>
      </c>
      <c r="D358" s="9" t="s">
        <v>220</v>
      </c>
      <c r="E358" s="9" t="s">
        <v>12</v>
      </c>
      <c r="F358" s="16"/>
      <c r="G358" s="9" t="s">
        <v>111</v>
      </c>
      <c r="H358" s="7">
        <v>357.0</v>
      </c>
      <c r="I358" s="10" t="s">
        <v>604</v>
      </c>
    </row>
    <row r="359">
      <c r="A359" s="7">
        <v>358.0</v>
      </c>
      <c r="B359" s="18" t="s">
        <v>603</v>
      </c>
      <c r="C359" s="9" t="s">
        <v>10</v>
      </c>
      <c r="D359" s="16"/>
      <c r="E359" s="9" t="s">
        <v>12</v>
      </c>
      <c r="F359" s="16"/>
      <c r="G359" s="9" t="s">
        <v>111</v>
      </c>
      <c r="H359" s="7">
        <v>358.0</v>
      </c>
      <c r="I359" s="10" t="s">
        <v>605</v>
      </c>
    </row>
    <row r="360">
      <c r="A360" s="7">
        <v>359.0</v>
      </c>
      <c r="B360" s="18" t="s">
        <v>606</v>
      </c>
      <c r="C360" s="9" t="s">
        <v>10</v>
      </c>
      <c r="D360" s="9" t="s">
        <v>64</v>
      </c>
      <c r="E360" s="9" t="s">
        <v>12</v>
      </c>
      <c r="H360" s="7">
        <v>359.0</v>
      </c>
      <c r="I360" s="10" t="s">
        <v>607</v>
      </c>
    </row>
    <row r="361">
      <c r="A361" s="7">
        <v>360.0</v>
      </c>
      <c r="B361" s="18" t="s">
        <v>608</v>
      </c>
      <c r="C361" s="9" t="s">
        <v>10</v>
      </c>
      <c r="D361" s="16"/>
      <c r="E361" s="9" t="s">
        <v>62</v>
      </c>
      <c r="H361" s="7">
        <v>360.0</v>
      </c>
      <c r="I361" s="10" t="s">
        <v>83</v>
      </c>
    </row>
    <row r="362">
      <c r="A362" s="7">
        <v>361.0</v>
      </c>
      <c r="B362" s="18" t="s">
        <v>609</v>
      </c>
      <c r="C362" s="9" t="s">
        <v>10</v>
      </c>
      <c r="D362" s="9" t="s">
        <v>64</v>
      </c>
      <c r="E362" s="9" t="s">
        <v>62</v>
      </c>
      <c r="H362" s="7">
        <v>361.0</v>
      </c>
      <c r="I362" s="10" t="s">
        <v>610</v>
      </c>
    </row>
    <row r="363">
      <c r="A363" s="7">
        <v>362.0</v>
      </c>
      <c r="B363" s="15" t="s">
        <v>611</v>
      </c>
      <c r="C363" s="9" t="s">
        <v>10</v>
      </c>
      <c r="D363" s="9" t="s">
        <v>132</v>
      </c>
      <c r="E363" s="9" t="s">
        <v>12</v>
      </c>
      <c r="F363" s="16"/>
      <c r="G363" s="9" t="s">
        <v>111</v>
      </c>
      <c r="H363" s="7">
        <v>362.0</v>
      </c>
      <c r="I363" s="10" t="s">
        <v>612</v>
      </c>
    </row>
    <row r="364">
      <c r="A364" s="7">
        <v>363.0</v>
      </c>
      <c r="B364" s="21" t="s">
        <v>613</v>
      </c>
      <c r="C364" s="9" t="s">
        <v>10</v>
      </c>
      <c r="D364" s="16"/>
      <c r="E364" s="9" t="s">
        <v>62</v>
      </c>
      <c r="F364" s="16"/>
      <c r="G364" s="16"/>
      <c r="H364" s="7">
        <v>363.0</v>
      </c>
      <c r="I364" s="10" t="s">
        <v>614</v>
      </c>
    </row>
    <row r="365">
      <c r="A365" s="7">
        <v>364.0</v>
      </c>
      <c r="B365" s="18" t="s">
        <v>615</v>
      </c>
      <c r="C365" s="9" t="s">
        <v>10</v>
      </c>
      <c r="D365" s="9" t="s">
        <v>16</v>
      </c>
      <c r="E365" s="9" t="s">
        <v>12</v>
      </c>
      <c r="F365" s="16"/>
      <c r="G365" s="9" t="s">
        <v>14</v>
      </c>
      <c r="H365" s="7">
        <v>364.0</v>
      </c>
      <c r="I365" s="10" t="s">
        <v>616</v>
      </c>
    </row>
    <row r="366">
      <c r="A366" s="7">
        <v>365.0</v>
      </c>
      <c r="B366" s="18" t="s">
        <v>617</v>
      </c>
      <c r="C366" s="9" t="s">
        <v>61</v>
      </c>
      <c r="D366" s="16"/>
      <c r="E366" s="9" t="s">
        <v>12</v>
      </c>
      <c r="H366" s="7">
        <v>365.0</v>
      </c>
    </row>
    <row r="367">
      <c r="A367" s="7">
        <v>366.0</v>
      </c>
      <c r="B367" s="18" t="s">
        <v>618</v>
      </c>
      <c r="C367" s="9" t="s">
        <v>10</v>
      </c>
      <c r="D367" s="9" t="s">
        <v>220</v>
      </c>
      <c r="E367" s="9" t="s">
        <v>12</v>
      </c>
      <c r="F367" s="16"/>
      <c r="G367" s="9" t="s">
        <v>14</v>
      </c>
      <c r="H367" s="7">
        <v>366.0</v>
      </c>
      <c r="I367" s="10" t="s">
        <v>619</v>
      </c>
    </row>
    <row r="368">
      <c r="A368" s="7">
        <v>367.0</v>
      </c>
      <c r="B368" s="18" t="s">
        <v>620</v>
      </c>
      <c r="C368" s="9" t="s">
        <v>10</v>
      </c>
      <c r="D368" s="16"/>
      <c r="E368" s="9" t="s">
        <v>12</v>
      </c>
      <c r="F368" s="16"/>
      <c r="G368" s="9" t="s">
        <v>14</v>
      </c>
      <c r="H368" s="7">
        <v>367.0</v>
      </c>
      <c r="I368" s="10" t="s">
        <v>621</v>
      </c>
    </row>
    <row r="369">
      <c r="A369" s="7">
        <v>368.0</v>
      </c>
      <c r="B369" s="18" t="s">
        <v>620</v>
      </c>
      <c r="C369" s="9" t="s">
        <v>59</v>
      </c>
      <c r="D369" s="16"/>
      <c r="E369" s="9" t="s">
        <v>12</v>
      </c>
      <c r="F369" s="16"/>
      <c r="G369" s="9" t="s">
        <v>14</v>
      </c>
      <c r="H369" s="7">
        <v>368.0</v>
      </c>
      <c r="I369" s="10" t="s">
        <v>621</v>
      </c>
    </row>
    <row r="370">
      <c r="A370" s="7">
        <v>369.0</v>
      </c>
      <c r="B370" s="18" t="s">
        <v>622</v>
      </c>
      <c r="C370" s="9" t="s">
        <v>10</v>
      </c>
      <c r="D370" s="9" t="s">
        <v>16</v>
      </c>
      <c r="E370" s="9" t="s">
        <v>12</v>
      </c>
      <c r="F370" s="16"/>
      <c r="G370" s="9" t="s">
        <v>14</v>
      </c>
      <c r="H370" s="7">
        <v>369.0</v>
      </c>
      <c r="I370" s="10" t="s">
        <v>623</v>
      </c>
    </row>
    <row r="371">
      <c r="A371" s="7">
        <v>370.0</v>
      </c>
      <c r="B371" s="21" t="s">
        <v>624</v>
      </c>
      <c r="C371" s="9" t="s">
        <v>59</v>
      </c>
      <c r="D371" s="16"/>
      <c r="E371" s="9" t="s">
        <v>62</v>
      </c>
      <c r="H371" s="7">
        <v>370.0</v>
      </c>
      <c r="I371" s="10" t="s">
        <v>625</v>
      </c>
    </row>
    <row r="372">
      <c r="A372" s="7">
        <v>371.0</v>
      </c>
      <c r="B372" s="15" t="s">
        <v>626</v>
      </c>
      <c r="C372" s="9" t="s">
        <v>10</v>
      </c>
      <c r="D372" s="9" t="s">
        <v>149</v>
      </c>
      <c r="E372" s="9" t="s">
        <v>12</v>
      </c>
      <c r="F372" s="16"/>
      <c r="G372" s="9" t="s">
        <v>14</v>
      </c>
      <c r="H372" s="7">
        <v>371.0</v>
      </c>
      <c r="I372" s="10" t="s">
        <v>627</v>
      </c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>
      <c r="A373" s="7">
        <v>372.0</v>
      </c>
      <c r="B373" s="18" t="s">
        <v>628</v>
      </c>
      <c r="C373" s="9" t="s">
        <v>10</v>
      </c>
      <c r="D373" s="16"/>
      <c r="E373" s="9" t="s">
        <v>62</v>
      </c>
      <c r="F373" s="16"/>
      <c r="G373" s="16"/>
      <c r="H373" s="7">
        <v>372.0</v>
      </c>
      <c r="I373" s="10" t="s">
        <v>629</v>
      </c>
    </row>
    <row r="374">
      <c r="A374" s="7">
        <v>373.0</v>
      </c>
      <c r="B374" s="18" t="s">
        <v>630</v>
      </c>
      <c r="C374" s="9" t="s">
        <v>10</v>
      </c>
      <c r="D374" s="9" t="s">
        <v>132</v>
      </c>
      <c r="E374" s="9" t="s">
        <v>12</v>
      </c>
      <c r="F374" s="16"/>
      <c r="G374" s="9" t="s">
        <v>14</v>
      </c>
      <c r="H374" s="7">
        <v>373.0</v>
      </c>
      <c r="I374" s="10" t="s">
        <v>631</v>
      </c>
    </row>
    <row r="375">
      <c r="A375" s="7">
        <v>374.0</v>
      </c>
      <c r="B375" s="21" t="s">
        <v>632</v>
      </c>
      <c r="C375" s="9" t="s">
        <v>10</v>
      </c>
      <c r="D375" s="16"/>
      <c r="E375" s="9" t="s">
        <v>62</v>
      </c>
      <c r="F375" s="16"/>
      <c r="G375" s="16"/>
      <c r="H375" s="7">
        <v>374.0</v>
      </c>
      <c r="I375" s="10" t="s">
        <v>633</v>
      </c>
    </row>
    <row r="376">
      <c r="A376" s="7">
        <v>375.0</v>
      </c>
      <c r="B376" s="15" t="s">
        <v>634</v>
      </c>
      <c r="C376" s="9" t="s">
        <v>10</v>
      </c>
      <c r="D376" s="9" t="s">
        <v>132</v>
      </c>
      <c r="E376" s="9" t="s">
        <v>12</v>
      </c>
      <c r="F376" s="16"/>
      <c r="G376" s="9" t="s">
        <v>14</v>
      </c>
      <c r="H376" s="7">
        <v>375.0</v>
      </c>
      <c r="I376" s="10" t="s">
        <v>635</v>
      </c>
    </row>
    <row r="377">
      <c r="A377" s="7">
        <v>376.0</v>
      </c>
      <c r="B377" s="18" t="s">
        <v>636</v>
      </c>
      <c r="C377" s="9" t="s">
        <v>61</v>
      </c>
      <c r="D377" s="16"/>
      <c r="E377" s="9" t="s">
        <v>62</v>
      </c>
      <c r="H377" s="7">
        <v>376.0</v>
      </c>
      <c r="I377" s="10" t="s">
        <v>637</v>
      </c>
    </row>
    <row r="378">
      <c r="A378" s="7">
        <v>377.0</v>
      </c>
      <c r="B378" s="18" t="s">
        <v>638</v>
      </c>
      <c r="C378" s="9" t="s">
        <v>10</v>
      </c>
      <c r="D378" s="9" t="s">
        <v>64</v>
      </c>
      <c r="E378" s="9" t="s">
        <v>12</v>
      </c>
      <c r="H378" s="7">
        <v>377.0</v>
      </c>
      <c r="I378" s="10" t="s">
        <v>639</v>
      </c>
    </row>
    <row r="379">
      <c r="A379" s="7">
        <v>378.0</v>
      </c>
      <c r="B379" s="18" t="s">
        <v>640</v>
      </c>
      <c r="C379" s="9" t="s">
        <v>10</v>
      </c>
      <c r="D379" s="9" t="s">
        <v>64</v>
      </c>
      <c r="E379" s="9" t="s">
        <v>12</v>
      </c>
      <c r="H379" s="7">
        <v>378.0</v>
      </c>
      <c r="I379" s="10" t="s">
        <v>641</v>
      </c>
    </row>
    <row r="380">
      <c r="A380" s="7">
        <v>379.0</v>
      </c>
      <c r="B380" s="18" t="s">
        <v>642</v>
      </c>
      <c r="C380" s="9" t="s">
        <v>10</v>
      </c>
      <c r="D380" s="9" t="s">
        <v>37</v>
      </c>
      <c r="E380" s="9" t="s">
        <v>12</v>
      </c>
      <c r="F380" s="9" t="s">
        <v>50</v>
      </c>
      <c r="G380" s="9" t="s">
        <v>14</v>
      </c>
      <c r="H380" s="7">
        <v>379.0</v>
      </c>
      <c r="I380" s="10" t="s">
        <v>643</v>
      </c>
    </row>
    <row r="381">
      <c r="A381" s="7">
        <v>380.0</v>
      </c>
      <c r="B381" s="18" t="s">
        <v>644</v>
      </c>
      <c r="C381" s="9" t="s">
        <v>10</v>
      </c>
      <c r="D381" s="9" t="s">
        <v>196</v>
      </c>
      <c r="E381" s="9" t="s">
        <v>12</v>
      </c>
      <c r="H381" s="7">
        <v>380.0</v>
      </c>
      <c r="I381" s="10" t="s">
        <v>645</v>
      </c>
    </row>
    <row r="382">
      <c r="A382" s="7">
        <v>381.0</v>
      </c>
      <c r="B382" s="18" t="s">
        <v>646</v>
      </c>
      <c r="C382" s="9" t="s">
        <v>10</v>
      </c>
      <c r="D382" s="9" t="s">
        <v>64</v>
      </c>
      <c r="E382" s="9" t="s">
        <v>62</v>
      </c>
      <c r="H382" s="7">
        <v>381.0</v>
      </c>
      <c r="I382" s="10" t="s">
        <v>647</v>
      </c>
    </row>
    <row r="383">
      <c r="A383" s="7">
        <v>382.0</v>
      </c>
      <c r="B383" s="18" t="s">
        <v>648</v>
      </c>
      <c r="C383" s="9" t="s">
        <v>59</v>
      </c>
      <c r="D383" s="16"/>
      <c r="E383" s="9" t="s">
        <v>12</v>
      </c>
      <c r="F383" s="16"/>
      <c r="G383" s="9" t="s">
        <v>14</v>
      </c>
      <c r="H383" s="7">
        <v>382.0</v>
      </c>
      <c r="I383" s="10" t="s">
        <v>649</v>
      </c>
    </row>
    <row r="384">
      <c r="A384" s="7">
        <v>383.0</v>
      </c>
      <c r="B384" s="21" t="s">
        <v>650</v>
      </c>
      <c r="C384" s="9" t="s">
        <v>10</v>
      </c>
      <c r="D384" s="16"/>
      <c r="E384" s="9" t="s">
        <v>62</v>
      </c>
      <c r="F384" s="16"/>
      <c r="G384" s="16"/>
      <c r="H384" s="7">
        <v>383.0</v>
      </c>
      <c r="I384" s="10" t="s">
        <v>651</v>
      </c>
    </row>
    <row r="385">
      <c r="A385" s="7">
        <v>384.0</v>
      </c>
      <c r="B385" s="18" t="s">
        <v>32</v>
      </c>
      <c r="C385" s="9" t="s">
        <v>10</v>
      </c>
      <c r="D385" s="16"/>
      <c r="E385" s="9" t="s">
        <v>12</v>
      </c>
      <c r="F385" s="16"/>
      <c r="G385" s="9" t="s">
        <v>14</v>
      </c>
      <c r="H385" s="7">
        <v>384.0</v>
      </c>
      <c r="I385" s="10" t="s">
        <v>652</v>
      </c>
    </row>
    <row r="386">
      <c r="A386" s="7">
        <v>385.0</v>
      </c>
      <c r="B386" s="15" t="s">
        <v>653</v>
      </c>
      <c r="C386" s="9" t="s">
        <v>10</v>
      </c>
      <c r="D386" s="9" t="s">
        <v>132</v>
      </c>
      <c r="E386" s="9" t="s">
        <v>12</v>
      </c>
      <c r="F386" s="16"/>
      <c r="G386" s="9" t="s">
        <v>14</v>
      </c>
      <c r="H386" s="7">
        <v>385.0</v>
      </c>
      <c r="I386" s="10" t="s">
        <v>654</v>
      </c>
    </row>
    <row r="387">
      <c r="A387" s="7">
        <v>386.0</v>
      </c>
      <c r="B387" s="31" t="s">
        <v>655</v>
      </c>
      <c r="C387" s="32" t="s">
        <v>10</v>
      </c>
      <c r="D387" s="33"/>
      <c r="E387" s="32" t="s">
        <v>62</v>
      </c>
      <c r="F387" s="33"/>
      <c r="G387" s="33"/>
      <c r="H387" s="7">
        <v>386.0</v>
      </c>
      <c r="I387" s="34" t="s">
        <v>656</v>
      </c>
      <c r="J387" s="33"/>
      <c r="K387" s="33"/>
      <c r="L387" s="33"/>
      <c r="M387" s="33"/>
    </row>
    <row r="388">
      <c r="A388" s="7">
        <v>387.0</v>
      </c>
      <c r="B388" s="15" t="s">
        <v>657</v>
      </c>
      <c r="C388" s="9" t="s">
        <v>107</v>
      </c>
      <c r="D388" s="16"/>
      <c r="E388" s="9" t="s">
        <v>12</v>
      </c>
      <c r="F388" s="16"/>
      <c r="G388" s="9" t="s">
        <v>14</v>
      </c>
      <c r="H388" s="7">
        <v>387.0</v>
      </c>
      <c r="I388" s="10" t="s">
        <v>658</v>
      </c>
    </row>
    <row r="389">
      <c r="A389" s="7">
        <v>388.0</v>
      </c>
      <c r="B389" s="18" t="s">
        <v>657</v>
      </c>
      <c r="C389" s="9" t="s">
        <v>53</v>
      </c>
      <c r="D389" s="16"/>
      <c r="E389" s="9" t="s">
        <v>12</v>
      </c>
      <c r="F389" s="16"/>
      <c r="G389" s="9" t="s">
        <v>14</v>
      </c>
      <c r="H389" s="7">
        <v>388.0</v>
      </c>
      <c r="I389" s="10" t="s">
        <v>658</v>
      </c>
    </row>
    <row r="390">
      <c r="A390" s="7">
        <v>389.0</v>
      </c>
      <c r="B390" s="18" t="s">
        <v>659</v>
      </c>
      <c r="C390" s="9" t="s">
        <v>10</v>
      </c>
      <c r="D390" s="9" t="s">
        <v>132</v>
      </c>
      <c r="E390" s="9" t="s">
        <v>12</v>
      </c>
      <c r="F390" s="16"/>
      <c r="G390" s="9" t="s">
        <v>14</v>
      </c>
      <c r="H390" s="7">
        <v>389.0</v>
      </c>
      <c r="I390" s="10" t="s">
        <v>660</v>
      </c>
    </row>
    <row r="391">
      <c r="A391" s="7">
        <v>390.0</v>
      </c>
      <c r="B391" s="21" t="s">
        <v>661</v>
      </c>
      <c r="C391" s="9" t="s">
        <v>61</v>
      </c>
      <c r="D391" s="16"/>
      <c r="E391" s="9" t="s">
        <v>62</v>
      </c>
      <c r="F391" s="16"/>
      <c r="G391" s="16"/>
      <c r="H391" s="7">
        <v>390.0</v>
      </c>
      <c r="I391" s="17" t="s">
        <v>662</v>
      </c>
    </row>
    <row r="392">
      <c r="A392" s="7">
        <v>391.0</v>
      </c>
      <c r="B392" s="18" t="s">
        <v>663</v>
      </c>
      <c r="C392" s="9" t="s">
        <v>10</v>
      </c>
      <c r="D392" s="9" t="s">
        <v>37</v>
      </c>
      <c r="E392" s="9" t="s">
        <v>12</v>
      </c>
      <c r="F392" s="9" t="s">
        <v>50</v>
      </c>
      <c r="G392" s="9" t="s">
        <v>14</v>
      </c>
      <c r="H392" s="7">
        <v>391.0</v>
      </c>
      <c r="I392" s="10" t="s">
        <v>373</v>
      </c>
    </row>
    <row r="393">
      <c r="A393" s="7">
        <v>392.0</v>
      </c>
      <c r="B393" s="18" t="s">
        <v>664</v>
      </c>
      <c r="C393" s="9" t="s">
        <v>10</v>
      </c>
      <c r="D393" s="16"/>
      <c r="E393" s="9" t="s">
        <v>62</v>
      </c>
      <c r="F393" s="16"/>
      <c r="G393" s="16"/>
      <c r="H393" s="7">
        <v>392.0</v>
      </c>
      <c r="I393" s="10" t="s">
        <v>665</v>
      </c>
    </row>
    <row r="394">
      <c r="A394" s="7">
        <v>393.0</v>
      </c>
      <c r="B394" s="15" t="s">
        <v>666</v>
      </c>
      <c r="C394" s="9" t="s">
        <v>10</v>
      </c>
      <c r="D394" s="9" t="s">
        <v>667</v>
      </c>
      <c r="E394" s="9" t="s">
        <v>12</v>
      </c>
      <c r="F394" s="16"/>
      <c r="G394" s="9" t="s">
        <v>14</v>
      </c>
      <c r="H394" s="7">
        <v>393.0</v>
      </c>
      <c r="I394" s="10" t="s">
        <v>668</v>
      </c>
    </row>
    <row r="395">
      <c r="A395" s="7">
        <v>394.0</v>
      </c>
      <c r="B395" s="18" t="s">
        <v>669</v>
      </c>
      <c r="C395" s="9" t="s">
        <v>59</v>
      </c>
      <c r="D395" s="16"/>
      <c r="E395" s="9" t="s">
        <v>12</v>
      </c>
      <c r="F395" s="16"/>
      <c r="G395" s="9" t="s">
        <v>14</v>
      </c>
      <c r="H395" s="7">
        <v>394.0</v>
      </c>
      <c r="I395" s="10" t="s">
        <v>670</v>
      </c>
    </row>
    <row r="396">
      <c r="A396" s="7">
        <v>395.0</v>
      </c>
      <c r="B396" s="18" t="s">
        <v>669</v>
      </c>
      <c r="C396" s="9" t="s">
        <v>61</v>
      </c>
      <c r="D396" s="16"/>
      <c r="E396" s="9" t="s">
        <v>12</v>
      </c>
      <c r="F396" s="16"/>
      <c r="G396" s="9" t="s">
        <v>14</v>
      </c>
      <c r="H396" s="7">
        <v>395.0</v>
      </c>
      <c r="I396" s="10" t="s">
        <v>671</v>
      </c>
    </row>
    <row r="397">
      <c r="A397" s="7">
        <v>396.0</v>
      </c>
      <c r="B397" s="18" t="s">
        <v>672</v>
      </c>
      <c r="C397" s="9" t="s">
        <v>10</v>
      </c>
      <c r="D397" s="9" t="s">
        <v>673</v>
      </c>
      <c r="E397" s="9" t="s">
        <v>12</v>
      </c>
      <c r="F397" s="16"/>
      <c r="G397" s="9" t="s">
        <v>14</v>
      </c>
      <c r="H397" s="7">
        <v>396.0</v>
      </c>
      <c r="I397" s="10" t="s">
        <v>674</v>
      </c>
    </row>
    <row r="398">
      <c r="A398" s="7">
        <v>397.0</v>
      </c>
      <c r="B398" s="18" t="s">
        <v>672</v>
      </c>
      <c r="C398" s="9" t="s">
        <v>10</v>
      </c>
      <c r="D398" s="16"/>
      <c r="E398" s="9" t="s">
        <v>12</v>
      </c>
      <c r="F398" s="16"/>
      <c r="G398" s="9" t="s">
        <v>14</v>
      </c>
      <c r="H398" s="7">
        <v>397.0</v>
      </c>
      <c r="I398" s="10" t="s">
        <v>674</v>
      </c>
    </row>
    <row r="399">
      <c r="A399" s="7">
        <v>398.0</v>
      </c>
      <c r="B399" s="18" t="s">
        <v>675</v>
      </c>
      <c r="C399" s="9" t="s">
        <v>59</v>
      </c>
      <c r="D399" s="9" t="s">
        <v>110</v>
      </c>
      <c r="E399" s="9" t="s">
        <v>12</v>
      </c>
      <c r="F399" s="16"/>
      <c r="G399" s="9" t="s">
        <v>111</v>
      </c>
      <c r="H399" s="7">
        <v>398.0</v>
      </c>
      <c r="I399" s="10" t="s">
        <v>676</v>
      </c>
      <c r="M399" s="9" t="s">
        <v>194</v>
      </c>
    </row>
    <row r="400">
      <c r="A400" s="7">
        <v>399.0</v>
      </c>
      <c r="B400" s="18" t="s">
        <v>677</v>
      </c>
      <c r="C400" s="9" t="s">
        <v>10</v>
      </c>
      <c r="D400" s="16"/>
      <c r="E400" s="9" t="s">
        <v>12</v>
      </c>
      <c r="F400" s="16"/>
      <c r="G400" s="9" t="s">
        <v>14</v>
      </c>
      <c r="H400" s="7">
        <v>399.0</v>
      </c>
      <c r="I400" s="10" t="s">
        <v>678</v>
      </c>
    </row>
    <row r="401">
      <c r="A401" s="7">
        <v>400.0</v>
      </c>
      <c r="B401" s="18" t="s">
        <v>679</v>
      </c>
      <c r="C401" s="9" t="s">
        <v>10</v>
      </c>
      <c r="D401" s="9" t="s">
        <v>37</v>
      </c>
      <c r="E401" s="9" t="s">
        <v>12</v>
      </c>
      <c r="F401" s="9" t="s">
        <v>50</v>
      </c>
      <c r="G401" s="9" t="s">
        <v>14</v>
      </c>
      <c r="H401" s="7">
        <v>400.0</v>
      </c>
      <c r="I401" s="10" t="s">
        <v>680</v>
      </c>
    </row>
    <row r="402">
      <c r="A402" s="7">
        <v>401.0</v>
      </c>
      <c r="B402" s="18" t="s">
        <v>681</v>
      </c>
      <c r="C402" s="9" t="s">
        <v>59</v>
      </c>
      <c r="D402" s="9" t="s">
        <v>23</v>
      </c>
      <c r="E402" s="9" t="s">
        <v>12</v>
      </c>
      <c r="F402" s="9" t="s">
        <v>50</v>
      </c>
      <c r="G402" s="9" t="s">
        <v>14</v>
      </c>
      <c r="H402" s="7">
        <v>401.0</v>
      </c>
      <c r="I402" s="10" t="s">
        <v>682</v>
      </c>
    </row>
    <row r="403">
      <c r="A403" s="7">
        <v>402.0</v>
      </c>
      <c r="B403" s="18" t="s">
        <v>683</v>
      </c>
      <c r="C403" s="9" t="s">
        <v>59</v>
      </c>
      <c r="D403" s="9" t="s">
        <v>23</v>
      </c>
      <c r="E403" s="9" t="s">
        <v>12</v>
      </c>
      <c r="F403" s="16"/>
      <c r="G403" s="9" t="s">
        <v>14</v>
      </c>
      <c r="H403" s="7">
        <v>402.0</v>
      </c>
      <c r="I403" s="10" t="s">
        <v>684</v>
      </c>
    </row>
    <row r="404">
      <c r="A404" s="7">
        <v>403.0</v>
      </c>
      <c r="B404" s="18" t="s">
        <v>685</v>
      </c>
      <c r="C404" s="9" t="s">
        <v>59</v>
      </c>
      <c r="D404" s="9" t="s">
        <v>110</v>
      </c>
      <c r="E404" s="9" t="s">
        <v>12</v>
      </c>
      <c r="F404" s="16"/>
      <c r="G404" s="9" t="s">
        <v>111</v>
      </c>
      <c r="H404" s="7">
        <v>403.0</v>
      </c>
      <c r="I404" s="10" t="s">
        <v>686</v>
      </c>
    </row>
    <row r="405">
      <c r="A405" s="7">
        <v>404.0</v>
      </c>
      <c r="B405" s="18" t="s">
        <v>687</v>
      </c>
      <c r="C405" s="9" t="s">
        <v>10</v>
      </c>
      <c r="D405" s="9" t="s">
        <v>196</v>
      </c>
      <c r="E405" s="9" t="s">
        <v>12</v>
      </c>
      <c r="H405" s="7">
        <v>404.0</v>
      </c>
      <c r="I405" s="10" t="s">
        <v>688</v>
      </c>
    </row>
    <row r="406">
      <c r="A406" s="7">
        <v>405.0</v>
      </c>
      <c r="B406" s="18" t="s">
        <v>689</v>
      </c>
      <c r="C406" s="9" t="s">
        <v>10</v>
      </c>
      <c r="D406" s="16"/>
      <c r="E406" s="9" t="s">
        <v>12</v>
      </c>
      <c r="F406" s="16"/>
      <c r="G406" s="9" t="s">
        <v>14</v>
      </c>
      <c r="H406" s="7">
        <v>405.0</v>
      </c>
      <c r="I406" s="10" t="s">
        <v>690</v>
      </c>
    </row>
    <row r="407">
      <c r="A407" s="7">
        <v>406.0</v>
      </c>
      <c r="B407" s="21" t="s">
        <v>689</v>
      </c>
      <c r="C407" s="9" t="s">
        <v>10</v>
      </c>
      <c r="D407" s="16"/>
      <c r="E407" s="9" t="s">
        <v>62</v>
      </c>
      <c r="H407" s="7">
        <v>406.0</v>
      </c>
      <c r="I407" s="10" t="s">
        <v>691</v>
      </c>
    </row>
    <row r="408">
      <c r="A408" s="7">
        <v>407.0</v>
      </c>
      <c r="B408" s="18" t="s">
        <v>692</v>
      </c>
      <c r="C408" s="9" t="s">
        <v>10</v>
      </c>
      <c r="D408" s="16"/>
      <c r="E408" s="9" t="s">
        <v>12</v>
      </c>
      <c r="F408" s="16"/>
      <c r="G408" s="9" t="s">
        <v>14</v>
      </c>
      <c r="H408" s="7">
        <v>407.0</v>
      </c>
      <c r="I408" s="10" t="s">
        <v>693</v>
      </c>
    </row>
    <row r="409">
      <c r="A409" s="7">
        <v>408.0</v>
      </c>
      <c r="B409" s="18" t="s">
        <v>694</v>
      </c>
      <c r="C409" s="9" t="s">
        <v>10</v>
      </c>
      <c r="D409" s="9" t="s">
        <v>196</v>
      </c>
      <c r="E409" s="9" t="s">
        <v>62</v>
      </c>
      <c r="H409" s="7">
        <v>408.0</v>
      </c>
      <c r="I409" s="10" t="s">
        <v>695</v>
      </c>
    </row>
    <row r="410">
      <c r="A410" s="7">
        <v>409.0</v>
      </c>
      <c r="B410" s="15" t="s">
        <v>696</v>
      </c>
      <c r="C410" s="9" t="s">
        <v>61</v>
      </c>
      <c r="D410" s="9" t="s">
        <v>220</v>
      </c>
      <c r="E410" s="9" t="s">
        <v>12</v>
      </c>
      <c r="F410" s="16"/>
      <c r="G410" s="9" t="s">
        <v>14</v>
      </c>
      <c r="H410" s="7">
        <v>409.0</v>
      </c>
      <c r="I410" s="10" t="s">
        <v>697</v>
      </c>
    </row>
    <row r="411">
      <c r="A411" s="7">
        <v>410.0</v>
      </c>
      <c r="B411" s="15" t="s">
        <v>696</v>
      </c>
      <c r="C411" s="9" t="s">
        <v>10</v>
      </c>
      <c r="D411" s="16"/>
      <c r="E411" s="9" t="s">
        <v>12</v>
      </c>
      <c r="F411" s="16"/>
      <c r="G411" s="9" t="s">
        <v>14</v>
      </c>
      <c r="H411" s="7">
        <v>410.0</v>
      </c>
      <c r="I411" s="10" t="s">
        <v>698</v>
      </c>
    </row>
    <row r="412">
      <c r="A412" s="7">
        <v>411.0</v>
      </c>
      <c r="B412" s="18" t="s">
        <v>699</v>
      </c>
      <c r="C412" s="9" t="s">
        <v>59</v>
      </c>
      <c r="D412" s="9" t="s">
        <v>700</v>
      </c>
      <c r="E412" s="9" t="s">
        <v>12</v>
      </c>
      <c r="F412" s="16"/>
      <c r="G412" s="9" t="s">
        <v>14</v>
      </c>
      <c r="H412" s="7">
        <v>411.0</v>
      </c>
      <c r="I412" s="10" t="s">
        <v>701</v>
      </c>
    </row>
    <row r="413">
      <c r="A413" s="7">
        <v>412.0</v>
      </c>
      <c r="B413" s="18" t="s">
        <v>699</v>
      </c>
      <c r="C413" s="9" t="s">
        <v>10</v>
      </c>
      <c r="D413" s="16"/>
      <c r="E413" s="9" t="s">
        <v>12</v>
      </c>
      <c r="F413" s="16"/>
      <c r="G413" s="9" t="s">
        <v>14</v>
      </c>
      <c r="H413" s="7">
        <v>412.0</v>
      </c>
      <c r="I413" s="10" t="s">
        <v>702</v>
      </c>
    </row>
    <row r="414">
      <c r="A414" s="7">
        <v>413.0</v>
      </c>
      <c r="B414" s="18" t="s">
        <v>703</v>
      </c>
      <c r="C414" s="9" t="s">
        <v>10</v>
      </c>
      <c r="D414" s="9" t="s">
        <v>37</v>
      </c>
      <c r="E414" s="9" t="s">
        <v>12</v>
      </c>
      <c r="F414" s="9" t="s">
        <v>50</v>
      </c>
      <c r="G414" s="9" t="s">
        <v>224</v>
      </c>
      <c r="H414" s="7">
        <v>413.0</v>
      </c>
      <c r="I414" s="10" t="s">
        <v>704</v>
      </c>
    </row>
    <row r="415">
      <c r="A415" s="7">
        <v>414.0</v>
      </c>
      <c r="B415" s="18" t="s">
        <v>705</v>
      </c>
      <c r="C415" s="9" t="s">
        <v>10</v>
      </c>
      <c r="D415" s="9" t="s">
        <v>706</v>
      </c>
      <c r="E415" s="9" t="s">
        <v>12</v>
      </c>
      <c r="F415" s="16"/>
      <c r="G415" s="9" t="s">
        <v>14</v>
      </c>
      <c r="H415" s="7">
        <v>414.0</v>
      </c>
      <c r="I415" s="10" t="s">
        <v>707</v>
      </c>
    </row>
    <row r="416">
      <c r="A416" s="7">
        <v>415.0</v>
      </c>
      <c r="B416" s="18" t="s">
        <v>708</v>
      </c>
      <c r="C416" s="9" t="s">
        <v>59</v>
      </c>
      <c r="D416" s="16"/>
      <c r="E416" s="9" t="s">
        <v>12</v>
      </c>
      <c r="F416" s="16"/>
      <c r="G416" s="9" t="s">
        <v>14</v>
      </c>
      <c r="H416" s="7">
        <v>415.0</v>
      </c>
      <c r="I416" s="10" t="s">
        <v>709</v>
      </c>
    </row>
    <row r="417">
      <c r="A417" s="7">
        <v>416.0</v>
      </c>
      <c r="B417" s="18" t="s">
        <v>708</v>
      </c>
      <c r="C417" s="9" t="s">
        <v>10</v>
      </c>
      <c r="D417" s="16"/>
      <c r="E417" s="9" t="s">
        <v>12</v>
      </c>
      <c r="F417" s="16"/>
      <c r="G417" s="9" t="s">
        <v>14</v>
      </c>
      <c r="H417" s="7">
        <v>416.0</v>
      </c>
      <c r="I417" s="10" t="s">
        <v>710</v>
      </c>
    </row>
    <row r="418">
      <c r="A418" s="7">
        <v>417.0</v>
      </c>
      <c r="B418" s="18" t="s">
        <v>711</v>
      </c>
      <c r="C418" s="9" t="s">
        <v>57</v>
      </c>
      <c r="D418" s="16"/>
      <c r="E418" s="9" t="s">
        <v>12</v>
      </c>
      <c r="F418" s="16"/>
      <c r="G418" s="9" t="s">
        <v>14</v>
      </c>
      <c r="H418" s="7">
        <v>417.0</v>
      </c>
      <c r="I418" s="10" t="s">
        <v>710</v>
      </c>
    </row>
    <row r="419">
      <c r="A419" s="7">
        <v>418.0</v>
      </c>
      <c r="B419" s="18" t="s">
        <v>712</v>
      </c>
      <c r="C419" s="9" t="s">
        <v>57</v>
      </c>
      <c r="D419" s="16"/>
      <c r="E419" s="9" t="s">
        <v>62</v>
      </c>
      <c r="H419" s="7">
        <v>418.0</v>
      </c>
    </row>
    <row r="420">
      <c r="A420" s="7">
        <v>419.0</v>
      </c>
      <c r="B420" s="18" t="s">
        <v>713</v>
      </c>
      <c r="C420" s="9" t="s">
        <v>59</v>
      </c>
      <c r="D420" s="9" t="s">
        <v>40</v>
      </c>
      <c r="E420" s="9" t="s">
        <v>62</v>
      </c>
      <c r="F420" s="16"/>
      <c r="G420" s="16"/>
      <c r="H420" s="7">
        <v>419.0</v>
      </c>
      <c r="I420" s="10" t="s">
        <v>714</v>
      </c>
    </row>
    <row r="421">
      <c r="A421" s="7">
        <v>420.0</v>
      </c>
      <c r="B421" s="18" t="s">
        <v>715</v>
      </c>
      <c r="C421" s="9" t="s">
        <v>10</v>
      </c>
      <c r="D421" s="9" t="s">
        <v>16</v>
      </c>
      <c r="E421" s="9" t="s">
        <v>12</v>
      </c>
      <c r="F421" s="16"/>
      <c r="G421" s="9" t="s">
        <v>14</v>
      </c>
      <c r="H421" s="7">
        <v>420.0</v>
      </c>
      <c r="I421" s="10" t="s">
        <v>716</v>
      </c>
    </row>
    <row r="422">
      <c r="A422" s="7">
        <v>421.0</v>
      </c>
      <c r="B422" s="18" t="s">
        <v>717</v>
      </c>
      <c r="C422" s="9" t="s">
        <v>10</v>
      </c>
      <c r="D422" s="9" t="s">
        <v>16</v>
      </c>
      <c r="E422" s="9" t="s">
        <v>12</v>
      </c>
      <c r="F422" s="16"/>
      <c r="G422" s="9" t="s">
        <v>14</v>
      </c>
      <c r="H422" s="7">
        <v>421.0</v>
      </c>
      <c r="I422" s="10" t="s">
        <v>718</v>
      </c>
    </row>
    <row r="423">
      <c r="A423" s="7">
        <v>422.0</v>
      </c>
      <c r="B423" s="18" t="s">
        <v>719</v>
      </c>
      <c r="C423" s="9" t="s">
        <v>10</v>
      </c>
      <c r="D423" s="9" t="s">
        <v>16</v>
      </c>
      <c r="E423" s="9" t="s">
        <v>12</v>
      </c>
      <c r="F423" s="16"/>
      <c r="G423" s="9" t="s">
        <v>14</v>
      </c>
      <c r="H423" s="7">
        <v>422.0</v>
      </c>
      <c r="I423" s="10" t="s">
        <v>720</v>
      </c>
    </row>
    <row r="424">
      <c r="A424" s="7">
        <v>423.0</v>
      </c>
      <c r="B424" s="18" t="s">
        <v>721</v>
      </c>
      <c r="C424" s="9" t="s">
        <v>59</v>
      </c>
      <c r="D424" s="16"/>
      <c r="E424" s="9" t="s">
        <v>62</v>
      </c>
      <c r="F424" s="16"/>
      <c r="G424" s="16"/>
      <c r="H424" s="7">
        <v>423.0</v>
      </c>
      <c r="I424" s="10" t="s">
        <v>722</v>
      </c>
    </row>
    <row r="425">
      <c r="A425" s="7">
        <v>424.0</v>
      </c>
      <c r="B425" s="18" t="s">
        <v>723</v>
      </c>
      <c r="C425" s="9" t="s">
        <v>59</v>
      </c>
      <c r="D425" s="9" t="s">
        <v>23</v>
      </c>
      <c r="E425" s="9" t="s">
        <v>12</v>
      </c>
      <c r="F425" s="9" t="s">
        <v>50</v>
      </c>
      <c r="G425" s="9" t="s">
        <v>14</v>
      </c>
      <c r="H425" s="7">
        <v>424.0</v>
      </c>
      <c r="I425" s="10" t="s">
        <v>724</v>
      </c>
    </row>
    <row r="426">
      <c r="A426" s="7">
        <v>425.0</v>
      </c>
      <c r="B426" s="18" t="s">
        <v>725</v>
      </c>
      <c r="C426" s="9" t="s">
        <v>59</v>
      </c>
      <c r="D426" s="16"/>
      <c r="E426" s="9" t="s">
        <v>12</v>
      </c>
      <c r="F426" s="16"/>
      <c r="G426" s="9" t="s">
        <v>111</v>
      </c>
      <c r="H426" s="7">
        <v>425.0</v>
      </c>
      <c r="I426" s="10" t="s">
        <v>726</v>
      </c>
    </row>
    <row r="427">
      <c r="A427" s="7">
        <v>426.0</v>
      </c>
      <c r="B427" s="18" t="s">
        <v>727</v>
      </c>
      <c r="C427" s="9" t="s">
        <v>10</v>
      </c>
      <c r="D427" s="16"/>
      <c r="E427" s="9" t="s">
        <v>62</v>
      </c>
      <c r="H427" s="7">
        <v>426.0</v>
      </c>
    </row>
    <row r="428">
      <c r="A428" s="7">
        <v>427.0</v>
      </c>
      <c r="B428" s="18" t="s">
        <v>728</v>
      </c>
      <c r="C428" s="9" t="s">
        <v>59</v>
      </c>
      <c r="D428" s="9" t="s">
        <v>20</v>
      </c>
      <c r="E428" s="9" t="s">
        <v>12</v>
      </c>
      <c r="F428" s="9" t="s">
        <v>50</v>
      </c>
      <c r="G428" s="9" t="s">
        <v>14</v>
      </c>
      <c r="H428" s="7">
        <v>427.0</v>
      </c>
      <c r="I428" s="10" t="s">
        <v>729</v>
      </c>
    </row>
    <row r="429">
      <c r="A429" s="7">
        <v>428.0</v>
      </c>
      <c r="B429" s="18" t="s">
        <v>730</v>
      </c>
      <c r="C429" s="9" t="s">
        <v>10</v>
      </c>
      <c r="D429" s="9" t="s">
        <v>700</v>
      </c>
      <c r="E429" s="9" t="s">
        <v>12</v>
      </c>
      <c r="F429" s="16"/>
      <c r="G429" s="9" t="s">
        <v>111</v>
      </c>
      <c r="H429" s="7">
        <v>428.0</v>
      </c>
      <c r="I429" s="10" t="s">
        <v>731</v>
      </c>
    </row>
    <row r="430">
      <c r="A430" s="7">
        <v>429.0</v>
      </c>
      <c r="B430" s="18" t="s">
        <v>730</v>
      </c>
      <c r="C430" s="9" t="s">
        <v>61</v>
      </c>
      <c r="D430" s="16"/>
      <c r="E430" s="9" t="s">
        <v>12</v>
      </c>
      <c r="F430" s="16"/>
      <c r="G430" s="9" t="s">
        <v>111</v>
      </c>
      <c r="H430" s="7">
        <v>429.0</v>
      </c>
      <c r="I430" s="10" t="s">
        <v>732</v>
      </c>
    </row>
    <row r="431">
      <c r="A431" s="7">
        <v>430.0</v>
      </c>
      <c r="B431" s="18" t="s">
        <v>730</v>
      </c>
      <c r="C431" s="9" t="s">
        <v>10</v>
      </c>
      <c r="D431" s="16"/>
      <c r="E431" s="9" t="s">
        <v>12</v>
      </c>
      <c r="F431" s="16"/>
      <c r="G431" s="9" t="s">
        <v>111</v>
      </c>
      <c r="H431" s="7">
        <v>430.0</v>
      </c>
      <c r="I431" s="10" t="s">
        <v>733</v>
      </c>
    </row>
    <row r="432">
      <c r="A432" s="7">
        <v>431.0</v>
      </c>
      <c r="B432" s="18" t="s">
        <v>734</v>
      </c>
      <c r="C432" s="9" t="s">
        <v>61</v>
      </c>
      <c r="D432" s="9" t="s">
        <v>220</v>
      </c>
      <c r="E432" s="9" t="s">
        <v>12</v>
      </c>
      <c r="F432" s="16"/>
      <c r="G432" s="9" t="s">
        <v>14</v>
      </c>
      <c r="H432" s="7">
        <v>431.0</v>
      </c>
      <c r="I432" s="10" t="s">
        <v>735</v>
      </c>
    </row>
    <row r="433">
      <c r="A433" s="7">
        <v>432.0</v>
      </c>
      <c r="B433" s="18" t="s">
        <v>736</v>
      </c>
      <c r="C433" s="9" t="s">
        <v>10</v>
      </c>
      <c r="D433" s="16"/>
      <c r="E433" s="9" t="s">
        <v>12</v>
      </c>
      <c r="F433" s="16"/>
      <c r="G433" s="9" t="s">
        <v>111</v>
      </c>
      <c r="H433" s="7">
        <v>432.0</v>
      </c>
      <c r="I433" s="17" t="s">
        <v>737</v>
      </c>
    </row>
    <row r="434">
      <c r="A434" s="7">
        <v>433.0</v>
      </c>
      <c r="B434" s="18" t="s">
        <v>738</v>
      </c>
      <c r="C434" s="9" t="s">
        <v>10</v>
      </c>
      <c r="D434" s="16"/>
      <c r="E434" s="9" t="s">
        <v>62</v>
      </c>
      <c r="F434" s="16"/>
      <c r="G434" s="9" t="s">
        <v>111</v>
      </c>
      <c r="H434" s="7">
        <v>433.0</v>
      </c>
      <c r="I434" s="10" t="s">
        <v>739</v>
      </c>
    </row>
    <row r="435">
      <c r="A435" s="7">
        <v>434.0</v>
      </c>
      <c r="B435" s="35" t="s">
        <v>740</v>
      </c>
      <c r="C435" s="9" t="s">
        <v>10</v>
      </c>
      <c r="D435" s="16"/>
      <c r="E435" s="9" t="s">
        <v>62</v>
      </c>
      <c r="H435" s="7">
        <v>434.0</v>
      </c>
      <c r="I435" s="10" t="s">
        <v>431</v>
      </c>
    </row>
    <row r="436">
      <c r="A436" s="7">
        <v>435.0</v>
      </c>
      <c r="B436" s="15" t="s">
        <v>741</v>
      </c>
      <c r="C436" s="9" t="s">
        <v>10</v>
      </c>
      <c r="D436" s="9" t="s">
        <v>132</v>
      </c>
      <c r="E436" s="9" t="s">
        <v>12</v>
      </c>
      <c r="F436" s="16"/>
      <c r="G436" s="9" t="s">
        <v>14</v>
      </c>
      <c r="H436" s="7">
        <v>435.0</v>
      </c>
      <c r="I436" s="10" t="s">
        <v>742</v>
      </c>
    </row>
    <row r="437">
      <c r="A437" s="7">
        <v>436.0</v>
      </c>
      <c r="B437" s="15" t="s">
        <v>743</v>
      </c>
      <c r="C437" s="9" t="s">
        <v>10</v>
      </c>
      <c r="D437" s="9" t="s">
        <v>132</v>
      </c>
      <c r="E437" s="9" t="s">
        <v>12</v>
      </c>
      <c r="F437" s="16"/>
      <c r="G437" s="9" t="s">
        <v>14</v>
      </c>
      <c r="H437" s="7">
        <v>436.0</v>
      </c>
      <c r="I437" s="10" t="s">
        <v>744</v>
      </c>
    </row>
    <row r="438">
      <c r="A438" s="7">
        <v>437.0</v>
      </c>
      <c r="B438" s="18" t="s">
        <v>745</v>
      </c>
      <c r="C438" s="9" t="s">
        <v>10</v>
      </c>
      <c r="D438" s="9" t="s">
        <v>196</v>
      </c>
      <c r="E438" s="9" t="s">
        <v>12</v>
      </c>
      <c r="F438" s="16"/>
      <c r="G438" s="9" t="s">
        <v>14</v>
      </c>
      <c r="H438" s="7">
        <v>437.0</v>
      </c>
      <c r="I438" s="17" t="s">
        <v>746</v>
      </c>
    </row>
    <row r="439">
      <c r="A439" s="7">
        <v>438.0</v>
      </c>
      <c r="B439" s="15" t="s">
        <v>747</v>
      </c>
      <c r="C439" s="9" t="s">
        <v>10</v>
      </c>
      <c r="D439" s="9" t="s">
        <v>44</v>
      </c>
      <c r="E439" s="9" t="s">
        <v>12</v>
      </c>
      <c r="F439" s="16"/>
      <c r="G439" s="9" t="s">
        <v>111</v>
      </c>
      <c r="H439" s="7">
        <v>438.0</v>
      </c>
      <c r="I439" s="10" t="s">
        <v>748</v>
      </c>
    </row>
    <row r="440">
      <c r="A440" s="7">
        <v>439.0</v>
      </c>
      <c r="B440" s="18" t="s">
        <v>749</v>
      </c>
      <c r="C440" s="9" t="s">
        <v>57</v>
      </c>
      <c r="D440" s="16"/>
      <c r="E440" s="9" t="s">
        <v>12</v>
      </c>
      <c r="H440" s="7">
        <v>439.0</v>
      </c>
    </row>
    <row r="441">
      <c r="A441" s="7">
        <v>440.0</v>
      </c>
      <c r="B441" s="18" t="s">
        <v>750</v>
      </c>
      <c r="C441" s="9" t="s">
        <v>59</v>
      </c>
      <c r="D441" s="9" t="s">
        <v>23</v>
      </c>
      <c r="E441" s="9" t="s">
        <v>12</v>
      </c>
      <c r="F441" s="9" t="s">
        <v>50</v>
      </c>
      <c r="G441" s="9" t="s">
        <v>14</v>
      </c>
      <c r="H441" s="7">
        <v>440.0</v>
      </c>
      <c r="I441" s="10" t="s">
        <v>751</v>
      </c>
    </row>
    <row r="442">
      <c r="A442" s="7">
        <v>441.0</v>
      </c>
      <c r="B442" s="18" t="s">
        <v>752</v>
      </c>
      <c r="C442" s="9" t="s">
        <v>57</v>
      </c>
      <c r="D442" s="16"/>
      <c r="E442" s="9" t="s">
        <v>12</v>
      </c>
      <c r="H442" s="7">
        <v>441.0</v>
      </c>
      <c r="I442" s="10" t="s">
        <v>753</v>
      </c>
    </row>
    <row r="443">
      <c r="A443" s="7">
        <v>442.0</v>
      </c>
      <c r="B443" s="15" t="s">
        <v>754</v>
      </c>
      <c r="C443" s="9" t="s">
        <v>61</v>
      </c>
      <c r="D443" s="9" t="s">
        <v>220</v>
      </c>
      <c r="E443" s="9" t="s">
        <v>12</v>
      </c>
      <c r="F443" s="16"/>
      <c r="G443" s="9" t="s">
        <v>14</v>
      </c>
      <c r="H443" s="7">
        <v>442.0</v>
      </c>
      <c r="I443" s="10" t="s">
        <v>755</v>
      </c>
    </row>
    <row r="444">
      <c r="A444" s="7">
        <v>443.0</v>
      </c>
      <c r="B444" s="18" t="s">
        <v>756</v>
      </c>
      <c r="C444" s="9" t="s">
        <v>10</v>
      </c>
      <c r="D444" s="9" t="s">
        <v>64</v>
      </c>
      <c r="E444" s="9" t="s">
        <v>12</v>
      </c>
      <c r="H444" s="7">
        <v>443.0</v>
      </c>
      <c r="I444" s="10" t="s">
        <v>757</v>
      </c>
    </row>
    <row r="445">
      <c r="A445" s="7">
        <v>444.0</v>
      </c>
      <c r="B445" s="18" t="s">
        <v>758</v>
      </c>
      <c r="C445" s="9" t="s">
        <v>759</v>
      </c>
      <c r="D445" s="16"/>
      <c r="E445" s="9" t="s">
        <v>12</v>
      </c>
      <c r="F445" s="16"/>
      <c r="G445" s="9" t="s">
        <v>14</v>
      </c>
      <c r="H445" s="7">
        <v>444.0</v>
      </c>
      <c r="I445" s="10" t="s">
        <v>760</v>
      </c>
    </row>
    <row r="446">
      <c r="A446" s="7">
        <v>445.0</v>
      </c>
      <c r="B446" s="18" t="s">
        <v>758</v>
      </c>
      <c r="C446" s="9" t="s">
        <v>10</v>
      </c>
      <c r="D446" s="16"/>
      <c r="E446" s="9" t="s">
        <v>12</v>
      </c>
      <c r="F446" s="16"/>
      <c r="G446" s="9" t="s">
        <v>14</v>
      </c>
      <c r="H446" s="7">
        <v>445.0</v>
      </c>
      <c r="I446" s="10" t="s">
        <v>761</v>
      </c>
    </row>
    <row r="447">
      <c r="A447" s="7">
        <v>446.0</v>
      </c>
      <c r="B447" s="15" t="s">
        <v>762</v>
      </c>
      <c r="C447" s="9" t="s">
        <v>10</v>
      </c>
      <c r="D447" s="9" t="s">
        <v>132</v>
      </c>
      <c r="E447" s="9" t="s">
        <v>12</v>
      </c>
      <c r="F447" s="16"/>
      <c r="G447" s="9" t="s">
        <v>14</v>
      </c>
      <c r="H447" s="7">
        <v>446.0</v>
      </c>
      <c r="I447" s="10" t="s">
        <v>763</v>
      </c>
    </row>
    <row r="448">
      <c r="A448" s="7">
        <v>447.0</v>
      </c>
      <c r="B448" s="18" t="s">
        <v>764</v>
      </c>
      <c r="C448" s="9" t="s">
        <v>57</v>
      </c>
      <c r="D448" s="16"/>
      <c r="E448" s="9" t="s">
        <v>12</v>
      </c>
      <c r="F448" s="16"/>
      <c r="G448" s="9" t="s">
        <v>111</v>
      </c>
      <c r="H448" s="7">
        <v>447.0</v>
      </c>
      <c r="I448" s="10" t="s">
        <v>765</v>
      </c>
    </row>
    <row r="449">
      <c r="A449" s="7">
        <v>448.0</v>
      </c>
      <c r="B449" s="18" t="s">
        <v>766</v>
      </c>
      <c r="C449" s="9" t="s">
        <v>59</v>
      </c>
      <c r="D449" s="9" t="s">
        <v>220</v>
      </c>
      <c r="E449" s="9" t="s">
        <v>12</v>
      </c>
      <c r="F449" s="16"/>
      <c r="G449" s="9" t="s">
        <v>111</v>
      </c>
      <c r="H449" s="7">
        <v>448.0</v>
      </c>
      <c r="I449" s="10" t="s">
        <v>767</v>
      </c>
    </row>
    <row r="450">
      <c r="A450" s="7">
        <v>449.0</v>
      </c>
      <c r="B450" s="18" t="s">
        <v>768</v>
      </c>
      <c r="C450" s="9" t="s">
        <v>61</v>
      </c>
      <c r="D450" s="9" t="s">
        <v>64</v>
      </c>
      <c r="E450" s="9" t="s">
        <v>12</v>
      </c>
      <c r="H450" s="7">
        <v>449.0</v>
      </c>
      <c r="I450" s="10" t="s">
        <v>769</v>
      </c>
    </row>
    <row r="451">
      <c r="A451" s="7">
        <v>450.0</v>
      </c>
      <c r="B451" s="18" t="s">
        <v>770</v>
      </c>
      <c r="C451" s="9" t="s">
        <v>59</v>
      </c>
      <c r="D451" s="9" t="s">
        <v>110</v>
      </c>
      <c r="E451" s="9" t="s">
        <v>12</v>
      </c>
      <c r="F451" s="16"/>
      <c r="G451" s="9" t="s">
        <v>111</v>
      </c>
      <c r="H451" s="7">
        <v>450.0</v>
      </c>
      <c r="I451" s="10" t="s">
        <v>771</v>
      </c>
    </row>
    <row r="452">
      <c r="A452" s="7">
        <v>451.0</v>
      </c>
      <c r="B452" s="18" t="s">
        <v>772</v>
      </c>
      <c r="C452" s="9" t="s">
        <v>10</v>
      </c>
      <c r="D452" s="9" t="s">
        <v>196</v>
      </c>
      <c r="E452" s="9" t="s">
        <v>12</v>
      </c>
      <c r="H452" s="7">
        <v>451.0</v>
      </c>
      <c r="I452" s="10" t="s">
        <v>773</v>
      </c>
    </row>
    <row r="453">
      <c r="A453" s="7">
        <v>452.0</v>
      </c>
      <c r="B453" s="18" t="s">
        <v>774</v>
      </c>
      <c r="C453" s="9" t="s">
        <v>10</v>
      </c>
      <c r="D453" s="9" t="s">
        <v>37</v>
      </c>
      <c r="E453" s="9" t="s">
        <v>12</v>
      </c>
      <c r="F453" s="9" t="s">
        <v>50</v>
      </c>
      <c r="G453" s="9" t="s">
        <v>14</v>
      </c>
      <c r="H453" s="7">
        <v>452.0</v>
      </c>
      <c r="I453" s="10" t="s">
        <v>373</v>
      </c>
    </row>
    <row r="454">
      <c r="A454" s="7">
        <v>453.0</v>
      </c>
      <c r="B454" s="18" t="s">
        <v>775</v>
      </c>
      <c r="C454" s="9" t="s">
        <v>759</v>
      </c>
      <c r="D454" s="16"/>
      <c r="E454" s="9" t="s">
        <v>12</v>
      </c>
      <c r="F454" s="16"/>
      <c r="G454" s="9" t="s">
        <v>14</v>
      </c>
      <c r="H454" s="7">
        <v>453.0</v>
      </c>
      <c r="I454" s="10" t="s">
        <v>776</v>
      </c>
    </row>
    <row r="455">
      <c r="A455" s="7">
        <v>454.0</v>
      </c>
      <c r="B455" s="18" t="s">
        <v>777</v>
      </c>
      <c r="C455" s="9" t="s">
        <v>59</v>
      </c>
      <c r="D455" s="16"/>
      <c r="E455" s="9" t="s">
        <v>12</v>
      </c>
      <c r="F455" s="16"/>
      <c r="G455" s="9" t="s">
        <v>14</v>
      </c>
      <c r="H455" s="7">
        <v>454.0</v>
      </c>
      <c r="I455" s="10" t="s">
        <v>778</v>
      </c>
    </row>
    <row r="456">
      <c r="A456" s="7">
        <v>455.0</v>
      </c>
      <c r="B456" s="18" t="s">
        <v>779</v>
      </c>
      <c r="C456" s="9" t="s">
        <v>759</v>
      </c>
      <c r="D456" s="16"/>
      <c r="E456" s="9" t="s">
        <v>12</v>
      </c>
      <c r="F456" s="16"/>
      <c r="G456" s="9" t="s">
        <v>14</v>
      </c>
      <c r="H456" s="7">
        <v>455.0</v>
      </c>
      <c r="I456" s="10" t="s">
        <v>776</v>
      </c>
    </row>
    <row r="457">
      <c r="A457" s="7">
        <v>456.0</v>
      </c>
      <c r="B457" s="18" t="s">
        <v>780</v>
      </c>
      <c r="C457" s="9" t="s">
        <v>759</v>
      </c>
      <c r="D457" s="16"/>
      <c r="E457" s="9" t="s">
        <v>12</v>
      </c>
      <c r="F457" s="16"/>
      <c r="G457" s="9" t="s">
        <v>14</v>
      </c>
      <c r="H457" s="7">
        <v>456.0</v>
      </c>
      <c r="I457" s="10" t="s">
        <v>781</v>
      </c>
    </row>
    <row r="458">
      <c r="A458" s="7">
        <v>457.0</v>
      </c>
      <c r="B458" s="18" t="s">
        <v>782</v>
      </c>
      <c r="C458" s="9" t="s">
        <v>59</v>
      </c>
      <c r="D458" s="16"/>
      <c r="E458" s="9" t="s">
        <v>62</v>
      </c>
      <c r="F458" s="16"/>
      <c r="G458" s="16"/>
      <c r="H458" s="7">
        <v>457.0</v>
      </c>
      <c r="I458" s="10" t="s">
        <v>783</v>
      </c>
    </row>
    <row r="459">
      <c r="A459" s="7">
        <v>458.0</v>
      </c>
      <c r="B459" s="18" t="s">
        <v>784</v>
      </c>
      <c r="C459" s="9" t="s">
        <v>10</v>
      </c>
      <c r="D459" s="16"/>
      <c r="E459" s="9" t="s">
        <v>12</v>
      </c>
      <c r="F459" s="16"/>
      <c r="G459" s="9" t="s">
        <v>14</v>
      </c>
      <c r="H459" s="7">
        <v>458.0</v>
      </c>
      <c r="I459" s="10" t="s">
        <v>785</v>
      </c>
    </row>
    <row r="460">
      <c r="A460" s="7">
        <v>459.0</v>
      </c>
      <c r="B460" s="18" t="s">
        <v>786</v>
      </c>
      <c r="C460" s="9" t="s">
        <v>759</v>
      </c>
      <c r="D460" s="16"/>
      <c r="E460" s="9" t="s">
        <v>12</v>
      </c>
      <c r="F460" s="16"/>
      <c r="G460" s="9" t="s">
        <v>14</v>
      </c>
      <c r="H460" s="7">
        <v>459.0</v>
      </c>
      <c r="I460" s="10" t="s">
        <v>787</v>
      </c>
    </row>
    <row r="461">
      <c r="A461" s="7">
        <v>460.0</v>
      </c>
      <c r="B461" s="15" t="s">
        <v>788</v>
      </c>
      <c r="C461" s="9" t="s">
        <v>10</v>
      </c>
      <c r="D461" s="9" t="s">
        <v>132</v>
      </c>
      <c r="E461" s="9" t="s">
        <v>12</v>
      </c>
      <c r="F461" s="16"/>
      <c r="G461" s="9" t="s">
        <v>14</v>
      </c>
      <c r="H461" s="7">
        <v>460.0</v>
      </c>
      <c r="I461" s="10" t="s">
        <v>789</v>
      </c>
    </row>
    <row r="462">
      <c r="A462" s="7">
        <v>461.0</v>
      </c>
      <c r="B462" s="18" t="s">
        <v>790</v>
      </c>
      <c r="C462" s="9" t="s">
        <v>759</v>
      </c>
      <c r="D462" s="16"/>
      <c r="E462" s="9" t="s">
        <v>12</v>
      </c>
      <c r="F462" s="16"/>
      <c r="G462" s="9" t="s">
        <v>14</v>
      </c>
      <c r="H462" s="7">
        <v>461.0</v>
      </c>
      <c r="I462" s="10" t="s">
        <v>791</v>
      </c>
    </row>
    <row r="463">
      <c r="A463" s="7">
        <v>462.0</v>
      </c>
      <c r="B463" s="18" t="s">
        <v>792</v>
      </c>
      <c r="C463" s="9" t="s">
        <v>10</v>
      </c>
      <c r="D463" s="9" t="s">
        <v>196</v>
      </c>
      <c r="E463" s="9" t="s">
        <v>62</v>
      </c>
      <c r="H463" s="7">
        <v>462.0</v>
      </c>
      <c r="I463" s="10" t="s">
        <v>793</v>
      </c>
    </row>
    <row r="464">
      <c r="A464" s="7">
        <v>463.0</v>
      </c>
      <c r="B464" s="18" t="s">
        <v>794</v>
      </c>
      <c r="C464" s="9" t="s">
        <v>10</v>
      </c>
      <c r="D464" s="16"/>
      <c r="E464" s="9" t="s">
        <v>62</v>
      </c>
      <c r="F464" s="16"/>
      <c r="G464" s="16"/>
      <c r="H464" s="7">
        <v>463.0</v>
      </c>
      <c r="I464" s="10" t="s">
        <v>795</v>
      </c>
    </row>
    <row r="465">
      <c r="A465" s="7">
        <v>464.0</v>
      </c>
      <c r="B465" s="18" t="s">
        <v>796</v>
      </c>
      <c r="C465" s="9" t="s">
        <v>10</v>
      </c>
      <c r="D465" s="16"/>
      <c r="E465" s="9" t="s">
        <v>62</v>
      </c>
      <c r="F465" s="16"/>
      <c r="G465" s="16"/>
      <c r="H465" s="7">
        <v>464.0</v>
      </c>
      <c r="I465" s="10" t="s">
        <v>797</v>
      </c>
    </row>
    <row r="466">
      <c r="A466" s="7">
        <v>465.0</v>
      </c>
      <c r="B466" s="18" t="s">
        <v>798</v>
      </c>
      <c r="C466" s="9" t="s">
        <v>61</v>
      </c>
      <c r="D466" s="16"/>
      <c r="E466" s="9" t="s">
        <v>12</v>
      </c>
      <c r="H466" s="7">
        <v>465.0</v>
      </c>
      <c r="I466" s="10" t="s">
        <v>799</v>
      </c>
    </row>
    <row r="467">
      <c r="A467" s="7">
        <v>466.0</v>
      </c>
      <c r="B467" s="18" t="s">
        <v>800</v>
      </c>
      <c r="C467" s="9" t="s">
        <v>10</v>
      </c>
      <c r="D467" s="16"/>
      <c r="E467" s="9" t="s">
        <v>12</v>
      </c>
      <c r="F467" s="16"/>
      <c r="G467" s="9" t="s">
        <v>111</v>
      </c>
      <c r="H467" s="7">
        <v>466.0</v>
      </c>
      <c r="I467" s="10" t="s">
        <v>801</v>
      </c>
    </row>
    <row r="468">
      <c r="A468" s="7">
        <v>467.0</v>
      </c>
      <c r="B468" s="18" t="s">
        <v>802</v>
      </c>
      <c r="C468" s="9" t="s">
        <v>59</v>
      </c>
      <c r="D468" s="16"/>
      <c r="E468" s="9" t="s">
        <v>12</v>
      </c>
      <c r="F468" s="16"/>
      <c r="G468" s="9" t="s">
        <v>14</v>
      </c>
      <c r="H468" s="7">
        <v>467.0</v>
      </c>
      <c r="I468" s="10" t="s">
        <v>803</v>
      </c>
    </row>
    <row r="469">
      <c r="A469" s="7">
        <v>468.0</v>
      </c>
      <c r="B469" s="18" t="s">
        <v>804</v>
      </c>
      <c r="C469" s="9" t="s">
        <v>10</v>
      </c>
      <c r="D469" s="9" t="s">
        <v>11</v>
      </c>
      <c r="E469" s="9" t="s">
        <v>12</v>
      </c>
      <c r="F469" s="16"/>
      <c r="G469" s="9" t="s">
        <v>14</v>
      </c>
      <c r="H469" s="7">
        <v>468.0</v>
      </c>
      <c r="I469" s="10" t="s">
        <v>805</v>
      </c>
    </row>
    <row r="470">
      <c r="A470" s="7">
        <v>469.0</v>
      </c>
      <c r="B470" s="18" t="s">
        <v>806</v>
      </c>
      <c r="C470" s="9" t="s">
        <v>10</v>
      </c>
      <c r="D470" s="9" t="s">
        <v>196</v>
      </c>
      <c r="E470" s="9" t="s">
        <v>12</v>
      </c>
      <c r="H470" s="7">
        <v>469.0</v>
      </c>
      <c r="I470" s="10" t="s">
        <v>807</v>
      </c>
    </row>
    <row r="471">
      <c r="A471" s="7">
        <v>470.0</v>
      </c>
      <c r="B471" s="18" t="s">
        <v>808</v>
      </c>
      <c r="C471" s="9" t="s">
        <v>57</v>
      </c>
      <c r="D471" s="16"/>
      <c r="E471" s="9" t="s">
        <v>12</v>
      </c>
      <c r="H471" s="7">
        <v>470.0</v>
      </c>
      <c r="I471" s="10" t="s">
        <v>809</v>
      </c>
    </row>
    <row r="472">
      <c r="A472" s="7">
        <v>471.0</v>
      </c>
      <c r="B472" s="18" t="s">
        <v>810</v>
      </c>
      <c r="C472" s="9" t="s">
        <v>10</v>
      </c>
      <c r="D472" s="9" t="s">
        <v>37</v>
      </c>
      <c r="E472" s="9" t="s">
        <v>12</v>
      </c>
      <c r="F472" s="9" t="s">
        <v>50</v>
      </c>
      <c r="G472" s="9" t="s">
        <v>14</v>
      </c>
      <c r="H472" s="7">
        <v>472.0</v>
      </c>
      <c r="I472" s="10" t="s">
        <v>811</v>
      </c>
    </row>
    <row r="473">
      <c r="A473" s="7">
        <v>472.0</v>
      </c>
      <c r="B473" s="18" t="s">
        <v>812</v>
      </c>
      <c r="C473" s="9" t="s">
        <v>61</v>
      </c>
      <c r="D473" s="16"/>
      <c r="E473" s="9" t="s">
        <v>62</v>
      </c>
      <c r="H473" s="7">
        <v>473.0</v>
      </c>
      <c r="I473" s="10" t="s">
        <v>444</v>
      </c>
    </row>
    <row r="474">
      <c r="A474" s="7">
        <v>473.0</v>
      </c>
      <c r="B474" s="18" t="s">
        <v>813</v>
      </c>
      <c r="C474" s="9" t="s">
        <v>59</v>
      </c>
      <c r="D474" s="16"/>
      <c r="E474" s="9" t="s">
        <v>12</v>
      </c>
      <c r="H474" s="7">
        <v>474.0</v>
      </c>
      <c r="I474" s="10" t="s">
        <v>814</v>
      </c>
    </row>
    <row r="475">
      <c r="A475" s="7">
        <v>474.0</v>
      </c>
      <c r="B475" s="18" t="s">
        <v>815</v>
      </c>
      <c r="C475" s="9" t="s">
        <v>10</v>
      </c>
      <c r="D475" s="9" t="s">
        <v>64</v>
      </c>
      <c r="E475" s="9" t="s">
        <v>62</v>
      </c>
      <c r="H475" s="7">
        <v>475.0</v>
      </c>
      <c r="I475" s="10" t="s">
        <v>816</v>
      </c>
    </row>
    <row r="476">
      <c r="A476" s="7">
        <v>475.0</v>
      </c>
      <c r="B476" s="18" t="s">
        <v>817</v>
      </c>
      <c r="C476" s="9" t="s">
        <v>759</v>
      </c>
      <c r="D476" s="16"/>
      <c r="E476" s="9" t="s">
        <v>12</v>
      </c>
      <c r="F476" s="16"/>
      <c r="G476" s="9" t="s">
        <v>14</v>
      </c>
      <c r="H476" s="7">
        <v>476.0</v>
      </c>
      <c r="I476" s="10" t="s">
        <v>818</v>
      </c>
    </row>
    <row r="477">
      <c r="A477" s="7">
        <v>476.0</v>
      </c>
      <c r="B477" s="18" t="s">
        <v>817</v>
      </c>
      <c r="C477" s="9" t="s">
        <v>10</v>
      </c>
      <c r="D477" s="16"/>
      <c r="E477" s="9" t="s">
        <v>12</v>
      </c>
      <c r="F477" s="16"/>
      <c r="G477" s="9" t="s">
        <v>14</v>
      </c>
      <c r="H477" s="7">
        <v>477.0</v>
      </c>
      <c r="I477" s="10" t="s">
        <v>819</v>
      </c>
    </row>
    <row r="478">
      <c r="A478" s="7">
        <v>477.0</v>
      </c>
      <c r="B478" s="18" t="s">
        <v>820</v>
      </c>
      <c r="C478" s="9" t="s">
        <v>10</v>
      </c>
      <c r="D478" s="9" t="s">
        <v>37</v>
      </c>
      <c r="E478" s="9" t="s">
        <v>12</v>
      </c>
      <c r="F478" s="9" t="s">
        <v>50</v>
      </c>
      <c r="G478" s="9" t="s">
        <v>14</v>
      </c>
      <c r="H478" s="7">
        <v>478.0</v>
      </c>
      <c r="I478" s="10" t="s">
        <v>821</v>
      </c>
    </row>
    <row r="479">
      <c r="A479" s="7">
        <v>478.0</v>
      </c>
      <c r="B479" s="36" t="s">
        <v>822</v>
      </c>
      <c r="C479" s="37" t="s">
        <v>59</v>
      </c>
      <c r="D479" s="37" t="s">
        <v>220</v>
      </c>
      <c r="E479" s="9" t="s">
        <v>12</v>
      </c>
      <c r="F479" s="9" t="s">
        <v>50</v>
      </c>
      <c r="G479" s="9" t="s">
        <v>14</v>
      </c>
      <c r="H479" s="7">
        <v>479.0</v>
      </c>
      <c r="I479" s="10" t="s">
        <v>823</v>
      </c>
    </row>
    <row r="480">
      <c r="A480" s="7">
        <v>479.0</v>
      </c>
      <c r="B480" s="36" t="s">
        <v>822</v>
      </c>
      <c r="C480" s="37" t="s">
        <v>57</v>
      </c>
      <c r="D480" s="37" t="s">
        <v>220</v>
      </c>
      <c r="E480" s="9" t="s">
        <v>12</v>
      </c>
      <c r="F480" s="9" t="s">
        <v>50</v>
      </c>
      <c r="G480" s="9" t="s">
        <v>14</v>
      </c>
      <c r="H480" s="7">
        <v>480.0</v>
      </c>
      <c r="I480" s="17" t="s">
        <v>823</v>
      </c>
    </row>
    <row r="481">
      <c r="A481" s="7">
        <v>480.0</v>
      </c>
      <c r="B481" s="18" t="s">
        <v>822</v>
      </c>
      <c r="C481" s="9" t="s">
        <v>10</v>
      </c>
      <c r="D481" s="9" t="s">
        <v>220</v>
      </c>
      <c r="E481" s="9" t="s">
        <v>12</v>
      </c>
      <c r="F481" s="9" t="s">
        <v>50</v>
      </c>
      <c r="G481" s="9" t="s">
        <v>14</v>
      </c>
      <c r="H481" s="7">
        <v>481.0</v>
      </c>
      <c r="I481" s="10" t="s">
        <v>823</v>
      </c>
    </row>
    <row r="482">
      <c r="A482" s="7">
        <v>481.0</v>
      </c>
      <c r="B482" s="21" t="s">
        <v>824</v>
      </c>
      <c r="C482" s="9" t="s">
        <v>61</v>
      </c>
      <c r="D482" s="16"/>
      <c r="E482" s="9" t="s">
        <v>62</v>
      </c>
      <c r="H482" s="7">
        <v>482.0</v>
      </c>
      <c r="I482" s="10" t="s">
        <v>825</v>
      </c>
    </row>
    <row r="483">
      <c r="A483" s="7">
        <v>482.0</v>
      </c>
      <c r="B483" s="18" t="s">
        <v>826</v>
      </c>
      <c r="C483" s="9" t="s">
        <v>10</v>
      </c>
      <c r="D483" s="16"/>
      <c r="E483" s="9" t="s">
        <v>12</v>
      </c>
      <c r="F483" s="16"/>
      <c r="G483" s="9" t="s">
        <v>111</v>
      </c>
      <c r="H483" s="7">
        <v>483.0</v>
      </c>
      <c r="I483" s="10" t="s">
        <v>827</v>
      </c>
    </row>
    <row r="484">
      <c r="A484" s="7">
        <v>483.0</v>
      </c>
      <c r="B484" s="21" t="s">
        <v>828</v>
      </c>
      <c r="C484" s="9" t="s">
        <v>10</v>
      </c>
      <c r="D484" s="16"/>
      <c r="E484" s="9" t="s">
        <v>62</v>
      </c>
      <c r="F484" s="16"/>
      <c r="G484" s="16"/>
      <c r="H484" s="7">
        <v>484.0</v>
      </c>
      <c r="I484" s="10" t="s">
        <v>829</v>
      </c>
    </row>
    <row r="485">
      <c r="A485" s="7">
        <v>484.0</v>
      </c>
      <c r="B485" s="18" t="s">
        <v>830</v>
      </c>
      <c r="C485" s="9" t="s">
        <v>61</v>
      </c>
      <c r="D485" s="16"/>
      <c r="E485" s="9" t="s">
        <v>12</v>
      </c>
      <c r="H485" s="7">
        <v>485.0</v>
      </c>
      <c r="I485" s="10" t="s">
        <v>831</v>
      </c>
    </row>
    <row r="486">
      <c r="A486" s="7">
        <v>485.0</v>
      </c>
      <c r="B486" s="18" t="s">
        <v>832</v>
      </c>
      <c r="C486" s="9" t="s">
        <v>61</v>
      </c>
      <c r="D486" s="16"/>
      <c r="E486" s="9" t="s">
        <v>62</v>
      </c>
      <c r="F486" s="16"/>
      <c r="G486" s="16"/>
      <c r="H486" s="7">
        <v>486.0</v>
      </c>
      <c r="I486" s="10" t="s">
        <v>833</v>
      </c>
    </row>
    <row r="487">
      <c r="A487" s="7">
        <v>486.0</v>
      </c>
      <c r="B487" s="18" t="s">
        <v>834</v>
      </c>
      <c r="C487" s="9" t="s">
        <v>59</v>
      </c>
      <c r="D487" s="16"/>
      <c r="E487" s="9" t="s">
        <v>62</v>
      </c>
      <c r="H487" s="7">
        <v>487.0</v>
      </c>
      <c r="I487" s="10" t="s">
        <v>835</v>
      </c>
    </row>
    <row r="488">
      <c r="A488" s="7">
        <v>487.0</v>
      </c>
      <c r="B488" s="18" t="s">
        <v>836</v>
      </c>
      <c r="C488" s="9" t="s">
        <v>61</v>
      </c>
      <c r="D488" s="16"/>
      <c r="E488" s="9" t="s">
        <v>62</v>
      </c>
      <c r="H488" s="7">
        <v>488.0</v>
      </c>
    </row>
    <row r="489">
      <c r="A489" s="7">
        <v>488.0</v>
      </c>
      <c r="B489" s="18" t="s">
        <v>837</v>
      </c>
      <c r="C489" s="9" t="s">
        <v>59</v>
      </c>
      <c r="D489" s="16"/>
      <c r="E489" s="9" t="s">
        <v>12</v>
      </c>
      <c r="F489" s="16"/>
      <c r="G489" s="9" t="s">
        <v>111</v>
      </c>
      <c r="H489" s="7">
        <v>489.0</v>
      </c>
      <c r="I489" s="10" t="s">
        <v>838</v>
      </c>
    </row>
    <row r="490">
      <c r="A490" s="7">
        <v>489.0</v>
      </c>
      <c r="B490" s="18" t="s">
        <v>839</v>
      </c>
      <c r="C490" s="9" t="s">
        <v>53</v>
      </c>
      <c r="D490" s="9" t="s">
        <v>55</v>
      </c>
      <c r="E490" s="9" t="s">
        <v>12</v>
      </c>
      <c r="F490" s="16"/>
      <c r="G490" s="9" t="s">
        <v>14</v>
      </c>
      <c r="H490" s="7">
        <v>490.0</v>
      </c>
      <c r="I490" s="10" t="s">
        <v>840</v>
      </c>
    </row>
    <row r="491">
      <c r="A491" s="7">
        <v>490.0</v>
      </c>
      <c r="B491" s="18" t="s">
        <v>839</v>
      </c>
      <c r="C491" s="9" t="s">
        <v>10</v>
      </c>
      <c r="D491" s="16"/>
      <c r="E491" s="9" t="s">
        <v>12</v>
      </c>
      <c r="F491" s="16"/>
      <c r="G491" s="9" t="s">
        <v>14</v>
      </c>
      <c r="H491" s="7">
        <v>491.0</v>
      </c>
      <c r="I491" s="10" t="s">
        <v>840</v>
      </c>
    </row>
    <row r="492">
      <c r="A492" s="7">
        <v>491.0</v>
      </c>
      <c r="B492" s="18" t="s">
        <v>839</v>
      </c>
      <c r="C492" s="9" t="s">
        <v>59</v>
      </c>
      <c r="D492" s="16"/>
      <c r="E492" s="9" t="s">
        <v>12</v>
      </c>
      <c r="F492" s="16"/>
      <c r="G492" s="9" t="s">
        <v>14</v>
      </c>
      <c r="H492" s="7">
        <v>492.0</v>
      </c>
      <c r="I492" s="17" t="s">
        <v>840</v>
      </c>
    </row>
    <row r="493">
      <c r="A493" s="7">
        <v>492.0</v>
      </c>
      <c r="B493" s="18" t="s">
        <v>839</v>
      </c>
      <c r="C493" s="9" t="s">
        <v>57</v>
      </c>
      <c r="D493" s="16"/>
      <c r="E493" s="9" t="s">
        <v>12</v>
      </c>
      <c r="F493" s="16"/>
      <c r="G493" s="9" t="s">
        <v>14</v>
      </c>
      <c r="H493" s="7">
        <v>493.0</v>
      </c>
      <c r="I493" s="17" t="s">
        <v>840</v>
      </c>
    </row>
    <row r="494">
      <c r="A494" s="7">
        <v>493.0</v>
      </c>
      <c r="B494" s="18" t="s">
        <v>841</v>
      </c>
      <c r="C494" s="9" t="s">
        <v>53</v>
      </c>
      <c r="D494" s="9" t="s">
        <v>55</v>
      </c>
      <c r="E494" s="9" t="s">
        <v>12</v>
      </c>
      <c r="F494" s="16"/>
      <c r="G494" s="9" t="s">
        <v>14</v>
      </c>
      <c r="H494" s="7">
        <v>494.0</v>
      </c>
      <c r="I494" s="10" t="s">
        <v>842</v>
      </c>
      <c r="J494" s="9" t="s">
        <v>843</v>
      </c>
      <c r="K494" s="10" t="s">
        <v>844</v>
      </c>
    </row>
    <row r="495">
      <c r="A495" s="7">
        <v>494.0</v>
      </c>
      <c r="B495" s="21" t="s">
        <v>845</v>
      </c>
      <c r="C495" s="9" t="s">
        <v>10</v>
      </c>
      <c r="D495" s="16"/>
      <c r="E495" s="9" t="s">
        <v>62</v>
      </c>
      <c r="H495" s="7">
        <v>495.0</v>
      </c>
      <c r="I495" s="10" t="s">
        <v>846</v>
      </c>
    </row>
    <row r="496">
      <c r="A496" s="7">
        <v>495.0</v>
      </c>
      <c r="B496" s="18" t="s">
        <v>847</v>
      </c>
      <c r="C496" s="9" t="s">
        <v>59</v>
      </c>
      <c r="D496" s="16"/>
      <c r="E496" s="9" t="s">
        <v>12</v>
      </c>
      <c r="F496" s="16"/>
      <c r="G496" s="9" t="s">
        <v>14</v>
      </c>
      <c r="H496" s="7">
        <v>496.0</v>
      </c>
      <c r="I496" s="10" t="s">
        <v>848</v>
      </c>
    </row>
    <row r="497">
      <c r="A497" s="7">
        <v>496.0</v>
      </c>
      <c r="B497" s="21" t="s">
        <v>849</v>
      </c>
      <c r="C497" s="9" t="s">
        <v>10</v>
      </c>
      <c r="D497" s="16"/>
      <c r="E497" s="9" t="s">
        <v>62</v>
      </c>
      <c r="H497" s="7">
        <v>497.0</v>
      </c>
      <c r="I497" s="17" t="s">
        <v>850</v>
      </c>
    </row>
    <row r="498">
      <c r="A498" s="7">
        <v>497.0</v>
      </c>
      <c r="B498" s="18" t="s">
        <v>851</v>
      </c>
      <c r="C498" s="9" t="s">
        <v>10</v>
      </c>
      <c r="D498" s="9" t="s">
        <v>64</v>
      </c>
      <c r="E498" s="9" t="s">
        <v>12</v>
      </c>
      <c r="H498" s="7">
        <v>498.0</v>
      </c>
      <c r="I498" s="10" t="s">
        <v>852</v>
      </c>
    </row>
    <row r="499">
      <c r="A499" s="7">
        <v>498.0</v>
      </c>
      <c r="B499" s="18" t="s">
        <v>853</v>
      </c>
      <c r="C499" s="9" t="s">
        <v>61</v>
      </c>
      <c r="D499" s="16"/>
      <c r="E499" s="9" t="s">
        <v>62</v>
      </c>
      <c r="H499" s="7">
        <v>499.0</v>
      </c>
    </row>
    <row r="500">
      <c r="A500" s="7">
        <v>499.0</v>
      </c>
      <c r="B500" s="18" t="s">
        <v>854</v>
      </c>
      <c r="C500" s="9" t="s">
        <v>10</v>
      </c>
      <c r="D500" s="16"/>
      <c r="E500" s="9" t="s">
        <v>62</v>
      </c>
      <c r="H500" s="7">
        <v>500.0</v>
      </c>
      <c r="I500" s="10" t="s">
        <v>855</v>
      </c>
    </row>
    <row r="501">
      <c r="A501" s="7">
        <v>500.0</v>
      </c>
      <c r="B501" s="18" t="s">
        <v>856</v>
      </c>
      <c r="C501" s="9" t="s">
        <v>59</v>
      </c>
      <c r="D501" s="16"/>
      <c r="E501" s="9" t="s">
        <v>62</v>
      </c>
      <c r="H501" s="7">
        <v>501.0</v>
      </c>
    </row>
    <row r="502">
      <c r="A502" s="7">
        <v>501.0</v>
      </c>
      <c r="B502" s="21" t="s">
        <v>857</v>
      </c>
      <c r="C502" s="9" t="s">
        <v>59</v>
      </c>
      <c r="D502" s="16"/>
      <c r="E502" s="9" t="s">
        <v>62</v>
      </c>
      <c r="H502" s="7">
        <v>502.0</v>
      </c>
      <c r="I502" s="10" t="s">
        <v>858</v>
      </c>
    </row>
    <row r="503">
      <c r="A503" s="7">
        <v>502.0</v>
      </c>
      <c r="B503" s="18" t="s">
        <v>859</v>
      </c>
      <c r="C503" s="9" t="s">
        <v>10</v>
      </c>
      <c r="D503" s="16"/>
      <c r="E503" s="9" t="s">
        <v>62</v>
      </c>
      <c r="H503" s="7">
        <v>503.0</v>
      </c>
      <c r="I503" s="10" t="s">
        <v>860</v>
      </c>
    </row>
    <row r="504">
      <c r="A504" s="7">
        <v>503.0</v>
      </c>
      <c r="B504" s="18" t="s">
        <v>861</v>
      </c>
      <c r="C504" s="9" t="s">
        <v>59</v>
      </c>
      <c r="D504" s="9" t="s">
        <v>40</v>
      </c>
      <c r="E504" s="9" t="s">
        <v>62</v>
      </c>
      <c r="F504" s="16"/>
      <c r="G504" s="16"/>
      <c r="H504" s="7">
        <v>504.0</v>
      </c>
      <c r="I504" s="10" t="s">
        <v>862</v>
      </c>
    </row>
    <row r="505">
      <c r="A505" s="7">
        <v>504.0</v>
      </c>
      <c r="B505" s="21" t="s">
        <v>863</v>
      </c>
      <c r="C505" s="9" t="s">
        <v>61</v>
      </c>
      <c r="D505" s="16"/>
      <c r="E505" s="9" t="s">
        <v>62</v>
      </c>
      <c r="F505" s="16"/>
      <c r="G505" s="16"/>
      <c r="H505" s="7">
        <v>505.0</v>
      </c>
      <c r="I505" s="10" t="s">
        <v>864</v>
      </c>
    </row>
    <row r="506">
      <c r="A506" s="7">
        <v>505.0</v>
      </c>
      <c r="B506" s="18" t="s">
        <v>865</v>
      </c>
      <c r="C506" s="9" t="s">
        <v>10</v>
      </c>
      <c r="D506" s="9" t="s">
        <v>196</v>
      </c>
      <c r="E506" s="9" t="s">
        <v>62</v>
      </c>
      <c r="H506" s="7">
        <v>506.0</v>
      </c>
      <c r="I506" s="10" t="s">
        <v>866</v>
      </c>
    </row>
    <row r="507">
      <c r="A507" s="7">
        <v>506.0</v>
      </c>
      <c r="B507" s="18" t="s">
        <v>867</v>
      </c>
      <c r="C507" s="9" t="s">
        <v>49</v>
      </c>
      <c r="D507" s="16"/>
      <c r="E507" s="9" t="s">
        <v>12</v>
      </c>
      <c r="F507" s="16"/>
      <c r="G507" s="9" t="s">
        <v>14</v>
      </c>
      <c r="H507" s="7">
        <v>507.0</v>
      </c>
      <c r="I507" s="10" t="s">
        <v>868</v>
      </c>
    </row>
    <row r="508">
      <c r="A508" s="7">
        <v>507.0</v>
      </c>
      <c r="B508" s="18" t="s">
        <v>867</v>
      </c>
      <c r="C508" s="9" t="s">
        <v>61</v>
      </c>
      <c r="D508" s="16"/>
      <c r="E508" s="9" t="s">
        <v>12</v>
      </c>
      <c r="F508" s="16"/>
      <c r="G508" s="9" t="s">
        <v>14</v>
      </c>
      <c r="H508" s="7">
        <v>508.0</v>
      </c>
      <c r="I508" s="10" t="s">
        <v>577</v>
      </c>
    </row>
    <row r="509">
      <c r="A509" s="7">
        <v>508.0</v>
      </c>
      <c r="B509" s="18" t="s">
        <v>869</v>
      </c>
      <c r="C509" s="9" t="s">
        <v>759</v>
      </c>
      <c r="D509" s="16"/>
      <c r="E509" s="9" t="s">
        <v>12</v>
      </c>
      <c r="F509" s="16"/>
      <c r="G509" s="9" t="s">
        <v>14</v>
      </c>
      <c r="H509" s="7">
        <v>509.0</v>
      </c>
      <c r="I509" s="10" t="s">
        <v>870</v>
      </c>
    </row>
    <row r="510">
      <c r="A510" s="7">
        <v>509.0</v>
      </c>
      <c r="B510" s="18" t="s">
        <v>869</v>
      </c>
      <c r="C510" s="9" t="s">
        <v>10</v>
      </c>
      <c r="D510" s="16"/>
      <c r="E510" s="9" t="s">
        <v>12</v>
      </c>
      <c r="F510" s="16"/>
      <c r="G510" s="9" t="s">
        <v>14</v>
      </c>
      <c r="H510" s="7">
        <v>510.0</v>
      </c>
      <c r="I510" s="10" t="s">
        <v>870</v>
      </c>
    </row>
    <row r="511">
      <c r="A511" s="7">
        <v>510.0</v>
      </c>
      <c r="B511" s="18" t="s">
        <v>871</v>
      </c>
      <c r="C511" s="9" t="s">
        <v>10</v>
      </c>
      <c r="D511" s="9" t="s">
        <v>196</v>
      </c>
      <c r="E511" s="9" t="s">
        <v>12</v>
      </c>
      <c r="H511" s="7">
        <v>511.0</v>
      </c>
      <c r="I511" s="10" t="s">
        <v>872</v>
      </c>
    </row>
    <row r="512">
      <c r="A512" s="7">
        <v>511.0</v>
      </c>
      <c r="B512" s="15" t="s">
        <v>873</v>
      </c>
      <c r="C512" s="9" t="s">
        <v>10</v>
      </c>
      <c r="D512" s="9" t="s">
        <v>149</v>
      </c>
      <c r="E512" s="9" t="s">
        <v>12</v>
      </c>
      <c r="F512" s="16"/>
      <c r="G512" s="9" t="s">
        <v>14</v>
      </c>
      <c r="H512" s="7">
        <v>512.0</v>
      </c>
      <c r="I512" s="10" t="s">
        <v>874</v>
      </c>
    </row>
    <row r="513">
      <c r="A513" s="7">
        <v>512.0</v>
      </c>
      <c r="B513" s="21" t="s">
        <v>875</v>
      </c>
      <c r="C513" s="9" t="s">
        <v>10</v>
      </c>
      <c r="D513" s="16"/>
      <c r="E513" s="9" t="s">
        <v>62</v>
      </c>
      <c r="H513" s="7">
        <v>513.0</v>
      </c>
      <c r="I513" s="10" t="s">
        <v>876</v>
      </c>
    </row>
    <row r="514">
      <c r="A514" s="7">
        <v>513.0</v>
      </c>
      <c r="B514" s="18" t="s">
        <v>877</v>
      </c>
      <c r="C514" s="9" t="s">
        <v>59</v>
      </c>
      <c r="D514" s="9" t="s">
        <v>23</v>
      </c>
      <c r="E514" s="9" t="s">
        <v>12</v>
      </c>
      <c r="F514" s="9" t="s">
        <v>50</v>
      </c>
      <c r="G514" s="9" t="s">
        <v>14</v>
      </c>
      <c r="H514" s="7">
        <v>514.0</v>
      </c>
      <c r="I514" s="10" t="s">
        <v>878</v>
      </c>
    </row>
    <row r="515">
      <c r="A515" s="7">
        <v>514.0</v>
      </c>
      <c r="B515" s="18" t="s">
        <v>879</v>
      </c>
      <c r="C515" s="9" t="s">
        <v>10</v>
      </c>
      <c r="D515" s="9" t="s">
        <v>74</v>
      </c>
      <c r="E515" s="9" t="s">
        <v>12</v>
      </c>
      <c r="F515" s="16"/>
      <c r="G515" s="16"/>
      <c r="H515" s="7">
        <v>515.0</v>
      </c>
      <c r="I515" s="10" t="s">
        <v>880</v>
      </c>
    </row>
    <row r="516">
      <c r="A516" s="7">
        <v>515.0</v>
      </c>
      <c r="B516" s="18" t="s">
        <v>881</v>
      </c>
      <c r="C516" s="9" t="s">
        <v>10</v>
      </c>
      <c r="D516" s="9" t="s">
        <v>74</v>
      </c>
      <c r="E516" s="9" t="s">
        <v>12</v>
      </c>
      <c r="F516" s="16"/>
      <c r="G516" s="16"/>
      <c r="H516" s="7">
        <v>516.0</v>
      </c>
      <c r="I516" s="10" t="s">
        <v>882</v>
      </c>
    </row>
    <row r="517">
      <c r="A517" s="7">
        <v>516.0</v>
      </c>
      <c r="B517" s="26" t="s">
        <v>883</v>
      </c>
      <c r="C517" s="27" t="s">
        <v>10</v>
      </c>
      <c r="D517" s="27" t="s">
        <v>37</v>
      </c>
      <c r="E517" s="9" t="s">
        <v>12</v>
      </c>
      <c r="F517" s="27" t="s">
        <v>50</v>
      </c>
      <c r="G517" s="27" t="s">
        <v>224</v>
      </c>
      <c r="H517" s="7">
        <v>517.0</v>
      </c>
      <c r="I517" s="38" t="s">
        <v>884</v>
      </c>
      <c r="J517" s="20"/>
      <c r="K517" s="20"/>
      <c r="L517" s="20"/>
      <c r="M517" s="20"/>
    </row>
    <row r="518">
      <c r="A518" s="7">
        <v>517.0</v>
      </c>
      <c r="B518" s="21" t="s">
        <v>885</v>
      </c>
      <c r="C518" s="9" t="s">
        <v>10</v>
      </c>
      <c r="D518" s="16"/>
      <c r="E518" s="9" t="s">
        <v>62</v>
      </c>
      <c r="F518" s="16"/>
      <c r="G518" s="16"/>
      <c r="H518" s="7">
        <v>518.0</v>
      </c>
      <c r="I518" s="10" t="s">
        <v>886</v>
      </c>
    </row>
    <row r="519">
      <c r="A519" s="7">
        <v>518.0</v>
      </c>
      <c r="B519" s="15" t="s">
        <v>887</v>
      </c>
      <c r="C519" s="9" t="s">
        <v>10</v>
      </c>
      <c r="D519" s="9" t="s">
        <v>149</v>
      </c>
      <c r="E519" s="9" t="s">
        <v>12</v>
      </c>
      <c r="F519" s="16"/>
      <c r="G519" s="9" t="s">
        <v>14</v>
      </c>
      <c r="H519" s="7">
        <v>519.0</v>
      </c>
      <c r="I519" s="10" t="s">
        <v>888</v>
      </c>
    </row>
    <row r="520">
      <c r="A520" s="7">
        <v>519.0</v>
      </c>
      <c r="B520" s="18" t="s">
        <v>889</v>
      </c>
      <c r="C520" s="9" t="s">
        <v>61</v>
      </c>
      <c r="D520" s="9" t="s">
        <v>220</v>
      </c>
      <c r="E520" s="9" t="s">
        <v>12</v>
      </c>
      <c r="F520" s="16"/>
      <c r="G520" s="9" t="s">
        <v>14</v>
      </c>
      <c r="H520" s="7">
        <v>520.0</v>
      </c>
      <c r="I520" s="10" t="s">
        <v>890</v>
      </c>
    </row>
    <row r="521">
      <c r="A521" s="7">
        <v>520.0</v>
      </c>
      <c r="B521" s="18" t="s">
        <v>889</v>
      </c>
      <c r="C521" s="9" t="s">
        <v>57</v>
      </c>
      <c r="D521" s="16"/>
      <c r="E521" s="9" t="s">
        <v>12</v>
      </c>
      <c r="F521" s="16"/>
      <c r="G521" s="9" t="s">
        <v>14</v>
      </c>
      <c r="H521" s="7">
        <v>521.0</v>
      </c>
      <c r="I521" s="10" t="s">
        <v>891</v>
      </c>
    </row>
    <row r="522">
      <c r="A522" s="7">
        <v>521.0</v>
      </c>
      <c r="B522" s="18" t="s">
        <v>889</v>
      </c>
      <c r="C522" s="9" t="s">
        <v>10</v>
      </c>
      <c r="D522" s="16"/>
      <c r="E522" s="9" t="s">
        <v>12</v>
      </c>
      <c r="F522" s="16"/>
      <c r="G522" s="9" t="s">
        <v>14</v>
      </c>
      <c r="H522" s="7">
        <v>522.0</v>
      </c>
      <c r="I522" s="10" t="s">
        <v>891</v>
      </c>
    </row>
    <row r="523">
      <c r="A523" s="7">
        <v>522.0</v>
      </c>
      <c r="B523" s="15" t="s">
        <v>892</v>
      </c>
      <c r="C523" s="9" t="s">
        <v>10</v>
      </c>
      <c r="D523" s="9" t="s">
        <v>149</v>
      </c>
      <c r="E523" s="9" t="s">
        <v>12</v>
      </c>
      <c r="F523" s="16"/>
      <c r="G523" s="9" t="s">
        <v>14</v>
      </c>
      <c r="H523" s="7">
        <v>523.0</v>
      </c>
      <c r="I523" s="10" t="s">
        <v>893</v>
      </c>
    </row>
    <row r="524">
      <c r="A524" s="7">
        <v>523.0</v>
      </c>
      <c r="B524" s="18" t="s">
        <v>894</v>
      </c>
      <c r="C524" s="9" t="s">
        <v>61</v>
      </c>
      <c r="D524" s="9" t="s">
        <v>220</v>
      </c>
      <c r="E524" s="9" t="s">
        <v>12</v>
      </c>
      <c r="F524" s="16"/>
      <c r="G524" s="9" t="s">
        <v>14</v>
      </c>
      <c r="H524" s="7">
        <v>524.0</v>
      </c>
      <c r="I524" s="10" t="s">
        <v>895</v>
      </c>
    </row>
    <row r="525">
      <c r="A525" s="7">
        <v>524.0</v>
      </c>
      <c r="B525" s="18" t="s">
        <v>894</v>
      </c>
      <c r="C525" s="9" t="s">
        <v>59</v>
      </c>
      <c r="D525" s="16"/>
      <c r="E525" s="9" t="s">
        <v>12</v>
      </c>
      <c r="F525" s="16"/>
      <c r="G525" s="9" t="s">
        <v>14</v>
      </c>
      <c r="H525" s="7">
        <v>525.0</v>
      </c>
      <c r="I525" s="10" t="s">
        <v>896</v>
      </c>
    </row>
    <row r="526">
      <c r="A526" s="7">
        <v>525.0</v>
      </c>
      <c r="B526" s="18" t="s">
        <v>894</v>
      </c>
      <c r="C526" s="9" t="s">
        <v>10</v>
      </c>
      <c r="D526" s="16"/>
      <c r="E526" s="9" t="s">
        <v>12</v>
      </c>
      <c r="F526" s="16"/>
      <c r="G526" s="9" t="s">
        <v>14</v>
      </c>
      <c r="H526" s="7">
        <v>526.0</v>
      </c>
      <c r="I526" s="10" t="s">
        <v>896</v>
      </c>
    </row>
    <row r="527">
      <c r="A527" s="7">
        <v>526.0</v>
      </c>
      <c r="B527" s="21" t="s">
        <v>897</v>
      </c>
      <c r="C527" s="9" t="s">
        <v>59</v>
      </c>
      <c r="D527" s="9" t="s">
        <v>40</v>
      </c>
      <c r="E527" s="9" t="s">
        <v>62</v>
      </c>
      <c r="F527" s="16"/>
      <c r="G527" s="16"/>
      <c r="H527" s="7">
        <v>527.0</v>
      </c>
      <c r="I527" s="10" t="s">
        <v>898</v>
      </c>
    </row>
    <row r="528">
      <c r="A528" s="7">
        <v>527.0</v>
      </c>
      <c r="B528" s="15" t="s">
        <v>899</v>
      </c>
      <c r="C528" s="9" t="s">
        <v>10</v>
      </c>
      <c r="D528" s="9" t="s">
        <v>44</v>
      </c>
      <c r="E528" s="9" t="s">
        <v>12</v>
      </c>
      <c r="F528" s="16"/>
      <c r="G528" s="9" t="s">
        <v>111</v>
      </c>
      <c r="H528" s="7">
        <v>528.0</v>
      </c>
      <c r="I528" s="10" t="s">
        <v>900</v>
      </c>
    </row>
    <row r="529">
      <c r="A529" s="7">
        <v>528.0</v>
      </c>
      <c r="B529" s="18" t="s">
        <v>901</v>
      </c>
      <c r="C529" s="9" t="s">
        <v>10</v>
      </c>
      <c r="D529" s="9" t="s">
        <v>26</v>
      </c>
      <c r="E529" s="9" t="s">
        <v>12</v>
      </c>
      <c r="F529" s="16"/>
      <c r="G529" s="9" t="s">
        <v>224</v>
      </c>
      <c r="H529" s="7">
        <v>529.0</v>
      </c>
      <c r="I529" s="10" t="s">
        <v>902</v>
      </c>
    </row>
    <row r="530">
      <c r="A530" s="7">
        <v>529.0</v>
      </c>
      <c r="B530" s="18" t="s">
        <v>901</v>
      </c>
      <c r="C530" s="9" t="s">
        <v>10</v>
      </c>
      <c r="D530" s="9" t="s">
        <v>196</v>
      </c>
      <c r="E530" s="9" t="s">
        <v>12</v>
      </c>
      <c r="H530" s="7">
        <v>530.0</v>
      </c>
      <c r="I530" s="10" t="s">
        <v>902</v>
      </c>
    </row>
    <row r="531">
      <c r="A531" s="7">
        <v>530.0</v>
      </c>
      <c r="B531" s="15" t="s">
        <v>903</v>
      </c>
      <c r="C531" s="9" t="s">
        <v>10</v>
      </c>
      <c r="D531" s="9" t="s">
        <v>132</v>
      </c>
      <c r="E531" s="9" t="s">
        <v>12</v>
      </c>
      <c r="F531" s="16"/>
      <c r="G531" s="9" t="s">
        <v>14</v>
      </c>
      <c r="H531" s="7">
        <v>531.0</v>
      </c>
      <c r="I531" s="10" t="s">
        <v>904</v>
      </c>
    </row>
    <row r="532">
      <c r="A532" s="7">
        <v>531.0</v>
      </c>
      <c r="B532" s="18" t="s">
        <v>905</v>
      </c>
      <c r="C532" s="9" t="s">
        <v>61</v>
      </c>
      <c r="D532" s="9" t="s">
        <v>196</v>
      </c>
      <c r="E532" s="9" t="s">
        <v>62</v>
      </c>
      <c r="H532" s="7">
        <v>532.0</v>
      </c>
      <c r="I532" s="10" t="s">
        <v>906</v>
      </c>
    </row>
    <row r="533">
      <c r="A533" s="7">
        <v>532.0</v>
      </c>
      <c r="B533" s="18" t="s">
        <v>907</v>
      </c>
      <c r="C533" s="9" t="s">
        <v>59</v>
      </c>
      <c r="D533" s="9" t="s">
        <v>220</v>
      </c>
      <c r="E533" s="9" t="s">
        <v>12</v>
      </c>
      <c r="F533" s="9" t="s">
        <v>50</v>
      </c>
      <c r="G533" s="9" t="s">
        <v>14</v>
      </c>
      <c r="H533" s="7">
        <v>533.0</v>
      </c>
      <c r="I533" s="10" t="s">
        <v>908</v>
      </c>
    </row>
    <row r="534">
      <c r="A534" s="7">
        <v>533.0</v>
      </c>
      <c r="B534" s="18" t="s">
        <v>909</v>
      </c>
      <c r="C534" s="16"/>
      <c r="D534" s="9" t="s">
        <v>11</v>
      </c>
      <c r="E534" s="9" t="s">
        <v>12</v>
      </c>
      <c r="F534" s="16"/>
      <c r="G534" s="9" t="s">
        <v>14</v>
      </c>
      <c r="H534" s="7">
        <v>534.0</v>
      </c>
      <c r="I534" s="10" t="s">
        <v>910</v>
      </c>
    </row>
    <row r="535">
      <c r="A535" s="7">
        <v>534.0</v>
      </c>
      <c r="B535" s="18" t="s">
        <v>909</v>
      </c>
      <c r="C535" s="9" t="s">
        <v>10</v>
      </c>
      <c r="D535" s="9" t="s">
        <v>667</v>
      </c>
      <c r="E535" s="9" t="s">
        <v>12</v>
      </c>
      <c r="F535" s="16"/>
      <c r="G535" s="9" t="s">
        <v>14</v>
      </c>
      <c r="H535" s="7">
        <v>535.0</v>
      </c>
      <c r="I535" s="10" t="s">
        <v>910</v>
      </c>
    </row>
    <row r="536">
      <c r="A536" s="7">
        <v>535.0</v>
      </c>
      <c r="B536" s="18" t="s">
        <v>911</v>
      </c>
      <c r="C536" s="16"/>
      <c r="D536" s="9" t="s">
        <v>11</v>
      </c>
      <c r="E536" s="9" t="s">
        <v>12</v>
      </c>
      <c r="F536" s="16"/>
      <c r="G536" s="9" t="s">
        <v>14</v>
      </c>
      <c r="H536" s="7">
        <v>536.0</v>
      </c>
      <c r="I536" s="10" t="s">
        <v>912</v>
      </c>
    </row>
    <row r="537">
      <c r="A537" s="7">
        <v>536.0</v>
      </c>
      <c r="B537" s="18" t="s">
        <v>911</v>
      </c>
      <c r="C537" s="9" t="s">
        <v>10</v>
      </c>
      <c r="D537" s="9" t="s">
        <v>667</v>
      </c>
      <c r="E537" s="9" t="s">
        <v>12</v>
      </c>
      <c r="F537" s="16"/>
      <c r="G537" s="9" t="s">
        <v>14</v>
      </c>
      <c r="H537" s="7">
        <v>537.0</v>
      </c>
      <c r="I537" s="10" t="s">
        <v>912</v>
      </c>
    </row>
    <row r="538">
      <c r="A538" s="7">
        <v>537.0</v>
      </c>
      <c r="B538" s="18" t="s">
        <v>911</v>
      </c>
      <c r="C538" s="9" t="s">
        <v>57</v>
      </c>
      <c r="D538" s="9" t="s">
        <v>667</v>
      </c>
      <c r="E538" s="9" t="s">
        <v>12</v>
      </c>
      <c r="F538" s="16"/>
      <c r="G538" s="9" t="s">
        <v>14</v>
      </c>
      <c r="H538" s="7">
        <v>538.0</v>
      </c>
      <c r="I538" s="10" t="s">
        <v>912</v>
      </c>
    </row>
    <row r="539">
      <c r="A539" s="7">
        <v>538.0</v>
      </c>
      <c r="B539" s="18" t="s">
        <v>913</v>
      </c>
      <c r="C539" s="16"/>
      <c r="D539" s="9" t="s">
        <v>11</v>
      </c>
      <c r="E539" s="9" t="s">
        <v>12</v>
      </c>
      <c r="F539" s="16"/>
      <c r="G539" s="9" t="s">
        <v>14</v>
      </c>
      <c r="H539" s="7">
        <v>539.0</v>
      </c>
      <c r="I539" s="10" t="s">
        <v>914</v>
      </c>
    </row>
    <row r="540">
      <c r="A540" s="7">
        <v>539.0</v>
      </c>
      <c r="B540" s="18" t="s">
        <v>913</v>
      </c>
      <c r="C540" s="9" t="s">
        <v>10</v>
      </c>
      <c r="D540" s="9" t="s">
        <v>11</v>
      </c>
      <c r="E540" s="9" t="s">
        <v>12</v>
      </c>
      <c r="F540" s="16"/>
      <c r="G540" s="9" t="s">
        <v>14</v>
      </c>
      <c r="H540" s="7">
        <v>540.0</v>
      </c>
      <c r="I540" s="10" t="s">
        <v>914</v>
      </c>
    </row>
    <row r="541">
      <c r="A541" s="7">
        <v>540.0</v>
      </c>
      <c r="B541" s="18" t="s">
        <v>915</v>
      </c>
      <c r="C541" s="16"/>
      <c r="D541" s="9" t="s">
        <v>11</v>
      </c>
      <c r="E541" s="9" t="s">
        <v>12</v>
      </c>
      <c r="F541" s="16"/>
      <c r="G541" s="9" t="s">
        <v>14</v>
      </c>
      <c r="H541" s="7">
        <v>541.0</v>
      </c>
      <c r="I541" s="10" t="s">
        <v>916</v>
      </c>
    </row>
    <row r="542">
      <c r="A542" s="7">
        <v>541.0</v>
      </c>
      <c r="B542" s="18" t="s">
        <v>915</v>
      </c>
      <c r="C542" s="9" t="s">
        <v>10</v>
      </c>
      <c r="D542" s="9" t="s">
        <v>667</v>
      </c>
      <c r="E542" s="9" t="s">
        <v>12</v>
      </c>
      <c r="F542" s="16"/>
      <c r="G542" s="9" t="s">
        <v>14</v>
      </c>
      <c r="H542" s="7">
        <v>542.0</v>
      </c>
      <c r="I542" s="10" t="s">
        <v>917</v>
      </c>
    </row>
    <row r="543">
      <c r="A543" s="7">
        <v>542.0</v>
      </c>
      <c r="B543" s="21" t="s">
        <v>918</v>
      </c>
      <c r="C543" s="9" t="s">
        <v>10</v>
      </c>
      <c r="D543" s="16"/>
      <c r="E543" s="9" t="s">
        <v>62</v>
      </c>
      <c r="H543" s="7">
        <v>543.0</v>
      </c>
      <c r="I543" s="10" t="s">
        <v>919</v>
      </c>
    </row>
    <row r="544">
      <c r="A544" s="7">
        <v>543.0</v>
      </c>
      <c r="B544" s="18" t="s">
        <v>920</v>
      </c>
      <c r="C544" s="9" t="s">
        <v>59</v>
      </c>
      <c r="D544" s="16"/>
      <c r="E544" s="9" t="s">
        <v>12</v>
      </c>
      <c r="F544" s="16"/>
      <c r="G544" s="9" t="s">
        <v>14</v>
      </c>
      <c r="H544" s="7">
        <v>544.0</v>
      </c>
      <c r="I544" s="10" t="s">
        <v>921</v>
      </c>
    </row>
    <row r="545">
      <c r="A545" s="7">
        <v>544.0</v>
      </c>
      <c r="B545" s="18" t="s">
        <v>920</v>
      </c>
      <c r="C545" s="9" t="s">
        <v>57</v>
      </c>
      <c r="D545" s="16"/>
      <c r="E545" s="9" t="s">
        <v>12</v>
      </c>
      <c r="F545" s="16"/>
      <c r="G545" s="9" t="s">
        <v>14</v>
      </c>
      <c r="H545" s="7">
        <v>545.0</v>
      </c>
      <c r="I545" s="10" t="s">
        <v>921</v>
      </c>
    </row>
    <row r="546">
      <c r="A546" s="7">
        <v>545.0</v>
      </c>
      <c r="B546" s="18" t="s">
        <v>920</v>
      </c>
      <c r="C546" s="9" t="s">
        <v>10</v>
      </c>
      <c r="D546" s="16"/>
      <c r="E546" s="9" t="s">
        <v>12</v>
      </c>
      <c r="F546" s="16"/>
      <c r="G546" s="9" t="s">
        <v>14</v>
      </c>
      <c r="H546" s="7">
        <v>546.0</v>
      </c>
      <c r="I546" s="10" t="s">
        <v>921</v>
      </c>
    </row>
    <row r="547">
      <c r="A547" s="7">
        <v>546.0</v>
      </c>
      <c r="B547" s="18" t="s">
        <v>920</v>
      </c>
      <c r="C547" s="9" t="s">
        <v>61</v>
      </c>
      <c r="D547" s="16"/>
      <c r="E547" s="9" t="s">
        <v>12</v>
      </c>
      <c r="F547" s="16"/>
      <c r="G547" s="9" t="s">
        <v>14</v>
      </c>
      <c r="H547" s="7">
        <v>547.0</v>
      </c>
      <c r="I547" s="10" t="s">
        <v>921</v>
      </c>
    </row>
    <row r="548">
      <c r="A548" s="7">
        <v>547.0</v>
      </c>
      <c r="B548" s="15" t="s">
        <v>922</v>
      </c>
      <c r="C548" s="9" t="s">
        <v>10</v>
      </c>
      <c r="D548" s="9" t="s">
        <v>132</v>
      </c>
      <c r="E548" s="9" t="s">
        <v>12</v>
      </c>
      <c r="F548" s="16"/>
      <c r="G548" s="9" t="s">
        <v>14</v>
      </c>
      <c r="H548" s="7">
        <v>548.0</v>
      </c>
      <c r="I548" s="10" t="s">
        <v>923</v>
      </c>
    </row>
    <row r="549">
      <c r="A549" s="7">
        <v>548.0</v>
      </c>
      <c r="B549" s="18" t="s">
        <v>924</v>
      </c>
      <c r="C549" s="9" t="s">
        <v>10</v>
      </c>
      <c r="D549" s="9" t="s">
        <v>196</v>
      </c>
      <c r="E549" s="9" t="s">
        <v>62</v>
      </c>
      <c r="H549" s="7">
        <v>549.0</v>
      </c>
      <c r="I549" s="10" t="s">
        <v>925</v>
      </c>
    </row>
    <row r="550">
      <c r="A550" s="7">
        <v>549.0</v>
      </c>
      <c r="B550" s="18" t="s">
        <v>926</v>
      </c>
      <c r="C550" s="9" t="s">
        <v>10</v>
      </c>
      <c r="D550" s="9" t="s">
        <v>74</v>
      </c>
      <c r="E550" s="9" t="s">
        <v>62</v>
      </c>
      <c r="F550" s="16"/>
      <c r="G550" s="9" t="s">
        <v>111</v>
      </c>
      <c r="H550" s="7">
        <v>550.0</v>
      </c>
      <c r="I550" s="10" t="s">
        <v>927</v>
      </c>
    </row>
    <row r="551">
      <c r="A551" s="7">
        <v>550.0</v>
      </c>
      <c r="B551" s="18" t="s">
        <v>928</v>
      </c>
      <c r="C551" s="9" t="s">
        <v>59</v>
      </c>
      <c r="D551" s="16"/>
      <c r="E551" s="9" t="s">
        <v>12</v>
      </c>
      <c r="F551" s="16"/>
      <c r="G551" s="9" t="s">
        <v>111</v>
      </c>
      <c r="H551" s="7">
        <v>551.0</v>
      </c>
      <c r="I551" s="10" t="s">
        <v>929</v>
      </c>
    </row>
    <row r="552">
      <c r="A552" s="7">
        <v>551.0</v>
      </c>
      <c r="B552" s="21" t="s">
        <v>930</v>
      </c>
      <c r="C552" s="9" t="s">
        <v>10</v>
      </c>
      <c r="D552" s="16"/>
      <c r="E552" s="9" t="s">
        <v>62</v>
      </c>
      <c r="F552" s="16"/>
      <c r="G552" s="16"/>
      <c r="H552" s="7">
        <v>552.0</v>
      </c>
      <c r="I552" s="10" t="s">
        <v>931</v>
      </c>
    </row>
    <row r="553">
      <c r="A553" s="7">
        <v>552.0</v>
      </c>
      <c r="B553" s="18" t="s">
        <v>932</v>
      </c>
      <c r="C553" s="9" t="s">
        <v>10</v>
      </c>
      <c r="D553" s="16"/>
      <c r="E553" s="9" t="s">
        <v>62</v>
      </c>
      <c r="H553" s="7">
        <v>553.0</v>
      </c>
      <c r="I553" s="10" t="s">
        <v>933</v>
      </c>
    </row>
    <row r="554">
      <c r="A554" s="7">
        <v>553.0</v>
      </c>
      <c r="B554" s="21" t="s">
        <v>934</v>
      </c>
      <c r="C554" s="9" t="s">
        <v>10</v>
      </c>
      <c r="D554" s="16"/>
      <c r="E554" s="9" t="s">
        <v>62</v>
      </c>
      <c r="H554" s="7">
        <v>554.0</v>
      </c>
      <c r="I554" s="10" t="s">
        <v>935</v>
      </c>
    </row>
    <row r="555">
      <c r="A555" s="7">
        <v>554.0</v>
      </c>
      <c r="B555" s="18" t="s">
        <v>936</v>
      </c>
      <c r="C555" s="9" t="s">
        <v>59</v>
      </c>
      <c r="D555" s="9" t="s">
        <v>220</v>
      </c>
      <c r="E555" s="9" t="s">
        <v>12</v>
      </c>
      <c r="F555" s="16"/>
      <c r="G555" s="9" t="s">
        <v>14</v>
      </c>
      <c r="H555" s="7">
        <v>555.0</v>
      </c>
      <c r="I555" s="10" t="s">
        <v>937</v>
      </c>
    </row>
    <row r="556">
      <c r="A556" s="7">
        <v>555.0</v>
      </c>
      <c r="B556" s="18" t="s">
        <v>936</v>
      </c>
      <c r="C556" s="9" t="s">
        <v>61</v>
      </c>
      <c r="D556" s="16"/>
      <c r="E556" s="9" t="s">
        <v>12</v>
      </c>
      <c r="F556" s="16"/>
      <c r="G556" s="9" t="s">
        <v>14</v>
      </c>
      <c r="H556" s="7">
        <v>556.0</v>
      </c>
      <c r="I556" s="10" t="s">
        <v>937</v>
      </c>
    </row>
    <row r="557">
      <c r="A557" s="7">
        <v>556.0</v>
      </c>
      <c r="B557" s="18" t="s">
        <v>936</v>
      </c>
      <c r="C557" s="9" t="s">
        <v>57</v>
      </c>
      <c r="D557" s="16"/>
      <c r="E557" s="9" t="s">
        <v>12</v>
      </c>
      <c r="F557" s="16"/>
      <c r="G557" s="9" t="s">
        <v>14</v>
      </c>
      <c r="H557" s="7">
        <v>557.0</v>
      </c>
      <c r="I557" s="10" t="s">
        <v>937</v>
      </c>
    </row>
    <row r="558">
      <c r="A558" s="7">
        <v>557.0</v>
      </c>
      <c r="B558" s="18" t="s">
        <v>936</v>
      </c>
      <c r="C558" s="9" t="s">
        <v>10</v>
      </c>
      <c r="D558" s="16"/>
      <c r="E558" s="9" t="s">
        <v>12</v>
      </c>
      <c r="F558" s="16"/>
      <c r="G558" s="9" t="s">
        <v>14</v>
      </c>
      <c r="H558" s="7">
        <v>558.0</v>
      </c>
      <c r="I558" s="10" t="s">
        <v>938</v>
      </c>
    </row>
    <row r="559">
      <c r="A559" s="7">
        <v>558.0</v>
      </c>
      <c r="B559" s="18" t="s">
        <v>939</v>
      </c>
      <c r="C559" s="9" t="s">
        <v>10</v>
      </c>
      <c r="D559" s="9" t="s">
        <v>26</v>
      </c>
      <c r="E559" s="9" t="s">
        <v>12</v>
      </c>
      <c r="F559" s="16"/>
      <c r="G559" s="16"/>
      <c r="H559" s="7">
        <v>559.0</v>
      </c>
      <c r="I559" s="10" t="s">
        <v>940</v>
      </c>
    </row>
    <row r="560">
      <c r="A560" s="7">
        <v>559.0</v>
      </c>
      <c r="B560" s="18" t="s">
        <v>941</v>
      </c>
      <c r="C560" s="9" t="s">
        <v>53</v>
      </c>
      <c r="D560" s="9" t="s">
        <v>220</v>
      </c>
      <c r="E560" s="9" t="s">
        <v>12</v>
      </c>
      <c r="F560" s="16"/>
      <c r="G560" s="9" t="s">
        <v>14</v>
      </c>
      <c r="H560" s="7">
        <v>560.0</v>
      </c>
      <c r="I560" s="10" t="s">
        <v>942</v>
      </c>
    </row>
    <row r="561">
      <c r="A561" s="7">
        <v>560.0</v>
      </c>
      <c r="B561" s="18" t="s">
        <v>941</v>
      </c>
      <c r="C561" s="9" t="s">
        <v>57</v>
      </c>
      <c r="D561" s="16"/>
      <c r="E561" s="9" t="s">
        <v>12</v>
      </c>
      <c r="F561" s="16"/>
      <c r="G561" s="9" t="s">
        <v>14</v>
      </c>
      <c r="H561" s="7">
        <v>561.0</v>
      </c>
      <c r="I561" s="10" t="s">
        <v>942</v>
      </c>
    </row>
    <row r="562">
      <c r="A562" s="7">
        <v>561.0</v>
      </c>
      <c r="B562" s="18" t="s">
        <v>941</v>
      </c>
      <c r="C562" s="9" t="s">
        <v>107</v>
      </c>
      <c r="D562" s="16"/>
      <c r="E562" s="9" t="s">
        <v>12</v>
      </c>
      <c r="F562" s="16"/>
      <c r="G562" s="9" t="s">
        <v>14</v>
      </c>
      <c r="H562" s="7">
        <v>562.0</v>
      </c>
      <c r="I562" s="10" t="s">
        <v>942</v>
      </c>
    </row>
    <row r="563">
      <c r="A563" s="7">
        <v>562.0</v>
      </c>
      <c r="B563" s="18" t="s">
        <v>941</v>
      </c>
      <c r="C563" s="9" t="s">
        <v>53</v>
      </c>
      <c r="D563" s="16"/>
      <c r="E563" s="9" t="s">
        <v>12</v>
      </c>
      <c r="F563" s="16"/>
      <c r="G563" s="9" t="s">
        <v>14</v>
      </c>
      <c r="H563" s="7">
        <v>563.0</v>
      </c>
      <c r="I563" s="10" t="s">
        <v>942</v>
      </c>
    </row>
    <row r="564">
      <c r="A564" s="7">
        <v>563.0</v>
      </c>
      <c r="B564" s="18" t="s">
        <v>941</v>
      </c>
      <c r="C564" s="9" t="s">
        <v>49</v>
      </c>
      <c r="D564" s="16"/>
      <c r="E564" s="9" t="s">
        <v>12</v>
      </c>
      <c r="F564" s="16"/>
      <c r="G564" s="9" t="s">
        <v>14</v>
      </c>
      <c r="H564" s="7">
        <v>564.0</v>
      </c>
      <c r="I564" s="10" t="s">
        <v>942</v>
      </c>
    </row>
    <row r="565">
      <c r="A565" s="7">
        <v>564.0</v>
      </c>
      <c r="B565" s="18" t="s">
        <v>941</v>
      </c>
      <c r="C565" s="9" t="s">
        <v>59</v>
      </c>
      <c r="D565" s="16"/>
      <c r="E565" s="9" t="s">
        <v>12</v>
      </c>
      <c r="F565" s="16"/>
      <c r="G565" s="9" t="s">
        <v>14</v>
      </c>
      <c r="H565" s="7">
        <v>565.0</v>
      </c>
      <c r="I565" s="10" t="s">
        <v>942</v>
      </c>
    </row>
    <row r="566">
      <c r="A566" s="7">
        <v>565.0</v>
      </c>
      <c r="B566" s="18" t="s">
        <v>941</v>
      </c>
      <c r="C566" s="9" t="s">
        <v>10</v>
      </c>
      <c r="D566" s="16"/>
      <c r="E566" s="9" t="s">
        <v>12</v>
      </c>
      <c r="F566" s="16"/>
      <c r="G566" s="9" t="s">
        <v>14</v>
      </c>
      <c r="H566" s="7">
        <v>566.0</v>
      </c>
      <c r="I566" s="10" t="s">
        <v>942</v>
      </c>
    </row>
    <row r="567">
      <c r="A567" s="7">
        <v>566.0</v>
      </c>
      <c r="B567" s="18" t="s">
        <v>941</v>
      </c>
      <c r="C567" s="9" t="s">
        <v>61</v>
      </c>
      <c r="D567" s="16"/>
      <c r="E567" s="9" t="s">
        <v>12</v>
      </c>
      <c r="F567" s="16"/>
      <c r="G567" s="9" t="s">
        <v>14</v>
      </c>
      <c r="H567" s="7">
        <v>567.0</v>
      </c>
      <c r="I567" s="10" t="s">
        <v>942</v>
      </c>
    </row>
    <row r="568">
      <c r="A568" s="7">
        <v>567.0</v>
      </c>
      <c r="B568" s="18" t="s">
        <v>943</v>
      </c>
      <c r="C568" s="9" t="s">
        <v>10</v>
      </c>
      <c r="D568" s="16"/>
      <c r="E568" s="9" t="s">
        <v>62</v>
      </c>
      <c r="H568" s="7">
        <v>568.0</v>
      </c>
      <c r="I568" s="10" t="s">
        <v>431</v>
      </c>
    </row>
    <row r="569">
      <c r="A569" s="7">
        <v>568.0</v>
      </c>
      <c r="B569" s="18" t="s">
        <v>944</v>
      </c>
      <c r="C569" s="9" t="s">
        <v>10</v>
      </c>
      <c r="D569" s="9" t="s">
        <v>40</v>
      </c>
      <c r="E569" s="9" t="s">
        <v>62</v>
      </c>
      <c r="F569" s="16"/>
      <c r="G569" s="16"/>
      <c r="H569" s="7">
        <v>569.0</v>
      </c>
      <c r="I569" s="10" t="s">
        <v>945</v>
      </c>
    </row>
    <row r="570">
      <c r="A570" s="7">
        <v>569.0</v>
      </c>
      <c r="B570" s="21" t="s">
        <v>946</v>
      </c>
      <c r="C570" s="9" t="s">
        <v>10</v>
      </c>
      <c r="D570" s="9" t="s">
        <v>40</v>
      </c>
      <c r="E570" s="9" t="s">
        <v>62</v>
      </c>
      <c r="H570" s="7">
        <v>570.0</v>
      </c>
      <c r="I570" s="10" t="s">
        <v>947</v>
      </c>
    </row>
    <row r="571">
      <c r="A571" s="7">
        <v>570.0</v>
      </c>
      <c r="B571" s="18" t="s">
        <v>948</v>
      </c>
      <c r="C571" s="9" t="s">
        <v>10</v>
      </c>
      <c r="D571" s="9" t="s">
        <v>37</v>
      </c>
      <c r="E571" s="9" t="s">
        <v>12</v>
      </c>
      <c r="F571" s="9" t="s">
        <v>50</v>
      </c>
      <c r="G571" s="9" t="s">
        <v>14</v>
      </c>
      <c r="H571" s="7">
        <v>571.0</v>
      </c>
      <c r="I571" s="10" t="s">
        <v>949</v>
      </c>
    </row>
    <row r="572">
      <c r="A572" s="7">
        <v>571.0</v>
      </c>
      <c r="B572" s="18" t="s">
        <v>950</v>
      </c>
      <c r="C572" s="9" t="s">
        <v>10</v>
      </c>
      <c r="D572" s="16"/>
      <c r="E572" s="9" t="s">
        <v>12</v>
      </c>
      <c r="F572" s="16"/>
      <c r="G572" s="9" t="s">
        <v>14</v>
      </c>
      <c r="H572" s="7">
        <v>572.0</v>
      </c>
      <c r="I572" s="10" t="s">
        <v>951</v>
      </c>
    </row>
    <row r="573">
      <c r="A573" s="7">
        <v>572.0</v>
      </c>
      <c r="B573" s="18" t="s">
        <v>952</v>
      </c>
      <c r="C573" s="9" t="s">
        <v>61</v>
      </c>
      <c r="D573" s="16"/>
      <c r="E573" s="9" t="s">
        <v>62</v>
      </c>
      <c r="F573" s="16"/>
      <c r="G573" s="16"/>
      <c r="H573" s="7">
        <v>573.0</v>
      </c>
      <c r="I573" s="10" t="s">
        <v>953</v>
      </c>
    </row>
    <row r="574">
      <c r="A574" s="7">
        <v>573.0</v>
      </c>
      <c r="B574" s="21" t="s">
        <v>954</v>
      </c>
      <c r="C574" s="9" t="s">
        <v>59</v>
      </c>
      <c r="D574" s="9" t="s">
        <v>40</v>
      </c>
      <c r="E574" s="9" t="s">
        <v>62</v>
      </c>
      <c r="F574" s="16"/>
      <c r="G574" s="16"/>
      <c r="H574" s="7">
        <v>574.0</v>
      </c>
      <c r="I574" s="10" t="s">
        <v>955</v>
      </c>
    </row>
    <row r="575">
      <c r="A575" s="7">
        <v>574.0</v>
      </c>
      <c r="B575" s="18" t="s">
        <v>956</v>
      </c>
      <c r="C575" s="9" t="s">
        <v>10</v>
      </c>
      <c r="D575" s="9" t="s">
        <v>196</v>
      </c>
      <c r="E575" s="9" t="s">
        <v>12</v>
      </c>
      <c r="H575" s="7">
        <v>575.0</v>
      </c>
      <c r="I575" s="10" t="s">
        <v>957</v>
      </c>
    </row>
    <row r="576">
      <c r="A576" s="7">
        <v>575.0</v>
      </c>
      <c r="B576" s="18" t="s">
        <v>958</v>
      </c>
      <c r="C576" s="9" t="s">
        <v>10</v>
      </c>
      <c r="D576" s="9" t="s">
        <v>37</v>
      </c>
      <c r="E576" s="9" t="s">
        <v>12</v>
      </c>
      <c r="F576" s="9" t="s">
        <v>50</v>
      </c>
      <c r="G576" s="9" t="s">
        <v>14</v>
      </c>
      <c r="H576" s="7">
        <v>576.0</v>
      </c>
      <c r="I576" s="10" t="s">
        <v>959</v>
      </c>
    </row>
    <row r="577">
      <c r="A577" s="7">
        <v>576.0</v>
      </c>
      <c r="B577" s="18" t="s">
        <v>960</v>
      </c>
      <c r="C577" s="9" t="s">
        <v>59</v>
      </c>
      <c r="D577" s="9" t="s">
        <v>23</v>
      </c>
      <c r="E577" s="9" t="s">
        <v>12</v>
      </c>
      <c r="F577" s="9" t="s">
        <v>50</v>
      </c>
      <c r="G577" s="9" t="s">
        <v>224</v>
      </c>
      <c r="H577" s="7">
        <v>577.0</v>
      </c>
      <c r="I577" s="10" t="s">
        <v>961</v>
      </c>
    </row>
    <row r="578">
      <c r="A578" s="7">
        <v>577.0</v>
      </c>
      <c r="B578" s="18" t="s">
        <v>962</v>
      </c>
      <c r="C578" s="9" t="s">
        <v>59</v>
      </c>
      <c r="D578" s="9" t="s">
        <v>220</v>
      </c>
      <c r="E578" s="9" t="s">
        <v>12</v>
      </c>
      <c r="F578" s="16"/>
      <c r="G578" s="9" t="s">
        <v>14</v>
      </c>
      <c r="H578" s="7">
        <v>578.0</v>
      </c>
      <c r="I578" s="10" t="s">
        <v>963</v>
      </c>
    </row>
    <row r="579">
      <c r="A579" s="7">
        <v>578.0</v>
      </c>
      <c r="B579" s="18" t="s">
        <v>962</v>
      </c>
      <c r="C579" s="9" t="s">
        <v>61</v>
      </c>
      <c r="D579" s="16"/>
      <c r="E579" s="9" t="s">
        <v>12</v>
      </c>
      <c r="H579" s="7">
        <v>579.0</v>
      </c>
      <c r="I579" s="10" t="s">
        <v>963</v>
      </c>
    </row>
    <row r="580">
      <c r="A580" s="7">
        <v>579.0</v>
      </c>
      <c r="B580" s="18" t="s">
        <v>964</v>
      </c>
      <c r="C580" s="9" t="s">
        <v>10</v>
      </c>
      <c r="D580" s="16"/>
      <c r="E580" s="9" t="s">
        <v>12</v>
      </c>
      <c r="H580" s="7">
        <v>580.0</v>
      </c>
    </row>
    <row r="581">
      <c r="A581" s="7">
        <v>580.0</v>
      </c>
      <c r="B581" s="21" t="s">
        <v>965</v>
      </c>
      <c r="C581" s="9" t="s">
        <v>61</v>
      </c>
      <c r="D581" s="16"/>
      <c r="E581" s="9" t="s">
        <v>62</v>
      </c>
      <c r="F581" s="16"/>
      <c r="G581" s="16"/>
      <c r="H581" s="7">
        <v>581.0</v>
      </c>
      <c r="I581" s="10" t="s">
        <v>966</v>
      </c>
    </row>
    <row r="582">
      <c r="A582" s="7">
        <v>581.0</v>
      </c>
      <c r="B582" s="18" t="s">
        <v>967</v>
      </c>
      <c r="C582" s="9" t="s">
        <v>57</v>
      </c>
      <c r="D582" s="16"/>
      <c r="E582" s="9" t="s">
        <v>12</v>
      </c>
      <c r="H582" s="7">
        <v>582.0</v>
      </c>
      <c r="I582" s="10" t="s">
        <v>968</v>
      </c>
    </row>
    <row r="583">
      <c r="A583" s="7">
        <v>582.0</v>
      </c>
      <c r="B583" s="18" t="s">
        <v>969</v>
      </c>
      <c r="C583" s="9" t="s">
        <v>10</v>
      </c>
      <c r="D583" s="9" t="s">
        <v>74</v>
      </c>
      <c r="E583" s="9" t="s">
        <v>12</v>
      </c>
      <c r="F583" s="16"/>
      <c r="G583" s="9" t="s">
        <v>14</v>
      </c>
      <c r="H583" s="7">
        <v>583.0</v>
      </c>
      <c r="I583" s="10" t="s">
        <v>970</v>
      </c>
    </row>
    <row r="584">
      <c r="A584" s="7">
        <v>583.0</v>
      </c>
      <c r="B584" s="18" t="s">
        <v>969</v>
      </c>
      <c r="C584" s="9" t="s">
        <v>61</v>
      </c>
      <c r="D584" s="16"/>
      <c r="E584" s="9" t="s">
        <v>12</v>
      </c>
      <c r="F584" s="16"/>
      <c r="G584" s="9" t="s">
        <v>14</v>
      </c>
      <c r="H584" s="7">
        <v>584.0</v>
      </c>
      <c r="I584" s="10" t="s">
        <v>970</v>
      </c>
    </row>
    <row r="585">
      <c r="A585" s="7">
        <v>584.0</v>
      </c>
      <c r="B585" s="18" t="s">
        <v>971</v>
      </c>
      <c r="C585" s="9" t="s">
        <v>59</v>
      </c>
      <c r="D585" s="9" t="s">
        <v>220</v>
      </c>
      <c r="E585" s="9" t="s">
        <v>12</v>
      </c>
      <c r="F585" s="9" t="s">
        <v>50</v>
      </c>
      <c r="G585" s="9" t="s">
        <v>14</v>
      </c>
      <c r="H585" s="7">
        <v>585.0</v>
      </c>
      <c r="I585" s="10" t="s">
        <v>972</v>
      </c>
    </row>
    <row r="586">
      <c r="A586" s="7">
        <v>585.0</v>
      </c>
      <c r="B586" s="18" t="s">
        <v>973</v>
      </c>
      <c r="C586" s="16"/>
      <c r="D586" s="16"/>
      <c r="E586" s="9" t="s">
        <v>62</v>
      </c>
      <c r="F586" s="16"/>
      <c r="G586" s="9" t="s">
        <v>111</v>
      </c>
      <c r="H586" s="7">
        <v>586.0</v>
      </c>
      <c r="I586" s="10" t="s">
        <v>974</v>
      </c>
    </row>
    <row r="587">
      <c r="A587" s="7">
        <v>586.0</v>
      </c>
      <c r="B587" s="18" t="s">
        <v>973</v>
      </c>
      <c r="C587" s="9" t="s">
        <v>10</v>
      </c>
      <c r="D587" s="16"/>
      <c r="E587" s="9" t="s">
        <v>62</v>
      </c>
      <c r="F587" s="16"/>
      <c r="G587" s="9" t="s">
        <v>111</v>
      </c>
      <c r="H587" s="7">
        <v>587.0</v>
      </c>
      <c r="I587" s="10" t="s">
        <v>974</v>
      </c>
    </row>
    <row r="588">
      <c r="A588" s="7">
        <v>587.0</v>
      </c>
      <c r="B588" s="15" t="s">
        <v>975</v>
      </c>
      <c r="C588" s="9" t="s">
        <v>10</v>
      </c>
      <c r="D588" s="9" t="s">
        <v>44</v>
      </c>
      <c r="E588" s="9" t="s">
        <v>12</v>
      </c>
      <c r="F588" s="16"/>
      <c r="G588" s="9" t="s">
        <v>111</v>
      </c>
      <c r="H588" s="7">
        <v>588.0</v>
      </c>
      <c r="I588" s="10" t="s">
        <v>976</v>
      </c>
    </row>
    <row r="589">
      <c r="A589" s="7">
        <v>588.0</v>
      </c>
      <c r="B589" s="18" t="s">
        <v>977</v>
      </c>
      <c r="C589" s="9" t="s">
        <v>10</v>
      </c>
      <c r="D589" s="9" t="s">
        <v>74</v>
      </c>
      <c r="E589" s="9" t="s">
        <v>12</v>
      </c>
      <c r="F589" s="16"/>
      <c r="G589" s="9" t="s">
        <v>14</v>
      </c>
      <c r="H589" s="7">
        <v>589.0</v>
      </c>
      <c r="I589" s="10" t="s">
        <v>978</v>
      </c>
    </row>
    <row r="590">
      <c r="A590" s="7">
        <v>589.0</v>
      </c>
      <c r="B590" s="15" t="s">
        <v>979</v>
      </c>
      <c r="C590" s="9" t="s">
        <v>10</v>
      </c>
      <c r="D590" s="9" t="s">
        <v>149</v>
      </c>
      <c r="E590" s="9" t="s">
        <v>12</v>
      </c>
      <c r="F590" s="16"/>
      <c r="G590" s="9" t="s">
        <v>14</v>
      </c>
      <c r="H590" s="7">
        <v>590.0</v>
      </c>
      <c r="I590" s="10" t="s">
        <v>980</v>
      </c>
    </row>
    <row r="591">
      <c r="A591" s="7">
        <v>590.0</v>
      </c>
      <c r="B591" s="18" t="s">
        <v>981</v>
      </c>
      <c r="C591" s="9" t="s">
        <v>61</v>
      </c>
      <c r="D591" s="9" t="s">
        <v>220</v>
      </c>
      <c r="E591" s="9" t="s">
        <v>12</v>
      </c>
      <c r="F591" s="16"/>
      <c r="G591" s="9" t="s">
        <v>14</v>
      </c>
      <c r="H591" s="7">
        <v>591.0</v>
      </c>
      <c r="I591" s="10" t="s">
        <v>982</v>
      </c>
    </row>
    <row r="592">
      <c r="A592" s="7">
        <v>591.0</v>
      </c>
      <c r="B592" s="18" t="s">
        <v>983</v>
      </c>
      <c r="C592" s="9" t="s">
        <v>10</v>
      </c>
      <c r="D592" s="16"/>
      <c r="E592" s="9" t="s">
        <v>62</v>
      </c>
      <c r="H592" s="7">
        <v>592.0</v>
      </c>
      <c r="I592" s="10" t="s">
        <v>984</v>
      </c>
    </row>
    <row r="593">
      <c r="A593" s="7">
        <v>592.0</v>
      </c>
      <c r="B593" s="15" t="s">
        <v>985</v>
      </c>
      <c r="C593" s="9" t="s">
        <v>10</v>
      </c>
      <c r="D593" s="9" t="s">
        <v>149</v>
      </c>
      <c r="E593" s="9" t="s">
        <v>12</v>
      </c>
      <c r="F593" s="16"/>
      <c r="G593" s="9" t="s">
        <v>14</v>
      </c>
      <c r="H593" s="7">
        <v>593.0</v>
      </c>
      <c r="I593" s="10" t="s">
        <v>986</v>
      </c>
    </row>
    <row r="594">
      <c r="A594" s="7">
        <v>593.0</v>
      </c>
      <c r="B594" s="18" t="s">
        <v>987</v>
      </c>
      <c r="C594" s="9" t="s">
        <v>759</v>
      </c>
      <c r="D594" s="16"/>
      <c r="E594" s="9" t="s">
        <v>12</v>
      </c>
      <c r="F594" s="16"/>
      <c r="G594" s="9" t="s">
        <v>14</v>
      </c>
      <c r="H594" s="7">
        <v>594.0</v>
      </c>
      <c r="I594" s="10" t="s">
        <v>988</v>
      </c>
    </row>
    <row r="595">
      <c r="A595" s="7">
        <v>594.0</v>
      </c>
      <c r="B595" s="18" t="s">
        <v>989</v>
      </c>
      <c r="C595" s="9" t="s">
        <v>10</v>
      </c>
      <c r="D595" s="9" t="s">
        <v>74</v>
      </c>
      <c r="E595" s="9" t="s">
        <v>12</v>
      </c>
      <c r="F595" s="16"/>
      <c r="G595" s="9" t="s">
        <v>14</v>
      </c>
      <c r="H595" s="7">
        <v>595.0</v>
      </c>
      <c r="I595" s="10" t="s">
        <v>990</v>
      </c>
    </row>
    <row r="596">
      <c r="A596" s="7">
        <v>595.0</v>
      </c>
      <c r="B596" s="21" t="s">
        <v>991</v>
      </c>
      <c r="C596" s="9" t="s">
        <v>10</v>
      </c>
      <c r="D596" s="16"/>
      <c r="E596" s="9" t="s">
        <v>62</v>
      </c>
      <c r="H596" s="7">
        <v>596.0</v>
      </c>
      <c r="I596" s="10" t="s">
        <v>992</v>
      </c>
    </row>
    <row r="597">
      <c r="A597" s="7">
        <v>596.0</v>
      </c>
      <c r="B597" s="18" t="s">
        <v>993</v>
      </c>
      <c r="C597" s="9" t="s">
        <v>10</v>
      </c>
      <c r="D597" s="16"/>
      <c r="E597" s="9" t="s">
        <v>12</v>
      </c>
      <c r="F597" s="16"/>
      <c r="G597" s="9" t="s">
        <v>14</v>
      </c>
      <c r="H597" s="7">
        <v>597.0</v>
      </c>
      <c r="I597" s="10" t="s">
        <v>994</v>
      </c>
    </row>
    <row r="598">
      <c r="A598" s="7">
        <v>597.0</v>
      </c>
      <c r="B598" s="18" t="s">
        <v>995</v>
      </c>
      <c r="C598" s="9" t="s">
        <v>59</v>
      </c>
      <c r="D598" s="9" t="s">
        <v>40</v>
      </c>
      <c r="E598" s="9" t="s">
        <v>62</v>
      </c>
      <c r="F598" s="16"/>
      <c r="G598" s="16"/>
      <c r="H598" s="7">
        <v>598.0</v>
      </c>
      <c r="I598" s="10" t="s">
        <v>996</v>
      </c>
    </row>
    <row r="599">
      <c r="A599" s="7">
        <v>598.0</v>
      </c>
      <c r="B599" s="18" t="s">
        <v>997</v>
      </c>
      <c r="C599" s="9" t="s">
        <v>10</v>
      </c>
      <c r="D599" s="9" t="s">
        <v>196</v>
      </c>
      <c r="E599" s="9" t="s">
        <v>12</v>
      </c>
      <c r="H599" s="7">
        <v>599.0</v>
      </c>
      <c r="I599" s="10" t="s">
        <v>998</v>
      </c>
    </row>
    <row r="600">
      <c r="A600" s="7">
        <v>599.0</v>
      </c>
      <c r="B600" s="18" t="s">
        <v>999</v>
      </c>
      <c r="C600" s="9" t="s">
        <v>59</v>
      </c>
      <c r="D600" s="9" t="s">
        <v>11</v>
      </c>
      <c r="E600" s="9" t="s">
        <v>12</v>
      </c>
      <c r="F600" s="16"/>
      <c r="G600" s="9" t="s">
        <v>111</v>
      </c>
      <c r="H600" s="7">
        <v>600.0</v>
      </c>
      <c r="I600" s="10" t="s">
        <v>1000</v>
      </c>
    </row>
    <row r="601">
      <c r="A601" s="7">
        <v>600.0</v>
      </c>
      <c r="B601" s="18" t="s">
        <v>999</v>
      </c>
      <c r="C601" s="9" t="s">
        <v>10</v>
      </c>
      <c r="D601" s="16"/>
      <c r="E601" s="9" t="s">
        <v>12</v>
      </c>
      <c r="F601" s="16"/>
      <c r="G601" s="9" t="s">
        <v>111</v>
      </c>
      <c r="H601" s="7">
        <v>601.0</v>
      </c>
      <c r="I601" s="10" t="s">
        <v>1000</v>
      </c>
    </row>
    <row r="602">
      <c r="A602" s="7">
        <v>601.0</v>
      </c>
      <c r="B602" s="18" t="s">
        <v>999</v>
      </c>
      <c r="C602" s="9" t="s">
        <v>59</v>
      </c>
      <c r="D602" s="16"/>
      <c r="E602" s="9" t="s">
        <v>12</v>
      </c>
      <c r="F602" s="16"/>
      <c r="G602" s="9" t="s">
        <v>111</v>
      </c>
      <c r="H602" s="7">
        <v>602.0</v>
      </c>
      <c r="I602" s="10" t="s">
        <v>1000</v>
      </c>
    </row>
    <row r="603">
      <c r="A603" s="7">
        <v>602.0</v>
      </c>
      <c r="B603" s="18" t="s">
        <v>1001</v>
      </c>
      <c r="C603" s="9" t="s">
        <v>59</v>
      </c>
      <c r="D603" s="16"/>
      <c r="E603" s="9" t="s">
        <v>12</v>
      </c>
      <c r="F603" s="16"/>
      <c r="G603" s="9" t="s">
        <v>111</v>
      </c>
      <c r="H603" s="7">
        <v>603.0</v>
      </c>
      <c r="I603" s="10" t="s">
        <v>1002</v>
      </c>
    </row>
    <row r="604">
      <c r="A604" s="7">
        <v>603.0</v>
      </c>
      <c r="B604" s="18" t="s">
        <v>1003</v>
      </c>
      <c r="C604" s="9" t="s">
        <v>10</v>
      </c>
      <c r="D604" s="9" t="s">
        <v>74</v>
      </c>
      <c r="E604" s="9" t="s">
        <v>12</v>
      </c>
      <c r="F604" s="16"/>
      <c r="G604" s="9" t="s">
        <v>111</v>
      </c>
      <c r="H604" s="7">
        <v>604.0</v>
      </c>
      <c r="I604" s="10" t="s">
        <v>1004</v>
      </c>
    </row>
    <row r="605">
      <c r="A605" s="7">
        <v>604.0</v>
      </c>
      <c r="B605" s="18" t="s">
        <v>1005</v>
      </c>
      <c r="C605" s="9" t="s">
        <v>59</v>
      </c>
      <c r="D605" s="9" t="s">
        <v>40</v>
      </c>
      <c r="E605" s="9" t="s">
        <v>62</v>
      </c>
      <c r="F605" s="16"/>
      <c r="G605" s="16"/>
      <c r="H605" s="7">
        <v>605.0</v>
      </c>
    </row>
    <row r="606">
      <c r="A606" s="7">
        <v>605.0</v>
      </c>
      <c r="B606" s="21" t="s">
        <v>1006</v>
      </c>
      <c r="C606" s="9" t="s">
        <v>61</v>
      </c>
      <c r="D606" s="16"/>
      <c r="E606" s="9" t="s">
        <v>62</v>
      </c>
      <c r="F606" s="16"/>
      <c r="G606" s="16"/>
      <c r="H606" s="7">
        <v>606.0</v>
      </c>
      <c r="I606" s="10" t="s">
        <v>1007</v>
      </c>
    </row>
    <row r="607">
      <c r="A607" s="7">
        <v>606.0</v>
      </c>
      <c r="B607" s="18" t="s">
        <v>1008</v>
      </c>
      <c r="C607" s="9" t="s">
        <v>759</v>
      </c>
      <c r="D607" s="16"/>
      <c r="E607" s="9" t="s">
        <v>12</v>
      </c>
      <c r="F607" s="16"/>
      <c r="G607" s="9" t="s">
        <v>14</v>
      </c>
      <c r="H607" s="7">
        <v>607.0</v>
      </c>
      <c r="I607" s="10" t="s">
        <v>1009</v>
      </c>
    </row>
    <row r="608">
      <c r="A608" s="7">
        <v>607.0</v>
      </c>
      <c r="B608" s="18" t="s">
        <v>1010</v>
      </c>
      <c r="C608" s="9" t="s">
        <v>10</v>
      </c>
      <c r="D608" s="9" t="s">
        <v>11</v>
      </c>
      <c r="E608" s="9" t="s">
        <v>12</v>
      </c>
      <c r="F608" s="16"/>
      <c r="G608" s="9" t="s">
        <v>14</v>
      </c>
      <c r="H608" s="7">
        <v>608.0</v>
      </c>
      <c r="I608" s="10" t="s">
        <v>1011</v>
      </c>
    </row>
    <row r="609">
      <c r="A609" s="7">
        <v>608.0</v>
      </c>
      <c r="B609" s="18" t="s">
        <v>1012</v>
      </c>
      <c r="C609" s="9" t="s">
        <v>10</v>
      </c>
      <c r="D609" s="9" t="s">
        <v>196</v>
      </c>
      <c r="E609" s="9" t="s">
        <v>12</v>
      </c>
      <c r="H609" s="7">
        <v>609.0</v>
      </c>
      <c r="I609" s="10" t="s">
        <v>1013</v>
      </c>
    </row>
    <row r="610">
      <c r="A610" s="7">
        <v>609.0</v>
      </c>
      <c r="B610" s="15" t="s">
        <v>1014</v>
      </c>
      <c r="C610" s="9" t="s">
        <v>10</v>
      </c>
      <c r="D610" s="9" t="s">
        <v>667</v>
      </c>
      <c r="E610" s="9" t="s">
        <v>12</v>
      </c>
      <c r="F610" s="16"/>
      <c r="G610" s="9" t="s">
        <v>14</v>
      </c>
      <c r="H610" s="7">
        <v>610.0</v>
      </c>
      <c r="I610" s="10" t="s">
        <v>1015</v>
      </c>
    </row>
    <row r="611">
      <c r="A611" s="7">
        <v>610.0</v>
      </c>
      <c r="B611" s="18" t="s">
        <v>1016</v>
      </c>
      <c r="C611" s="9" t="s">
        <v>10</v>
      </c>
      <c r="D611" s="9" t="s">
        <v>37</v>
      </c>
      <c r="E611" s="9" t="s">
        <v>12</v>
      </c>
      <c r="F611" s="9" t="s">
        <v>50</v>
      </c>
      <c r="G611" s="9" t="s">
        <v>14</v>
      </c>
      <c r="H611" s="7">
        <v>611.0</v>
      </c>
      <c r="I611" s="10" t="s">
        <v>1017</v>
      </c>
    </row>
    <row r="612">
      <c r="A612" s="7">
        <v>611.0</v>
      </c>
      <c r="B612" s="18" t="s">
        <v>1018</v>
      </c>
      <c r="C612" s="9" t="s">
        <v>10</v>
      </c>
      <c r="D612" s="9" t="s">
        <v>149</v>
      </c>
      <c r="E612" s="9" t="s">
        <v>12</v>
      </c>
      <c r="F612" s="16"/>
      <c r="G612" s="9" t="s">
        <v>14</v>
      </c>
      <c r="H612" s="7">
        <v>612.0</v>
      </c>
      <c r="I612" s="10" t="s">
        <v>1019</v>
      </c>
    </row>
    <row r="613">
      <c r="A613" s="7">
        <v>612.0</v>
      </c>
      <c r="B613" s="18" t="s">
        <v>1020</v>
      </c>
      <c r="C613" s="9" t="s">
        <v>10</v>
      </c>
      <c r="D613" s="9" t="s">
        <v>23</v>
      </c>
      <c r="E613" s="9" t="s">
        <v>62</v>
      </c>
      <c r="F613" s="16"/>
      <c r="G613" s="16"/>
      <c r="H613" s="7">
        <v>613.0</v>
      </c>
      <c r="I613" s="10" t="s">
        <v>629</v>
      </c>
    </row>
    <row r="614">
      <c r="A614" s="7">
        <v>613.0</v>
      </c>
      <c r="B614" s="18" t="s">
        <v>1021</v>
      </c>
      <c r="C614" s="9" t="s">
        <v>10</v>
      </c>
      <c r="D614" s="9" t="s">
        <v>196</v>
      </c>
      <c r="E614" s="9" t="s">
        <v>12</v>
      </c>
      <c r="H614" s="7">
        <v>614.0</v>
      </c>
      <c r="I614" s="10" t="s">
        <v>1022</v>
      </c>
    </row>
    <row r="615">
      <c r="A615" s="7">
        <v>614.0</v>
      </c>
      <c r="B615" s="18" t="s">
        <v>18</v>
      </c>
      <c r="C615" s="9" t="s">
        <v>10</v>
      </c>
      <c r="D615" s="9" t="s">
        <v>11</v>
      </c>
      <c r="E615" s="9" t="s">
        <v>12</v>
      </c>
      <c r="F615" s="9" t="s">
        <v>18</v>
      </c>
      <c r="G615" s="9" t="s">
        <v>14</v>
      </c>
      <c r="H615" s="7">
        <v>615.0</v>
      </c>
      <c r="I615" s="10" t="s">
        <v>1023</v>
      </c>
    </row>
    <row r="616">
      <c r="A616" s="7">
        <v>615.0</v>
      </c>
      <c r="B616" s="18" t="s">
        <v>1024</v>
      </c>
      <c r="C616" s="9" t="s">
        <v>10</v>
      </c>
      <c r="D616" s="9" t="s">
        <v>16</v>
      </c>
      <c r="E616" s="9" t="s">
        <v>12</v>
      </c>
      <c r="F616" s="16"/>
      <c r="G616" s="9" t="s">
        <v>14</v>
      </c>
      <c r="H616" s="7">
        <v>616.0</v>
      </c>
      <c r="I616" s="10" t="s">
        <v>1025</v>
      </c>
    </row>
    <row r="617">
      <c r="A617" s="7">
        <v>616.0</v>
      </c>
      <c r="B617" s="18" t="s">
        <v>1026</v>
      </c>
      <c r="C617" s="9" t="s">
        <v>10</v>
      </c>
      <c r="D617" s="16"/>
      <c r="E617" s="9" t="s">
        <v>12</v>
      </c>
      <c r="F617" s="16"/>
      <c r="G617" s="9" t="s">
        <v>14</v>
      </c>
      <c r="H617" s="7">
        <v>617.0</v>
      </c>
      <c r="I617" s="10" t="s">
        <v>785</v>
      </c>
    </row>
    <row r="618">
      <c r="A618" s="7">
        <v>617.0</v>
      </c>
      <c r="B618" s="15" t="s">
        <v>1027</v>
      </c>
      <c r="C618" s="9" t="s">
        <v>10</v>
      </c>
      <c r="D618" s="9" t="s">
        <v>132</v>
      </c>
      <c r="E618" s="9" t="s">
        <v>12</v>
      </c>
      <c r="F618" s="16"/>
      <c r="G618" s="9" t="s">
        <v>14</v>
      </c>
      <c r="H618" s="7">
        <v>618.0</v>
      </c>
      <c r="I618" s="10" t="s">
        <v>1028</v>
      </c>
    </row>
    <row r="619">
      <c r="A619" s="7">
        <v>618.0</v>
      </c>
      <c r="B619" s="18" t="s">
        <v>1029</v>
      </c>
      <c r="C619" s="9" t="s">
        <v>10</v>
      </c>
      <c r="D619" s="16"/>
      <c r="E619" s="9" t="s">
        <v>62</v>
      </c>
      <c r="H619" s="7">
        <v>619.0</v>
      </c>
      <c r="I619" s="10" t="s">
        <v>1030</v>
      </c>
    </row>
    <row r="620">
      <c r="A620" s="7">
        <v>619.0</v>
      </c>
      <c r="B620" s="39" t="s">
        <v>1031</v>
      </c>
      <c r="C620" s="40" t="s">
        <v>10</v>
      </c>
      <c r="D620" s="41"/>
      <c r="E620" s="40" t="s">
        <v>62</v>
      </c>
      <c r="F620" s="41"/>
      <c r="G620" s="41"/>
      <c r="H620" s="7">
        <v>620.0</v>
      </c>
      <c r="I620" s="42" t="s">
        <v>1032</v>
      </c>
      <c r="J620" s="41"/>
      <c r="K620" s="41"/>
      <c r="L620" s="41"/>
      <c r="M620" s="41"/>
    </row>
    <row r="621">
      <c r="A621" s="7">
        <v>620.0</v>
      </c>
      <c r="B621" s="18" t="s">
        <v>1033</v>
      </c>
      <c r="C621" s="9" t="s">
        <v>59</v>
      </c>
      <c r="D621" s="16"/>
      <c r="E621" s="9" t="s">
        <v>62</v>
      </c>
      <c r="F621" s="16"/>
      <c r="G621" s="16"/>
      <c r="H621" s="7">
        <v>621.0</v>
      </c>
      <c r="I621" s="10" t="s">
        <v>1034</v>
      </c>
    </row>
    <row r="622">
      <c r="A622" s="7">
        <v>621.0</v>
      </c>
      <c r="B622" s="18" t="s">
        <v>1035</v>
      </c>
      <c r="C622" s="9" t="s">
        <v>10</v>
      </c>
      <c r="D622" s="16"/>
      <c r="E622" s="9" t="s">
        <v>62</v>
      </c>
      <c r="H622" s="7">
        <v>622.0</v>
      </c>
      <c r="I622" s="10" t="s">
        <v>1036</v>
      </c>
    </row>
    <row r="623">
      <c r="A623" s="7">
        <v>622.0</v>
      </c>
      <c r="B623" s="18" t="s">
        <v>1037</v>
      </c>
      <c r="C623" s="9" t="s">
        <v>759</v>
      </c>
      <c r="D623" s="16"/>
      <c r="E623" s="9" t="s">
        <v>12</v>
      </c>
      <c r="F623" s="16"/>
      <c r="G623" s="9" t="s">
        <v>14</v>
      </c>
      <c r="H623" s="7">
        <v>623.0</v>
      </c>
      <c r="I623" s="10" t="s">
        <v>1038</v>
      </c>
    </row>
    <row r="624">
      <c r="A624" s="7">
        <v>623.0</v>
      </c>
      <c r="B624" s="18" t="s">
        <v>1037</v>
      </c>
      <c r="C624" s="9" t="s">
        <v>59</v>
      </c>
      <c r="D624" s="16"/>
      <c r="E624" s="9" t="s">
        <v>12</v>
      </c>
      <c r="F624" s="16"/>
      <c r="G624" s="9" t="s">
        <v>14</v>
      </c>
      <c r="H624" s="7">
        <v>624.0</v>
      </c>
      <c r="I624" s="10" t="s">
        <v>1038</v>
      </c>
    </row>
    <row r="625">
      <c r="A625" s="7">
        <v>624.0</v>
      </c>
      <c r="B625" s="18" t="s">
        <v>1039</v>
      </c>
      <c r="C625" s="9" t="s">
        <v>759</v>
      </c>
      <c r="D625" s="16"/>
      <c r="E625" s="9" t="s">
        <v>12</v>
      </c>
      <c r="F625" s="16"/>
      <c r="G625" s="9" t="s">
        <v>14</v>
      </c>
      <c r="H625" s="7">
        <v>625.0</v>
      </c>
      <c r="I625" s="10" t="s">
        <v>1040</v>
      </c>
    </row>
    <row r="626">
      <c r="A626" s="7">
        <v>625.0</v>
      </c>
      <c r="B626" s="18" t="s">
        <v>1041</v>
      </c>
      <c r="C626" s="9" t="s">
        <v>10</v>
      </c>
      <c r="D626" s="16"/>
      <c r="E626" s="9" t="s">
        <v>12</v>
      </c>
      <c r="F626" s="16"/>
      <c r="G626" s="9" t="s">
        <v>14</v>
      </c>
      <c r="H626" s="7">
        <v>626.0</v>
      </c>
      <c r="I626" s="10" t="s">
        <v>1042</v>
      </c>
    </row>
    <row r="627">
      <c r="A627" s="7">
        <v>626.0</v>
      </c>
      <c r="B627" s="21" t="s">
        <v>1043</v>
      </c>
      <c r="C627" s="9" t="s">
        <v>10</v>
      </c>
      <c r="D627" s="16"/>
      <c r="E627" s="9" t="s">
        <v>62</v>
      </c>
      <c r="F627" s="16"/>
      <c r="G627" s="16"/>
      <c r="H627" s="7">
        <v>627.0</v>
      </c>
      <c r="I627" s="10" t="s">
        <v>1044</v>
      </c>
    </row>
    <row r="628">
      <c r="A628" s="7">
        <v>627.0</v>
      </c>
      <c r="B628" s="18" t="s">
        <v>1045</v>
      </c>
      <c r="C628" s="9" t="s">
        <v>10</v>
      </c>
      <c r="D628" s="16"/>
      <c r="E628" s="9" t="s">
        <v>62</v>
      </c>
      <c r="H628" s="7">
        <v>628.0</v>
      </c>
      <c r="I628" s="10" t="s">
        <v>1046</v>
      </c>
    </row>
    <row r="629">
      <c r="A629" s="7">
        <v>628.0</v>
      </c>
      <c r="B629" s="21" t="s">
        <v>1047</v>
      </c>
      <c r="C629" s="9" t="s">
        <v>10</v>
      </c>
      <c r="D629" s="16"/>
      <c r="E629" s="9" t="s">
        <v>62</v>
      </c>
      <c r="F629" s="16"/>
      <c r="G629" s="16"/>
      <c r="H629" s="7">
        <v>629.0</v>
      </c>
      <c r="I629" s="10" t="s">
        <v>1044</v>
      </c>
    </row>
    <row r="630">
      <c r="A630" s="7">
        <v>629.0</v>
      </c>
      <c r="B630" s="18" t="s">
        <v>1048</v>
      </c>
      <c r="C630" s="9" t="s">
        <v>59</v>
      </c>
      <c r="D630" s="9" t="s">
        <v>220</v>
      </c>
      <c r="E630" s="9" t="s">
        <v>12</v>
      </c>
      <c r="F630" s="16"/>
      <c r="G630" s="9" t="s">
        <v>14</v>
      </c>
      <c r="H630" s="7">
        <v>630.0</v>
      </c>
      <c r="I630" s="10" t="s">
        <v>1049</v>
      </c>
    </row>
    <row r="631">
      <c r="A631" s="7">
        <v>630.0</v>
      </c>
      <c r="B631" s="18" t="s">
        <v>1048</v>
      </c>
      <c r="C631" s="9" t="s">
        <v>61</v>
      </c>
      <c r="D631" s="16"/>
      <c r="E631" s="9" t="s">
        <v>12</v>
      </c>
      <c r="F631" s="16"/>
      <c r="G631" s="9" t="s">
        <v>14</v>
      </c>
      <c r="H631" s="7">
        <v>631.0</v>
      </c>
      <c r="I631" s="10" t="s">
        <v>1049</v>
      </c>
    </row>
    <row r="632">
      <c r="A632" s="7">
        <v>631.0</v>
      </c>
      <c r="B632" s="18" t="s">
        <v>1050</v>
      </c>
      <c r="C632" s="9" t="s">
        <v>10</v>
      </c>
      <c r="D632" s="9" t="s">
        <v>26</v>
      </c>
      <c r="E632" s="9" t="s">
        <v>12</v>
      </c>
      <c r="F632" s="16"/>
      <c r="G632" s="16"/>
      <c r="H632" s="7">
        <v>632.0</v>
      </c>
      <c r="I632" s="10" t="s">
        <v>1051</v>
      </c>
    </row>
    <row r="633">
      <c r="A633" s="7">
        <v>632.0</v>
      </c>
      <c r="B633" s="18" t="s">
        <v>1052</v>
      </c>
      <c r="C633" s="9" t="s">
        <v>10</v>
      </c>
      <c r="D633" s="16"/>
      <c r="E633" s="9" t="s">
        <v>12</v>
      </c>
      <c r="F633" s="16"/>
      <c r="G633" s="9" t="s">
        <v>14</v>
      </c>
      <c r="H633" s="7">
        <v>633.0</v>
      </c>
      <c r="I633" s="10" t="s">
        <v>1053</v>
      </c>
    </row>
    <row r="634">
      <c r="A634" s="7">
        <v>633.0</v>
      </c>
      <c r="B634" s="18" t="s">
        <v>1054</v>
      </c>
      <c r="C634" s="9" t="s">
        <v>61</v>
      </c>
      <c r="D634" s="16"/>
      <c r="E634" s="9" t="s">
        <v>62</v>
      </c>
      <c r="H634" s="7">
        <v>634.0</v>
      </c>
    </row>
    <row r="635">
      <c r="A635" s="7">
        <v>634.0</v>
      </c>
      <c r="B635" s="15" t="s">
        <v>1055</v>
      </c>
      <c r="C635" s="9" t="s">
        <v>10</v>
      </c>
      <c r="D635" s="9" t="s">
        <v>132</v>
      </c>
      <c r="E635" s="9" t="s">
        <v>12</v>
      </c>
      <c r="F635" s="16"/>
      <c r="G635" s="9" t="s">
        <v>14</v>
      </c>
      <c r="H635" s="7">
        <v>635.0</v>
      </c>
      <c r="I635" s="10" t="s">
        <v>1056</v>
      </c>
    </row>
    <row r="636">
      <c r="A636" s="7">
        <v>635.0</v>
      </c>
      <c r="B636" s="18" t="s">
        <v>1057</v>
      </c>
      <c r="C636" s="9" t="s">
        <v>61</v>
      </c>
      <c r="D636" s="16"/>
      <c r="E636" s="9" t="s">
        <v>12</v>
      </c>
      <c r="H636" s="7">
        <v>636.0</v>
      </c>
      <c r="I636" s="10" t="s">
        <v>1058</v>
      </c>
    </row>
    <row r="637">
      <c r="A637" s="7">
        <v>636.0</v>
      </c>
      <c r="B637" s="18" t="s">
        <v>1059</v>
      </c>
      <c r="C637" s="9" t="s">
        <v>10</v>
      </c>
      <c r="D637" s="9" t="s">
        <v>16</v>
      </c>
      <c r="E637" s="9" t="s">
        <v>12</v>
      </c>
      <c r="F637" s="16"/>
      <c r="G637" s="9" t="s">
        <v>224</v>
      </c>
      <c r="H637" s="7">
        <v>637.0</v>
      </c>
      <c r="I637" s="10" t="s">
        <v>1060</v>
      </c>
    </row>
    <row r="638">
      <c r="A638" s="7">
        <v>637.0</v>
      </c>
      <c r="B638" s="18" t="s">
        <v>1061</v>
      </c>
      <c r="C638" s="9" t="s">
        <v>59</v>
      </c>
      <c r="D638" s="9" t="s">
        <v>23</v>
      </c>
      <c r="E638" s="9" t="s">
        <v>12</v>
      </c>
      <c r="F638" s="9" t="s">
        <v>50</v>
      </c>
      <c r="G638" s="9" t="s">
        <v>14</v>
      </c>
      <c r="H638" s="7">
        <v>638.0</v>
      </c>
      <c r="I638" s="10" t="s">
        <v>1062</v>
      </c>
    </row>
    <row r="639">
      <c r="A639" s="7">
        <v>638.0</v>
      </c>
      <c r="B639" s="18" t="s">
        <v>1063</v>
      </c>
      <c r="C639" s="9" t="s">
        <v>10</v>
      </c>
      <c r="D639" s="16"/>
      <c r="E639" s="9" t="s">
        <v>12</v>
      </c>
      <c r="F639" s="16"/>
      <c r="G639" s="9" t="s">
        <v>14</v>
      </c>
      <c r="H639" s="7">
        <v>639.0</v>
      </c>
      <c r="I639" s="10" t="s">
        <v>1064</v>
      </c>
    </row>
    <row r="640">
      <c r="A640" s="7">
        <v>639.0</v>
      </c>
      <c r="B640" s="18" t="s">
        <v>1065</v>
      </c>
      <c r="C640" s="9" t="s">
        <v>53</v>
      </c>
      <c r="D640" s="9" t="s">
        <v>55</v>
      </c>
      <c r="E640" s="9" t="s">
        <v>12</v>
      </c>
      <c r="F640" s="16"/>
      <c r="G640" s="9" t="s">
        <v>14</v>
      </c>
      <c r="H640" s="7">
        <v>640.0</v>
      </c>
      <c r="I640" s="10" t="s">
        <v>1066</v>
      </c>
    </row>
    <row r="641">
      <c r="A641" s="7">
        <v>640.0</v>
      </c>
      <c r="B641" s="18" t="s">
        <v>1065</v>
      </c>
      <c r="C641" s="9" t="s">
        <v>59</v>
      </c>
      <c r="D641" s="16"/>
      <c r="E641" s="9" t="s">
        <v>12</v>
      </c>
      <c r="F641" s="16"/>
      <c r="G641" s="9" t="s">
        <v>14</v>
      </c>
      <c r="H641" s="7">
        <v>641.0</v>
      </c>
      <c r="I641" s="10" t="s">
        <v>1067</v>
      </c>
      <c r="J641" s="9" t="s">
        <v>194</v>
      </c>
    </row>
    <row r="642">
      <c r="A642" s="7">
        <v>641.0</v>
      </c>
      <c r="B642" s="18" t="s">
        <v>1065</v>
      </c>
      <c r="C642" s="9" t="s">
        <v>57</v>
      </c>
      <c r="D642" s="16"/>
      <c r="E642" s="9" t="s">
        <v>12</v>
      </c>
      <c r="F642" s="16"/>
      <c r="G642" s="9" t="s">
        <v>14</v>
      </c>
      <c r="H642" s="7">
        <v>642.0</v>
      </c>
      <c r="I642" s="10" t="s">
        <v>1067</v>
      </c>
      <c r="J642" s="9" t="s">
        <v>194</v>
      </c>
    </row>
    <row r="643">
      <c r="A643" s="7">
        <v>642.0</v>
      </c>
      <c r="B643" s="18" t="s">
        <v>1065</v>
      </c>
      <c r="C643" s="9" t="s">
        <v>10</v>
      </c>
      <c r="D643" s="16"/>
      <c r="E643" s="9" t="s">
        <v>12</v>
      </c>
      <c r="F643" s="16"/>
      <c r="G643" s="9" t="s">
        <v>14</v>
      </c>
      <c r="H643" s="7">
        <v>643.0</v>
      </c>
      <c r="I643" s="10" t="s">
        <v>1067</v>
      </c>
      <c r="J643" s="9" t="s">
        <v>194</v>
      </c>
    </row>
    <row r="644">
      <c r="A644" s="7">
        <v>643.0</v>
      </c>
      <c r="B644" s="18" t="s">
        <v>1068</v>
      </c>
      <c r="C644" s="16"/>
      <c r="D644" s="9" t="s">
        <v>11</v>
      </c>
      <c r="E644" s="9" t="s">
        <v>12</v>
      </c>
      <c r="F644" s="16"/>
      <c r="G644" s="9" t="s">
        <v>14</v>
      </c>
      <c r="H644" s="7">
        <v>644.0</v>
      </c>
      <c r="I644" s="10" t="s">
        <v>912</v>
      </c>
    </row>
    <row r="645">
      <c r="A645" s="7">
        <v>644.0</v>
      </c>
      <c r="B645" s="18" t="s">
        <v>1068</v>
      </c>
      <c r="C645" s="9" t="s">
        <v>10</v>
      </c>
      <c r="D645" s="9" t="s">
        <v>667</v>
      </c>
      <c r="E645" s="9" t="s">
        <v>12</v>
      </c>
      <c r="F645" s="16"/>
      <c r="G645" s="9" t="s">
        <v>14</v>
      </c>
      <c r="H645" s="7">
        <v>645.0</v>
      </c>
      <c r="I645" s="10" t="s">
        <v>912</v>
      </c>
    </row>
    <row r="646">
      <c r="A646" s="7">
        <v>645.0</v>
      </c>
      <c r="B646" s="18" t="s">
        <v>1069</v>
      </c>
      <c r="C646" s="16"/>
      <c r="D646" s="9" t="s">
        <v>11</v>
      </c>
      <c r="E646" s="9" t="s">
        <v>12</v>
      </c>
      <c r="F646" s="16"/>
      <c r="G646" s="9" t="s">
        <v>14</v>
      </c>
      <c r="H646" s="7">
        <v>646.0</v>
      </c>
      <c r="I646" s="10" t="s">
        <v>1070</v>
      </c>
    </row>
    <row r="647">
      <c r="A647" s="7">
        <v>646.0</v>
      </c>
      <c r="B647" s="18" t="s">
        <v>1069</v>
      </c>
      <c r="C647" s="9" t="s">
        <v>10</v>
      </c>
      <c r="D647" s="9" t="s">
        <v>667</v>
      </c>
      <c r="E647" s="9" t="s">
        <v>12</v>
      </c>
      <c r="F647" s="16"/>
      <c r="G647" s="9" t="s">
        <v>14</v>
      </c>
      <c r="H647" s="7">
        <v>647.0</v>
      </c>
      <c r="I647" s="10" t="s">
        <v>1070</v>
      </c>
    </row>
    <row r="648">
      <c r="A648" s="7">
        <v>647.0</v>
      </c>
      <c r="B648" s="18" t="s">
        <v>1071</v>
      </c>
      <c r="C648" s="16"/>
      <c r="D648" s="9" t="s">
        <v>11</v>
      </c>
      <c r="E648" s="9" t="s">
        <v>12</v>
      </c>
      <c r="F648" s="16"/>
      <c r="G648" s="9" t="s">
        <v>14</v>
      </c>
      <c r="H648" s="7">
        <v>648.0</v>
      </c>
      <c r="I648" s="10" t="s">
        <v>1072</v>
      </c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>
      <c r="A649" s="7">
        <v>648.0</v>
      </c>
      <c r="B649" s="18" t="s">
        <v>1071</v>
      </c>
      <c r="C649" s="9" t="s">
        <v>10</v>
      </c>
      <c r="D649" s="9" t="s">
        <v>667</v>
      </c>
      <c r="E649" s="9" t="s">
        <v>12</v>
      </c>
      <c r="F649" s="16"/>
      <c r="G649" s="9" t="s">
        <v>14</v>
      </c>
      <c r="H649" s="7">
        <v>649.0</v>
      </c>
      <c r="I649" s="10" t="s">
        <v>1072</v>
      </c>
    </row>
    <row r="650">
      <c r="A650" s="7">
        <v>649.0</v>
      </c>
      <c r="B650" s="18" t="s">
        <v>1073</v>
      </c>
      <c r="C650" s="9" t="s">
        <v>59</v>
      </c>
      <c r="D650" s="9" t="s">
        <v>220</v>
      </c>
      <c r="E650" s="9" t="s">
        <v>12</v>
      </c>
      <c r="F650" s="9" t="s">
        <v>50</v>
      </c>
      <c r="G650" s="9" t="s">
        <v>14</v>
      </c>
      <c r="H650" s="7">
        <v>650.0</v>
      </c>
      <c r="I650" s="43" t="s">
        <v>1074</v>
      </c>
      <c r="J650" s="19"/>
      <c r="K650" s="19"/>
      <c r="L650" s="19"/>
      <c r="M650" s="19"/>
    </row>
    <row r="651">
      <c r="A651" s="7">
        <v>650.0</v>
      </c>
      <c r="B651" s="18" t="s">
        <v>1075</v>
      </c>
      <c r="C651" s="9" t="s">
        <v>10</v>
      </c>
      <c r="D651" s="9" t="s">
        <v>16</v>
      </c>
      <c r="E651" s="9" t="s">
        <v>12</v>
      </c>
      <c r="F651" s="16"/>
      <c r="G651" s="9" t="s">
        <v>224</v>
      </c>
      <c r="H651" s="7">
        <v>651.0</v>
      </c>
      <c r="I651" s="10" t="s">
        <v>1076</v>
      </c>
    </row>
    <row r="652">
      <c r="A652" s="7">
        <v>651.0</v>
      </c>
      <c r="B652" s="18" t="s">
        <v>47</v>
      </c>
      <c r="C652" s="9" t="s">
        <v>10</v>
      </c>
      <c r="D652" s="9" t="s">
        <v>11</v>
      </c>
      <c r="E652" s="9" t="s">
        <v>12</v>
      </c>
      <c r="F652" s="9" t="s">
        <v>47</v>
      </c>
      <c r="G652" s="9" t="s">
        <v>14</v>
      </c>
      <c r="H652" s="7">
        <v>652.0</v>
      </c>
      <c r="I652" s="10" t="s">
        <v>1077</v>
      </c>
    </row>
    <row r="653">
      <c r="A653" s="7">
        <v>652.0</v>
      </c>
      <c r="B653" s="18" t="s">
        <v>1078</v>
      </c>
      <c r="C653" s="9" t="s">
        <v>59</v>
      </c>
      <c r="D653" s="9" t="s">
        <v>220</v>
      </c>
      <c r="E653" s="9" t="s">
        <v>12</v>
      </c>
      <c r="F653" s="9" t="s">
        <v>50</v>
      </c>
      <c r="G653" s="9" t="s">
        <v>14</v>
      </c>
      <c r="H653" s="7">
        <v>653.0</v>
      </c>
      <c r="I653" s="10" t="s">
        <v>1079</v>
      </c>
    </row>
    <row r="654">
      <c r="A654" s="7">
        <v>653.0</v>
      </c>
      <c r="B654" s="18" t="s">
        <v>1080</v>
      </c>
      <c r="C654" s="9" t="s">
        <v>10</v>
      </c>
      <c r="D654" s="9" t="s">
        <v>26</v>
      </c>
      <c r="E654" s="9" t="s">
        <v>12</v>
      </c>
      <c r="H654" s="7">
        <v>654.0</v>
      </c>
      <c r="I654" s="10" t="s">
        <v>1081</v>
      </c>
    </row>
    <row r="655">
      <c r="A655" s="7">
        <v>654.0</v>
      </c>
      <c r="B655" s="15" t="s">
        <v>1082</v>
      </c>
      <c r="C655" s="9" t="s">
        <v>10</v>
      </c>
      <c r="D655" s="9" t="s">
        <v>132</v>
      </c>
      <c r="E655" s="9" t="s">
        <v>12</v>
      </c>
      <c r="F655" s="16"/>
      <c r="G655" s="9" t="s">
        <v>14</v>
      </c>
      <c r="H655" s="7">
        <v>655.0</v>
      </c>
      <c r="I655" s="10" t="s">
        <v>1083</v>
      </c>
    </row>
    <row r="656">
      <c r="A656" s="7">
        <v>655.0</v>
      </c>
      <c r="B656" s="18" t="s">
        <v>1084</v>
      </c>
      <c r="C656" s="9" t="s">
        <v>10</v>
      </c>
      <c r="D656" s="16"/>
      <c r="E656" s="9" t="s">
        <v>12</v>
      </c>
      <c r="F656" s="16"/>
      <c r="G656" s="9" t="s">
        <v>14</v>
      </c>
      <c r="H656" s="7">
        <v>656.0</v>
      </c>
      <c r="I656" s="10" t="s">
        <v>1085</v>
      </c>
    </row>
    <row r="657">
      <c r="A657" s="7">
        <v>656.0</v>
      </c>
      <c r="B657" s="21" t="s">
        <v>1086</v>
      </c>
      <c r="C657" s="9" t="s">
        <v>10</v>
      </c>
      <c r="D657" s="16"/>
      <c r="E657" s="9" t="s">
        <v>62</v>
      </c>
      <c r="H657" s="7">
        <v>657.0</v>
      </c>
    </row>
    <row r="658">
      <c r="A658" s="7">
        <v>657.0</v>
      </c>
      <c r="B658" s="18" t="s">
        <v>1087</v>
      </c>
      <c r="C658" s="9" t="s">
        <v>10</v>
      </c>
      <c r="D658" s="16"/>
      <c r="E658" s="9" t="s">
        <v>62</v>
      </c>
      <c r="H658" s="7">
        <v>658.0</v>
      </c>
      <c r="I658" s="10" t="s">
        <v>1088</v>
      </c>
    </row>
    <row r="659">
      <c r="A659" s="7">
        <v>658.0</v>
      </c>
      <c r="B659" s="15" t="s">
        <v>1089</v>
      </c>
      <c r="C659" s="9" t="s">
        <v>10</v>
      </c>
      <c r="D659" s="9" t="s">
        <v>149</v>
      </c>
      <c r="E659" s="9" t="s">
        <v>12</v>
      </c>
      <c r="F659" s="16"/>
      <c r="G659" s="9" t="s">
        <v>111</v>
      </c>
      <c r="H659" s="7">
        <v>659.0</v>
      </c>
      <c r="I659" s="10" t="s">
        <v>1090</v>
      </c>
    </row>
    <row r="660">
      <c r="A660" s="7">
        <v>659.0</v>
      </c>
      <c r="B660" s="18" t="s">
        <v>1091</v>
      </c>
      <c r="C660" s="9" t="s">
        <v>10</v>
      </c>
      <c r="D660" s="9" t="s">
        <v>74</v>
      </c>
      <c r="E660" s="9" t="s">
        <v>12</v>
      </c>
      <c r="F660" s="16"/>
      <c r="G660" s="9" t="s">
        <v>14</v>
      </c>
      <c r="H660" s="7">
        <v>660.0</v>
      </c>
      <c r="I660" s="10" t="s">
        <v>1092</v>
      </c>
    </row>
    <row r="661">
      <c r="A661" s="7">
        <v>660.0</v>
      </c>
      <c r="B661" s="18" t="s">
        <v>1093</v>
      </c>
      <c r="C661" s="9" t="s">
        <v>10</v>
      </c>
      <c r="D661" s="16"/>
      <c r="E661" s="9" t="s">
        <v>62</v>
      </c>
      <c r="F661" s="16"/>
      <c r="G661" s="16"/>
      <c r="H661" s="7">
        <v>661.0</v>
      </c>
      <c r="I661" s="10" t="s">
        <v>1094</v>
      </c>
    </row>
    <row r="662">
      <c r="A662" s="7">
        <v>661.0</v>
      </c>
      <c r="B662" s="15" t="s">
        <v>1095</v>
      </c>
      <c r="C662" s="9" t="s">
        <v>10</v>
      </c>
      <c r="D662" s="9" t="s">
        <v>149</v>
      </c>
      <c r="E662" s="9" t="s">
        <v>12</v>
      </c>
      <c r="F662" s="16"/>
      <c r="G662" s="9" t="s">
        <v>111</v>
      </c>
      <c r="H662" s="7">
        <v>662.0</v>
      </c>
      <c r="I662" s="10" t="s">
        <v>1096</v>
      </c>
    </row>
    <row r="663">
      <c r="A663" s="7">
        <v>662.0</v>
      </c>
      <c r="B663" s="18" t="s">
        <v>1097</v>
      </c>
      <c r="C663" s="9" t="s">
        <v>59</v>
      </c>
      <c r="D663" s="16"/>
      <c r="E663" s="9" t="s">
        <v>12</v>
      </c>
      <c r="F663" s="16"/>
      <c r="G663" s="9" t="s">
        <v>14</v>
      </c>
      <c r="H663" s="7">
        <v>663.0</v>
      </c>
      <c r="I663" s="10" t="s">
        <v>1098</v>
      </c>
    </row>
    <row r="664">
      <c r="A664" s="7">
        <v>663.0</v>
      </c>
      <c r="B664" s="21" t="s">
        <v>1099</v>
      </c>
      <c r="C664" s="9" t="s">
        <v>10</v>
      </c>
      <c r="D664" s="16"/>
      <c r="E664" s="9" t="s">
        <v>62</v>
      </c>
      <c r="H664" s="7">
        <v>664.0</v>
      </c>
      <c r="I664" s="10" t="s">
        <v>1100</v>
      </c>
    </row>
    <row r="665">
      <c r="A665" s="7">
        <v>664.0</v>
      </c>
      <c r="B665" s="18" t="s">
        <v>1101</v>
      </c>
      <c r="C665" s="9" t="s">
        <v>59</v>
      </c>
      <c r="D665" s="9" t="s">
        <v>20</v>
      </c>
      <c r="E665" s="9" t="s">
        <v>12</v>
      </c>
      <c r="F665" s="9" t="s">
        <v>50</v>
      </c>
      <c r="G665" s="9" t="s">
        <v>14</v>
      </c>
      <c r="H665" s="7">
        <v>665.0</v>
      </c>
      <c r="I665" s="10" t="s">
        <v>1102</v>
      </c>
    </row>
    <row r="666">
      <c r="A666" s="7">
        <v>665.0</v>
      </c>
      <c r="B666" s="26" t="s">
        <v>1103</v>
      </c>
      <c r="C666" s="27" t="s">
        <v>59</v>
      </c>
      <c r="D666" s="27" t="s">
        <v>110</v>
      </c>
      <c r="E666" s="9" t="s">
        <v>12</v>
      </c>
      <c r="F666" s="20"/>
      <c r="G666" s="9" t="s">
        <v>111</v>
      </c>
      <c r="H666" s="7">
        <v>666.0</v>
      </c>
      <c r="I666" s="20"/>
      <c r="J666" s="20"/>
      <c r="K666" s="20"/>
      <c r="L666" s="20"/>
      <c r="M666" s="20"/>
    </row>
    <row r="667">
      <c r="A667" s="7">
        <v>666.0</v>
      </c>
      <c r="B667" s="21" t="s">
        <v>1104</v>
      </c>
      <c r="C667" s="9" t="s">
        <v>59</v>
      </c>
      <c r="D667" s="16"/>
      <c r="E667" s="9" t="s">
        <v>62</v>
      </c>
      <c r="H667" s="7">
        <v>667.0</v>
      </c>
      <c r="I667" s="10" t="s">
        <v>1105</v>
      </c>
    </row>
    <row r="668">
      <c r="A668" s="7">
        <v>667.0</v>
      </c>
      <c r="B668" s="18" t="s">
        <v>1106</v>
      </c>
      <c r="C668" s="9" t="s">
        <v>59</v>
      </c>
      <c r="D668" s="16"/>
      <c r="E668" s="9" t="s">
        <v>12</v>
      </c>
      <c r="F668" s="16"/>
      <c r="G668" s="9" t="s">
        <v>111</v>
      </c>
      <c r="H668" s="7">
        <v>668.0</v>
      </c>
      <c r="I668" s="10" t="s">
        <v>1107</v>
      </c>
    </row>
    <row r="669">
      <c r="A669" s="7">
        <v>668.0</v>
      </c>
      <c r="B669" s="18" t="s">
        <v>1106</v>
      </c>
      <c r="C669" s="9" t="s">
        <v>10</v>
      </c>
      <c r="D669" s="16"/>
      <c r="E669" s="9" t="s">
        <v>12</v>
      </c>
      <c r="F669" s="16"/>
      <c r="G669" s="9" t="s">
        <v>111</v>
      </c>
      <c r="H669" s="7">
        <v>669.0</v>
      </c>
      <c r="I669" s="10" t="s">
        <v>1108</v>
      </c>
    </row>
    <row r="670">
      <c r="A670" s="7">
        <v>669.0</v>
      </c>
      <c r="B670" s="18" t="s">
        <v>1109</v>
      </c>
      <c r="C670" s="9" t="s">
        <v>10</v>
      </c>
      <c r="D670" s="9" t="s">
        <v>196</v>
      </c>
      <c r="E670" s="9" t="s">
        <v>12</v>
      </c>
      <c r="H670" s="7">
        <v>670.0</v>
      </c>
      <c r="I670" s="10" t="s">
        <v>1110</v>
      </c>
    </row>
    <row r="671">
      <c r="A671" s="7">
        <v>670.0</v>
      </c>
      <c r="B671" s="18" t="s">
        <v>1111</v>
      </c>
      <c r="C671" s="9" t="s">
        <v>53</v>
      </c>
      <c r="D671" s="9" t="s">
        <v>55</v>
      </c>
      <c r="E671" s="9" t="s">
        <v>12</v>
      </c>
      <c r="F671" s="16"/>
      <c r="G671" s="9" t="s">
        <v>111</v>
      </c>
      <c r="H671" s="7">
        <v>671.0</v>
      </c>
      <c r="I671" s="10" t="s">
        <v>1112</v>
      </c>
    </row>
    <row r="672">
      <c r="A672" s="7">
        <v>671.0</v>
      </c>
      <c r="B672" s="18" t="s">
        <v>1111</v>
      </c>
      <c r="C672" s="9" t="s">
        <v>59</v>
      </c>
      <c r="D672" s="16"/>
      <c r="E672" s="9" t="s">
        <v>12</v>
      </c>
      <c r="F672" s="16"/>
      <c r="G672" s="9" t="s">
        <v>111</v>
      </c>
      <c r="H672" s="7">
        <v>672.0</v>
      </c>
      <c r="I672" s="17" t="s">
        <v>1112</v>
      </c>
    </row>
    <row r="673">
      <c r="A673" s="7">
        <v>672.0</v>
      </c>
      <c r="B673" s="18" t="s">
        <v>1111</v>
      </c>
      <c r="C673" s="9" t="s">
        <v>10</v>
      </c>
      <c r="D673" s="16"/>
      <c r="E673" s="9" t="s">
        <v>12</v>
      </c>
      <c r="F673" s="16"/>
      <c r="G673" s="9" t="s">
        <v>111</v>
      </c>
      <c r="H673" s="7">
        <v>673.0</v>
      </c>
      <c r="I673" s="17" t="s">
        <v>1112</v>
      </c>
    </row>
    <row r="674">
      <c r="A674" s="7">
        <v>673.0</v>
      </c>
      <c r="B674" s="18" t="s">
        <v>1111</v>
      </c>
      <c r="C674" s="9" t="s">
        <v>57</v>
      </c>
      <c r="D674" s="16"/>
      <c r="E674" s="9" t="s">
        <v>12</v>
      </c>
      <c r="F674" s="16"/>
      <c r="G674" s="9" t="s">
        <v>111</v>
      </c>
      <c r="H674" s="7">
        <v>674.0</v>
      </c>
      <c r="I674" s="17" t="s">
        <v>1112</v>
      </c>
    </row>
    <row r="675">
      <c r="A675" s="7">
        <v>674.0</v>
      </c>
      <c r="B675" s="18" t="s">
        <v>1113</v>
      </c>
      <c r="C675" s="9" t="s">
        <v>10</v>
      </c>
      <c r="D675" s="9" t="s">
        <v>196</v>
      </c>
      <c r="E675" s="9" t="s">
        <v>62</v>
      </c>
      <c r="H675" s="7">
        <v>675.0</v>
      </c>
      <c r="I675" s="10" t="s">
        <v>1114</v>
      </c>
    </row>
    <row r="676">
      <c r="A676" s="7">
        <v>675.0</v>
      </c>
      <c r="B676" s="18" t="s">
        <v>1115</v>
      </c>
      <c r="C676" s="9" t="s">
        <v>59</v>
      </c>
      <c r="D676" s="16"/>
      <c r="E676" s="9" t="s">
        <v>62</v>
      </c>
      <c r="H676" s="7">
        <v>676.0</v>
      </c>
    </row>
    <row r="677">
      <c r="A677" s="7">
        <v>676.0</v>
      </c>
      <c r="B677" s="18" t="s">
        <v>1116</v>
      </c>
      <c r="C677" s="9" t="s">
        <v>10</v>
      </c>
      <c r="D677" s="16"/>
      <c r="E677" s="9" t="s">
        <v>12</v>
      </c>
      <c r="F677" s="16"/>
      <c r="G677" s="9" t="s">
        <v>111</v>
      </c>
      <c r="H677" s="7">
        <v>677.0</v>
      </c>
      <c r="I677" s="10" t="s">
        <v>1117</v>
      </c>
    </row>
    <row r="678">
      <c r="A678" s="7">
        <v>677.0</v>
      </c>
      <c r="B678" s="18" t="s">
        <v>1118</v>
      </c>
      <c r="C678" s="9" t="s">
        <v>10</v>
      </c>
      <c r="D678" s="9" t="s">
        <v>196</v>
      </c>
      <c r="E678" s="9" t="s">
        <v>12</v>
      </c>
      <c r="H678" s="7">
        <v>678.0</v>
      </c>
      <c r="I678" s="10" t="s">
        <v>1119</v>
      </c>
    </row>
    <row r="679">
      <c r="A679" s="7">
        <v>678.0</v>
      </c>
      <c r="B679" s="21" t="s">
        <v>1120</v>
      </c>
      <c r="C679" s="9" t="s">
        <v>59</v>
      </c>
      <c r="D679" s="9" t="s">
        <v>40</v>
      </c>
      <c r="E679" s="9" t="s">
        <v>62</v>
      </c>
      <c r="F679" s="16"/>
      <c r="G679" s="16"/>
      <c r="H679" s="7">
        <v>679.0</v>
      </c>
      <c r="I679" s="10" t="s">
        <v>1121</v>
      </c>
    </row>
    <row r="680">
      <c r="A680" s="7">
        <v>679.0</v>
      </c>
      <c r="B680" s="18" t="s">
        <v>1122</v>
      </c>
      <c r="C680" s="9" t="s">
        <v>10</v>
      </c>
      <c r="D680" s="9" t="s">
        <v>16</v>
      </c>
      <c r="E680" s="9" t="s">
        <v>12</v>
      </c>
      <c r="F680" s="16"/>
      <c r="G680" s="9" t="s">
        <v>14</v>
      </c>
      <c r="H680" s="7">
        <v>680.0</v>
      </c>
      <c r="I680" s="10" t="s">
        <v>1123</v>
      </c>
    </row>
    <row r="681">
      <c r="A681" s="7">
        <v>680.0</v>
      </c>
      <c r="B681" s="18" t="s">
        <v>1122</v>
      </c>
      <c r="C681" s="9" t="s">
        <v>61</v>
      </c>
      <c r="D681" s="16"/>
      <c r="E681" s="9" t="s">
        <v>12</v>
      </c>
      <c r="F681" s="16"/>
      <c r="G681" s="9" t="s">
        <v>14</v>
      </c>
      <c r="H681" s="7">
        <v>681.0</v>
      </c>
      <c r="I681" s="10" t="s">
        <v>1123</v>
      </c>
    </row>
    <row r="682">
      <c r="A682" s="7">
        <v>681.0</v>
      </c>
      <c r="B682" s="18" t="s">
        <v>1124</v>
      </c>
      <c r="C682" s="9" t="s">
        <v>10</v>
      </c>
      <c r="D682" s="9" t="s">
        <v>74</v>
      </c>
      <c r="E682" s="9" t="s">
        <v>62</v>
      </c>
      <c r="H682" s="7">
        <v>682.0</v>
      </c>
      <c r="I682" s="10" t="s">
        <v>1125</v>
      </c>
    </row>
    <row r="683">
      <c r="A683" s="7">
        <v>682.0</v>
      </c>
      <c r="B683" s="18" t="s">
        <v>1126</v>
      </c>
      <c r="C683" s="9" t="s">
        <v>10</v>
      </c>
      <c r="D683" s="9" t="s">
        <v>196</v>
      </c>
      <c r="E683" s="9" t="s">
        <v>12</v>
      </c>
      <c r="F683" s="16"/>
      <c r="G683" s="9" t="s">
        <v>14</v>
      </c>
      <c r="H683" s="7">
        <v>683.0</v>
      </c>
      <c r="I683" s="10" t="s">
        <v>1127</v>
      </c>
    </row>
    <row r="684">
      <c r="A684" s="7">
        <v>683.0</v>
      </c>
      <c r="B684" s="21" t="s">
        <v>1128</v>
      </c>
      <c r="C684" s="9" t="s">
        <v>61</v>
      </c>
      <c r="D684" s="16"/>
      <c r="E684" s="9" t="s">
        <v>62</v>
      </c>
      <c r="H684" s="7">
        <v>684.0</v>
      </c>
      <c r="I684" s="17" t="s">
        <v>1129</v>
      </c>
    </row>
    <row r="685">
      <c r="A685" s="7">
        <v>684.0</v>
      </c>
      <c r="B685" s="18" t="s">
        <v>1130</v>
      </c>
      <c r="C685" s="9" t="s">
        <v>10</v>
      </c>
      <c r="D685" s="16"/>
      <c r="E685" s="9" t="s">
        <v>62</v>
      </c>
      <c r="H685" s="7">
        <v>685.0</v>
      </c>
      <c r="I685" s="10" t="s">
        <v>1131</v>
      </c>
    </row>
    <row r="686">
      <c r="A686" s="7">
        <v>685.0</v>
      </c>
      <c r="B686" s="31" t="s">
        <v>1130</v>
      </c>
      <c r="C686" s="32" t="s">
        <v>10</v>
      </c>
      <c r="D686" s="33"/>
      <c r="E686" s="32" t="s">
        <v>62</v>
      </c>
      <c r="F686" s="33"/>
      <c r="G686" s="33"/>
      <c r="H686" s="7">
        <v>686.0</v>
      </c>
      <c r="I686" s="34" t="s">
        <v>1132</v>
      </c>
      <c r="J686" s="33"/>
      <c r="K686" s="33"/>
      <c r="L686" s="33"/>
      <c r="M686" s="33"/>
    </row>
    <row r="687">
      <c r="A687" s="7">
        <v>686.0</v>
      </c>
      <c r="B687" s="21" t="s">
        <v>1133</v>
      </c>
      <c r="C687" s="9" t="s">
        <v>59</v>
      </c>
      <c r="D687" s="9" t="s">
        <v>40</v>
      </c>
      <c r="E687" s="9" t="s">
        <v>62</v>
      </c>
      <c r="F687" s="16"/>
      <c r="G687" s="16"/>
      <c r="H687" s="7">
        <v>687.0</v>
      </c>
      <c r="I687" s="10" t="s">
        <v>1134</v>
      </c>
    </row>
    <row r="688">
      <c r="A688" s="7">
        <v>687.0</v>
      </c>
      <c r="B688" s="18" t="s">
        <v>1135</v>
      </c>
      <c r="C688" s="9" t="s">
        <v>57</v>
      </c>
      <c r="D688" s="16"/>
      <c r="E688" s="9" t="s">
        <v>62</v>
      </c>
      <c r="H688" s="7">
        <v>688.0</v>
      </c>
      <c r="I688" s="10" t="s">
        <v>1136</v>
      </c>
    </row>
    <row r="689">
      <c r="A689" s="7">
        <v>688.0</v>
      </c>
      <c r="B689" s="18" t="s">
        <v>1137</v>
      </c>
      <c r="C689" s="9" t="s">
        <v>10</v>
      </c>
      <c r="D689" s="9" t="s">
        <v>196</v>
      </c>
      <c r="E689" s="9" t="s">
        <v>12</v>
      </c>
      <c r="H689" s="7">
        <v>689.0</v>
      </c>
      <c r="I689" s="10" t="s">
        <v>1138</v>
      </c>
    </row>
    <row r="690">
      <c r="A690" s="7">
        <v>689.0</v>
      </c>
      <c r="B690" s="21" t="s">
        <v>1139</v>
      </c>
      <c r="C690" s="9" t="s">
        <v>10</v>
      </c>
      <c r="D690" s="9" t="s">
        <v>40</v>
      </c>
      <c r="E690" s="9" t="s">
        <v>62</v>
      </c>
      <c r="H690" s="7">
        <v>690.0</v>
      </c>
      <c r="I690" s="10" t="s">
        <v>1140</v>
      </c>
    </row>
    <row r="691">
      <c r="A691" s="7">
        <v>690.0</v>
      </c>
      <c r="B691" s="21" t="s">
        <v>1141</v>
      </c>
      <c r="C691" s="9" t="s">
        <v>10</v>
      </c>
      <c r="D691" s="16"/>
      <c r="E691" s="9" t="s">
        <v>62</v>
      </c>
      <c r="F691" s="16"/>
      <c r="G691" s="16"/>
      <c r="H691" s="7">
        <v>691.0</v>
      </c>
      <c r="I691" s="10" t="s">
        <v>1142</v>
      </c>
    </row>
    <row r="692">
      <c r="A692" s="7">
        <v>691.0</v>
      </c>
      <c r="B692" s="18" t="s">
        <v>1143</v>
      </c>
      <c r="C692" s="9" t="s">
        <v>10</v>
      </c>
      <c r="D692" s="9" t="s">
        <v>40</v>
      </c>
      <c r="E692" s="9" t="s">
        <v>62</v>
      </c>
      <c r="H692" s="7">
        <v>692.0</v>
      </c>
      <c r="I692" s="10" t="s">
        <v>1140</v>
      </c>
    </row>
    <row r="693">
      <c r="A693" s="7">
        <v>692.0</v>
      </c>
      <c r="B693" s="18" t="s">
        <v>1144</v>
      </c>
      <c r="C693" s="9" t="s">
        <v>10</v>
      </c>
      <c r="D693" s="9" t="s">
        <v>40</v>
      </c>
      <c r="E693" s="9" t="s">
        <v>62</v>
      </c>
      <c r="H693" s="7">
        <v>693.0</v>
      </c>
      <c r="I693" s="10" t="s">
        <v>387</v>
      </c>
    </row>
    <row r="694">
      <c r="A694" s="7">
        <v>693.0</v>
      </c>
      <c r="B694" s="18" t="s">
        <v>1145</v>
      </c>
      <c r="C694" s="9" t="s">
        <v>10</v>
      </c>
      <c r="D694" s="9" t="s">
        <v>37</v>
      </c>
      <c r="E694" s="9" t="s">
        <v>12</v>
      </c>
      <c r="F694" s="9" t="s">
        <v>50</v>
      </c>
      <c r="G694" s="9" t="s">
        <v>14</v>
      </c>
      <c r="H694" s="7">
        <v>694.0</v>
      </c>
      <c r="I694" s="10" t="s">
        <v>1146</v>
      </c>
    </row>
    <row r="695">
      <c r="A695" s="7">
        <v>694.0</v>
      </c>
      <c r="B695" s="18" t="s">
        <v>1147</v>
      </c>
      <c r="C695" s="9" t="s">
        <v>10</v>
      </c>
      <c r="D695" s="9" t="s">
        <v>196</v>
      </c>
      <c r="E695" s="9" t="s">
        <v>12</v>
      </c>
      <c r="H695" s="7">
        <v>695.0</v>
      </c>
      <c r="I695" s="17" t="s">
        <v>1148</v>
      </c>
    </row>
    <row r="696">
      <c r="A696" s="7">
        <v>695.0</v>
      </c>
      <c r="B696" s="18" t="s">
        <v>1149</v>
      </c>
      <c r="C696" s="9" t="s">
        <v>59</v>
      </c>
      <c r="D696" s="9" t="s">
        <v>20</v>
      </c>
      <c r="E696" s="9" t="s">
        <v>12</v>
      </c>
      <c r="F696" s="9" t="s">
        <v>50</v>
      </c>
      <c r="G696" s="9" t="s">
        <v>14</v>
      </c>
      <c r="H696" s="7">
        <v>696.0</v>
      </c>
      <c r="I696" s="10" t="s">
        <v>1150</v>
      </c>
    </row>
    <row r="697">
      <c r="A697" s="7">
        <v>696.0</v>
      </c>
      <c r="B697" s="18" t="s">
        <v>1151</v>
      </c>
      <c r="C697" s="9" t="s">
        <v>61</v>
      </c>
      <c r="D697" s="16"/>
      <c r="E697" s="9" t="s">
        <v>62</v>
      </c>
      <c r="H697" s="7">
        <v>697.0</v>
      </c>
      <c r="I697" s="10" t="s">
        <v>1152</v>
      </c>
    </row>
    <row r="698">
      <c r="A698" s="7">
        <v>697.0</v>
      </c>
      <c r="B698" s="18" t="s">
        <v>1153</v>
      </c>
      <c r="C698" s="9" t="s">
        <v>61</v>
      </c>
      <c r="D698" s="16"/>
      <c r="E698" s="9" t="s">
        <v>12</v>
      </c>
      <c r="H698" s="7">
        <v>698.0</v>
      </c>
      <c r="I698" s="10" t="s">
        <v>1154</v>
      </c>
    </row>
    <row r="699">
      <c r="A699" s="7">
        <v>698.0</v>
      </c>
      <c r="B699" s="18" t="s">
        <v>1155</v>
      </c>
      <c r="C699" s="9" t="s">
        <v>10</v>
      </c>
      <c r="D699" s="9" t="s">
        <v>196</v>
      </c>
      <c r="E699" s="9" t="s">
        <v>12</v>
      </c>
      <c r="H699" s="7">
        <v>699.0</v>
      </c>
      <c r="I699" s="10" t="s">
        <v>1156</v>
      </c>
    </row>
    <row r="700">
      <c r="A700" s="7">
        <v>699.0</v>
      </c>
      <c r="B700" s="18" t="s">
        <v>1157</v>
      </c>
      <c r="C700" s="9" t="s">
        <v>61</v>
      </c>
      <c r="D700" s="16"/>
      <c r="E700" s="9" t="s">
        <v>12</v>
      </c>
      <c r="H700" s="7">
        <v>700.0</v>
      </c>
      <c r="I700" s="10" t="s">
        <v>1158</v>
      </c>
    </row>
    <row r="701">
      <c r="A701" s="7">
        <v>700.0</v>
      </c>
      <c r="B701" s="18" t="s">
        <v>1159</v>
      </c>
      <c r="C701" s="9" t="s">
        <v>59</v>
      </c>
      <c r="D701" s="9" t="s">
        <v>110</v>
      </c>
      <c r="E701" s="9" t="s">
        <v>12</v>
      </c>
      <c r="F701" s="16"/>
      <c r="G701" s="9" t="s">
        <v>111</v>
      </c>
      <c r="H701" s="7">
        <v>701.0</v>
      </c>
      <c r="I701" s="44" t="s">
        <v>1160</v>
      </c>
    </row>
    <row r="702">
      <c r="A702" s="7">
        <v>701.0</v>
      </c>
      <c r="B702" s="18" t="s">
        <v>1161</v>
      </c>
      <c r="C702" s="9" t="s">
        <v>10</v>
      </c>
      <c r="D702" s="9" t="s">
        <v>26</v>
      </c>
      <c r="E702" s="9" t="s">
        <v>12</v>
      </c>
      <c r="F702" s="16"/>
      <c r="G702" s="9" t="s">
        <v>111</v>
      </c>
      <c r="H702" s="7">
        <v>702.0</v>
      </c>
      <c r="I702" s="10" t="s">
        <v>1162</v>
      </c>
    </row>
    <row r="703">
      <c r="A703" s="7">
        <v>702.0</v>
      </c>
      <c r="B703" s="18" t="s">
        <v>1163</v>
      </c>
      <c r="C703" s="9" t="s">
        <v>61</v>
      </c>
      <c r="D703" s="16"/>
      <c r="E703" s="9" t="s">
        <v>62</v>
      </c>
      <c r="H703" s="7">
        <v>703.0</v>
      </c>
      <c r="I703" s="10" t="s">
        <v>1164</v>
      </c>
    </row>
    <row r="704">
      <c r="A704" s="7">
        <v>703.0</v>
      </c>
      <c r="B704" s="21" t="s">
        <v>1165</v>
      </c>
      <c r="C704" s="9" t="s">
        <v>61</v>
      </c>
      <c r="D704" s="16"/>
      <c r="E704" s="9" t="s">
        <v>62</v>
      </c>
      <c r="F704" s="16"/>
      <c r="G704" s="16"/>
      <c r="H704" s="7">
        <v>704.0</v>
      </c>
      <c r="I704" s="10" t="s">
        <v>1166</v>
      </c>
    </row>
    <row r="705">
      <c r="A705" s="7">
        <v>704.0</v>
      </c>
      <c r="B705" s="21" t="s">
        <v>1167</v>
      </c>
      <c r="C705" s="9" t="s">
        <v>61</v>
      </c>
      <c r="D705" s="16"/>
      <c r="E705" s="9" t="s">
        <v>62</v>
      </c>
      <c r="F705" s="16"/>
      <c r="G705" s="16"/>
      <c r="H705" s="7">
        <v>705.0</v>
      </c>
      <c r="I705" s="10" t="s">
        <v>1168</v>
      </c>
    </row>
    <row r="706">
      <c r="A706" s="7">
        <v>705.0</v>
      </c>
      <c r="B706" s="18" t="s">
        <v>1169</v>
      </c>
      <c r="C706" s="9" t="s">
        <v>10</v>
      </c>
      <c r="D706" s="9" t="s">
        <v>196</v>
      </c>
      <c r="E706" s="9" t="s">
        <v>62</v>
      </c>
      <c r="H706" s="7">
        <v>706.0</v>
      </c>
      <c r="I706" s="10" t="s">
        <v>1170</v>
      </c>
    </row>
    <row r="707">
      <c r="A707" s="7">
        <v>706.0</v>
      </c>
      <c r="B707" s="21" t="s">
        <v>1171</v>
      </c>
      <c r="C707" s="9" t="s">
        <v>10</v>
      </c>
      <c r="D707" s="16"/>
      <c r="E707" s="9" t="s">
        <v>62</v>
      </c>
      <c r="H707" s="7">
        <v>707.0</v>
      </c>
      <c r="I707" s="10" t="s">
        <v>431</v>
      </c>
    </row>
    <row r="708">
      <c r="A708" s="7">
        <v>707.0</v>
      </c>
      <c r="B708" s="21" t="s">
        <v>1172</v>
      </c>
      <c r="C708" s="9" t="s">
        <v>10</v>
      </c>
      <c r="D708" s="16"/>
      <c r="E708" s="9" t="s">
        <v>62</v>
      </c>
      <c r="H708" s="7">
        <v>708.0</v>
      </c>
      <c r="I708" s="10" t="s">
        <v>1173</v>
      </c>
    </row>
    <row r="709">
      <c r="A709" s="7">
        <v>708.0</v>
      </c>
      <c r="B709" s="18" t="s">
        <v>1174</v>
      </c>
      <c r="C709" s="9" t="s">
        <v>61</v>
      </c>
      <c r="D709" s="9" t="s">
        <v>700</v>
      </c>
      <c r="E709" s="9" t="s">
        <v>62</v>
      </c>
      <c r="F709" s="16"/>
      <c r="G709" s="9" t="s">
        <v>224</v>
      </c>
      <c r="H709" s="7">
        <v>709.0</v>
      </c>
      <c r="I709" s="10" t="s">
        <v>1175</v>
      </c>
    </row>
    <row r="710">
      <c r="A710" s="7">
        <v>709.0</v>
      </c>
      <c r="B710" s="18" t="s">
        <v>1174</v>
      </c>
      <c r="C710" s="9" t="s">
        <v>10</v>
      </c>
      <c r="D710" s="16"/>
      <c r="E710" s="9" t="s">
        <v>12</v>
      </c>
      <c r="F710" s="16"/>
      <c r="G710" s="9" t="s">
        <v>224</v>
      </c>
      <c r="H710" s="7">
        <v>710.0</v>
      </c>
      <c r="I710" s="10" t="s">
        <v>1175</v>
      </c>
    </row>
    <row r="711">
      <c r="A711" s="7">
        <v>710.0</v>
      </c>
      <c r="B711" s="18" t="s">
        <v>1176</v>
      </c>
      <c r="C711" s="9" t="s">
        <v>10</v>
      </c>
      <c r="D711" s="9" t="s">
        <v>64</v>
      </c>
      <c r="E711" s="9" t="s">
        <v>12</v>
      </c>
      <c r="H711" s="7">
        <v>711.0</v>
      </c>
      <c r="I711" s="10" t="s">
        <v>1177</v>
      </c>
    </row>
    <row r="712">
      <c r="A712" s="7">
        <v>711.0</v>
      </c>
      <c r="B712" s="21" t="s">
        <v>1178</v>
      </c>
      <c r="C712" s="9" t="s">
        <v>10</v>
      </c>
      <c r="D712" s="16"/>
      <c r="E712" s="9" t="s">
        <v>62</v>
      </c>
      <c r="H712" s="7">
        <v>712.0</v>
      </c>
      <c r="I712" s="10" t="s">
        <v>1179</v>
      </c>
    </row>
    <row r="713">
      <c r="A713" s="7">
        <v>712.0</v>
      </c>
      <c r="B713" s="15" t="s">
        <v>1180</v>
      </c>
      <c r="C713" s="9" t="s">
        <v>10</v>
      </c>
      <c r="D713" s="9" t="s">
        <v>44</v>
      </c>
      <c r="E713" s="9" t="s">
        <v>12</v>
      </c>
      <c r="F713" s="16"/>
      <c r="G713" s="9" t="s">
        <v>111</v>
      </c>
      <c r="H713" s="7">
        <v>713.0</v>
      </c>
      <c r="I713" s="10" t="s">
        <v>1181</v>
      </c>
    </row>
    <row r="714">
      <c r="A714" s="7">
        <v>713.0</v>
      </c>
      <c r="B714" s="18" t="s">
        <v>1182</v>
      </c>
      <c r="C714" s="9" t="s">
        <v>10</v>
      </c>
      <c r="D714" s="9" t="s">
        <v>64</v>
      </c>
      <c r="E714" s="9" t="s">
        <v>12</v>
      </c>
      <c r="H714" s="7">
        <v>714.0</v>
      </c>
      <c r="I714" s="10" t="s">
        <v>1183</v>
      </c>
    </row>
    <row r="715">
      <c r="A715" s="7">
        <v>714.0</v>
      </c>
      <c r="B715" s="18" t="s">
        <v>1184</v>
      </c>
      <c r="C715" s="9" t="s">
        <v>10</v>
      </c>
      <c r="D715" s="9" t="s">
        <v>74</v>
      </c>
      <c r="E715" s="9" t="s">
        <v>12</v>
      </c>
      <c r="F715" s="16"/>
      <c r="G715" s="9" t="s">
        <v>224</v>
      </c>
      <c r="H715" s="7">
        <v>715.0</v>
      </c>
      <c r="I715" s="10" t="s">
        <v>1185</v>
      </c>
    </row>
    <row r="716">
      <c r="A716" s="7">
        <v>715.0</v>
      </c>
      <c r="B716" s="26" t="s">
        <v>1186</v>
      </c>
      <c r="C716" s="27" t="s">
        <v>10</v>
      </c>
      <c r="D716" s="27" t="s">
        <v>706</v>
      </c>
      <c r="E716" s="9" t="s">
        <v>12</v>
      </c>
      <c r="F716" s="20"/>
      <c r="G716" s="9" t="s">
        <v>14</v>
      </c>
      <c r="H716" s="7">
        <v>716.0</v>
      </c>
      <c r="I716" s="38" t="s">
        <v>1187</v>
      </c>
      <c r="J716" s="20"/>
      <c r="K716" s="20"/>
      <c r="L716" s="20"/>
      <c r="M716" s="20"/>
    </row>
    <row r="717">
      <c r="A717" s="7">
        <v>716.0</v>
      </c>
      <c r="B717" s="18" t="s">
        <v>1186</v>
      </c>
      <c r="C717" s="9" t="s">
        <v>61</v>
      </c>
      <c r="D717" s="16"/>
      <c r="E717" s="9" t="s">
        <v>12</v>
      </c>
      <c r="F717" s="16"/>
      <c r="G717" s="9" t="s">
        <v>14</v>
      </c>
      <c r="H717" s="7">
        <v>717.0</v>
      </c>
      <c r="I717" s="10" t="s">
        <v>1188</v>
      </c>
      <c r="J717" s="9" t="s">
        <v>194</v>
      </c>
    </row>
    <row r="718">
      <c r="A718" s="7">
        <v>717.0</v>
      </c>
      <c r="B718" s="18" t="s">
        <v>1189</v>
      </c>
      <c r="C718" s="9" t="s">
        <v>10</v>
      </c>
      <c r="D718" s="9" t="s">
        <v>706</v>
      </c>
      <c r="E718" s="9" t="s">
        <v>12</v>
      </c>
      <c r="F718" s="16"/>
      <c r="G718" s="9" t="s">
        <v>14</v>
      </c>
      <c r="H718" s="7">
        <v>718.0</v>
      </c>
      <c r="I718" s="10" t="s">
        <v>1190</v>
      </c>
    </row>
    <row r="719">
      <c r="A719" s="7">
        <v>718.0</v>
      </c>
      <c r="B719" s="18" t="s">
        <v>1189</v>
      </c>
      <c r="C719" s="9" t="s">
        <v>10</v>
      </c>
      <c r="D719" s="16"/>
      <c r="E719" s="9" t="s">
        <v>12</v>
      </c>
      <c r="F719" s="16"/>
      <c r="G719" s="9" t="s">
        <v>14</v>
      </c>
      <c r="H719" s="7">
        <v>719.0</v>
      </c>
      <c r="I719" s="10" t="s">
        <v>1191</v>
      </c>
    </row>
    <row r="720">
      <c r="A720" s="7">
        <v>719.0</v>
      </c>
      <c r="B720" s="18" t="s">
        <v>1192</v>
      </c>
      <c r="C720" s="9" t="s">
        <v>57</v>
      </c>
      <c r="D720" s="16"/>
      <c r="E720" s="9" t="s">
        <v>12</v>
      </c>
      <c r="H720" s="7">
        <v>720.0</v>
      </c>
    </row>
    <row r="721">
      <c r="A721" s="7">
        <v>720.0</v>
      </c>
      <c r="B721" s="18" t="s">
        <v>1193</v>
      </c>
      <c r="C721" s="9" t="s">
        <v>61</v>
      </c>
      <c r="D721" s="16"/>
      <c r="E721" s="9" t="s">
        <v>12</v>
      </c>
      <c r="H721" s="7">
        <v>721.0</v>
      </c>
      <c r="I721" s="10" t="s">
        <v>1194</v>
      </c>
    </row>
    <row r="722">
      <c r="A722" s="7">
        <v>721.0</v>
      </c>
      <c r="B722" s="18" t="s">
        <v>1195</v>
      </c>
      <c r="C722" s="9" t="s">
        <v>10</v>
      </c>
      <c r="D722" s="16"/>
      <c r="E722" s="9" t="s">
        <v>62</v>
      </c>
      <c r="F722" s="16"/>
      <c r="G722" s="16"/>
      <c r="H722" s="7">
        <v>722.0</v>
      </c>
      <c r="I722" s="10" t="s">
        <v>1196</v>
      </c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>
      <c r="A723" s="7">
        <v>722.0</v>
      </c>
      <c r="B723" s="21" t="s">
        <v>1197</v>
      </c>
      <c r="C723" s="9" t="s">
        <v>10</v>
      </c>
      <c r="D723" s="16"/>
      <c r="E723" s="9" t="s">
        <v>62</v>
      </c>
      <c r="H723" s="7">
        <v>723.0</v>
      </c>
      <c r="I723" s="10" t="s">
        <v>1198</v>
      </c>
    </row>
    <row r="724">
      <c r="A724" s="7">
        <v>723.0</v>
      </c>
      <c r="B724" s="18" t="s">
        <v>1199</v>
      </c>
      <c r="C724" s="9" t="s">
        <v>59</v>
      </c>
      <c r="D724" s="9" t="s">
        <v>220</v>
      </c>
      <c r="E724" s="9" t="s">
        <v>12</v>
      </c>
      <c r="F724" s="9" t="s">
        <v>50</v>
      </c>
      <c r="G724" s="9" t="s">
        <v>14</v>
      </c>
      <c r="H724" s="7">
        <v>724.0</v>
      </c>
      <c r="I724" s="10" t="s">
        <v>1200</v>
      </c>
    </row>
    <row r="725">
      <c r="A725" s="7">
        <v>724.0</v>
      </c>
      <c r="B725" s="18" t="s">
        <v>1199</v>
      </c>
      <c r="C725" s="9" t="s">
        <v>57</v>
      </c>
      <c r="D725" s="16"/>
      <c r="E725" s="9" t="s">
        <v>12</v>
      </c>
      <c r="F725" s="16"/>
      <c r="G725" s="9" t="s">
        <v>14</v>
      </c>
      <c r="H725" s="7">
        <v>725.0</v>
      </c>
      <c r="I725" s="10" t="s">
        <v>1201</v>
      </c>
    </row>
    <row r="726">
      <c r="A726" s="7">
        <v>725.0</v>
      </c>
      <c r="B726" s="18" t="s">
        <v>1199</v>
      </c>
      <c r="C726" s="9" t="s">
        <v>10</v>
      </c>
      <c r="D726" s="16"/>
      <c r="E726" s="9" t="s">
        <v>12</v>
      </c>
      <c r="F726" s="16"/>
      <c r="G726" s="9" t="s">
        <v>14</v>
      </c>
      <c r="H726" s="7">
        <v>726.0</v>
      </c>
      <c r="I726" s="10" t="s">
        <v>1201</v>
      </c>
    </row>
    <row r="727">
      <c r="A727" s="7">
        <v>726.0</v>
      </c>
      <c r="B727" s="18" t="s">
        <v>1199</v>
      </c>
      <c r="C727" s="9" t="s">
        <v>61</v>
      </c>
      <c r="D727" s="16"/>
      <c r="E727" s="9" t="s">
        <v>12</v>
      </c>
      <c r="F727" s="16"/>
      <c r="G727" s="9" t="s">
        <v>14</v>
      </c>
      <c r="H727" s="7">
        <v>727.0</v>
      </c>
      <c r="I727" s="10" t="s">
        <v>1201</v>
      </c>
    </row>
    <row r="728">
      <c r="A728" s="7">
        <v>727.0</v>
      </c>
      <c r="B728" s="21" t="s">
        <v>1202</v>
      </c>
      <c r="C728" s="9" t="s">
        <v>61</v>
      </c>
      <c r="D728" s="16"/>
      <c r="E728" s="9" t="s">
        <v>62</v>
      </c>
      <c r="H728" s="7">
        <v>728.0</v>
      </c>
      <c r="I728" s="10" t="s">
        <v>1203</v>
      </c>
    </row>
    <row r="729">
      <c r="A729" s="7">
        <v>728.0</v>
      </c>
      <c r="B729" s="18" t="s">
        <v>1204</v>
      </c>
      <c r="C729" s="9" t="s">
        <v>10</v>
      </c>
      <c r="D729" s="16"/>
      <c r="E729" s="9" t="s">
        <v>62</v>
      </c>
      <c r="H729" s="7">
        <v>729.0</v>
      </c>
      <c r="I729" s="10" t="s">
        <v>1205</v>
      </c>
    </row>
    <row r="730">
      <c r="A730" s="7">
        <v>729.0</v>
      </c>
      <c r="B730" s="18" t="s">
        <v>1206</v>
      </c>
      <c r="C730" s="9" t="s">
        <v>59</v>
      </c>
      <c r="D730" s="16"/>
      <c r="E730" s="9" t="s">
        <v>62</v>
      </c>
      <c r="H730" s="7">
        <v>730.0</v>
      </c>
      <c r="I730" s="10" t="s">
        <v>1207</v>
      </c>
    </row>
    <row r="731">
      <c r="A731" s="7">
        <v>730.0</v>
      </c>
      <c r="B731" s="21" t="s">
        <v>1208</v>
      </c>
      <c r="C731" s="9" t="s">
        <v>10</v>
      </c>
      <c r="D731" s="16"/>
      <c r="E731" s="9" t="s">
        <v>62</v>
      </c>
      <c r="H731" s="7">
        <v>731.0</v>
      </c>
      <c r="I731" s="10" t="s">
        <v>1209</v>
      </c>
    </row>
    <row r="732">
      <c r="A732" s="7">
        <v>731.0</v>
      </c>
      <c r="B732" s="18" t="s">
        <v>1210</v>
      </c>
      <c r="C732" s="9" t="s">
        <v>61</v>
      </c>
      <c r="D732" s="16"/>
      <c r="E732" s="9" t="s">
        <v>62</v>
      </c>
      <c r="H732" s="7">
        <v>732.0</v>
      </c>
      <c r="I732" s="10" t="s">
        <v>1211</v>
      </c>
    </row>
    <row r="733">
      <c r="A733" s="7">
        <v>732.0</v>
      </c>
      <c r="B733" s="18" t="s">
        <v>1212</v>
      </c>
      <c r="C733" s="9" t="s">
        <v>10</v>
      </c>
      <c r="D733" s="9" t="s">
        <v>74</v>
      </c>
      <c r="E733" s="9" t="s">
        <v>12</v>
      </c>
      <c r="F733" s="16"/>
      <c r="G733" s="9" t="s">
        <v>111</v>
      </c>
      <c r="H733" s="7">
        <v>733.0</v>
      </c>
      <c r="I733" s="10" t="s">
        <v>1213</v>
      </c>
    </row>
    <row r="734">
      <c r="A734" s="7">
        <v>733.0</v>
      </c>
      <c r="B734" s="18" t="s">
        <v>1214</v>
      </c>
      <c r="C734" s="9" t="s">
        <v>59</v>
      </c>
      <c r="D734" s="9" t="s">
        <v>23</v>
      </c>
      <c r="E734" s="9" t="s">
        <v>12</v>
      </c>
      <c r="F734" s="9" t="s">
        <v>50</v>
      </c>
      <c r="G734" s="9" t="s">
        <v>111</v>
      </c>
      <c r="H734" s="7">
        <v>734.0</v>
      </c>
      <c r="I734" s="10" t="s">
        <v>1215</v>
      </c>
    </row>
    <row r="735">
      <c r="A735" s="7">
        <v>734.0</v>
      </c>
      <c r="B735" s="18" t="s">
        <v>1216</v>
      </c>
      <c r="C735" s="9" t="s">
        <v>57</v>
      </c>
      <c r="D735" s="16"/>
      <c r="E735" s="9" t="s">
        <v>12</v>
      </c>
      <c r="H735" s="7">
        <v>735.0</v>
      </c>
    </row>
    <row r="736">
      <c r="A736" s="7">
        <v>735.0</v>
      </c>
      <c r="B736" s="21" t="s">
        <v>1217</v>
      </c>
      <c r="C736" s="9" t="s">
        <v>10</v>
      </c>
      <c r="D736" s="16"/>
      <c r="E736" s="9" t="s">
        <v>62</v>
      </c>
      <c r="H736" s="7">
        <v>736.0</v>
      </c>
      <c r="I736" s="10" t="s">
        <v>1218</v>
      </c>
    </row>
    <row r="737">
      <c r="A737" s="7">
        <v>736.0</v>
      </c>
      <c r="B737" s="18" t="s">
        <v>1219</v>
      </c>
      <c r="C737" s="9" t="s">
        <v>10</v>
      </c>
      <c r="D737" s="9" t="s">
        <v>74</v>
      </c>
      <c r="E737" s="9" t="s">
        <v>12</v>
      </c>
      <c r="F737" s="16"/>
      <c r="G737" s="9" t="s">
        <v>14</v>
      </c>
      <c r="H737" s="7">
        <v>737.0</v>
      </c>
      <c r="I737" s="10" t="s">
        <v>1220</v>
      </c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</row>
    <row r="738">
      <c r="A738" s="7">
        <v>737.0</v>
      </c>
      <c r="B738" s="18" t="s">
        <v>1221</v>
      </c>
      <c r="C738" s="9" t="s">
        <v>61</v>
      </c>
      <c r="D738" s="16"/>
      <c r="E738" s="9" t="s">
        <v>12</v>
      </c>
      <c r="H738" s="7">
        <v>738.0</v>
      </c>
      <c r="I738" s="10" t="s">
        <v>1222</v>
      </c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</row>
    <row r="739">
      <c r="A739" s="7">
        <v>738.0</v>
      </c>
      <c r="B739" s="18" t="s">
        <v>1223</v>
      </c>
      <c r="C739" s="9" t="s">
        <v>59</v>
      </c>
      <c r="D739" s="9" t="s">
        <v>220</v>
      </c>
      <c r="E739" s="9" t="s">
        <v>12</v>
      </c>
      <c r="F739" s="9" t="s">
        <v>50</v>
      </c>
      <c r="G739" s="9" t="s">
        <v>111</v>
      </c>
      <c r="H739" s="7">
        <v>739.0</v>
      </c>
      <c r="I739" s="10" t="s">
        <v>1224</v>
      </c>
    </row>
    <row r="740">
      <c r="A740" s="7">
        <v>739.0</v>
      </c>
      <c r="B740" s="18" t="s">
        <v>1225</v>
      </c>
      <c r="C740" s="9" t="s">
        <v>57</v>
      </c>
      <c r="D740" s="16"/>
      <c r="E740" s="9" t="s">
        <v>12</v>
      </c>
      <c r="H740" s="7">
        <v>740.0</v>
      </c>
      <c r="I740" s="10" t="s">
        <v>1226</v>
      </c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</row>
    <row r="741">
      <c r="A741" s="7">
        <v>740.0</v>
      </c>
      <c r="B741" s="18" t="s">
        <v>1227</v>
      </c>
      <c r="C741" s="9" t="s">
        <v>59</v>
      </c>
      <c r="D741" s="9" t="s">
        <v>110</v>
      </c>
      <c r="E741" s="9" t="s">
        <v>12</v>
      </c>
      <c r="F741" s="16"/>
      <c r="G741" s="9" t="s">
        <v>111</v>
      </c>
      <c r="H741" s="7">
        <v>741.0</v>
      </c>
      <c r="I741" s="10" t="s">
        <v>1228</v>
      </c>
      <c r="M741" s="9" t="s">
        <v>194</v>
      </c>
    </row>
    <row r="742">
      <c r="A742" s="7">
        <v>741.0</v>
      </c>
      <c r="B742" s="18" t="s">
        <v>1227</v>
      </c>
      <c r="C742" s="9" t="s">
        <v>61</v>
      </c>
      <c r="D742" s="16"/>
      <c r="E742" s="9" t="s">
        <v>12</v>
      </c>
      <c r="F742" s="16"/>
      <c r="G742" s="9" t="s">
        <v>111</v>
      </c>
      <c r="H742" s="7">
        <v>742.0</v>
      </c>
      <c r="I742" s="10" t="s">
        <v>1229</v>
      </c>
    </row>
    <row r="743">
      <c r="A743" s="7">
        <v>742.0</v>
      </c>
      <c r="B743" s="18" t="s">
        <v>1230</v>
      </c>
      <c r="C743" s="9" t="s">
        <v>10</v>
      </c>
      <c r="D743" s="9" t="s">
        <v>37</v>
      </c>
      <c r="E743" s="9" t="s">
        <v>12</v>
      </c>
      <c r="F743" s="9" t="s">
        <v>50</v>
      </c>
      <c r="G743" s="9" t="s">
        <v>14</v>
      </c>
      <c r="H743" s="7">
        <v>743.0</v>
      </c>
      <c r="I743" s="10" t="s">
        <v>1231</v>
      </c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</row>
    <row r="744">
      <c r="A744" s="7">
        <v>743.0</v>
      </c>
      <c r="B744" s="18" t="s">
        <v>1232</v>
      </c>
      <c r="C744" s="9" t="s">
        <v>10</v>
      </c>
      <c r="D744" s="9" t="s">
        <v>40</v>
      </c>
      <c r="E744" s="9" t="s">
        <v>62</v>
      </c>
      <c r="H744" s="7">
        <v>744.0</v>
      </c>
      <c r="I744" s="10" t="s">
        <v>938</v>
      </c>
    </row>
    <row r="745">
      <c r="A745" s="7">
        <v>744.0</v>
      </c>
      <c r="B745" s="18" t="s">
        <v>1233</v>
      </c>
      <c r="C745" s="9" t="s">
        <v>61</v>
      </c>
      <c r="D745" s="9" t="s">
        <v>220</v>
      </c>
      <c r="E745" s="9" t="s">
        <v>12</v>
      </c>
      <c r="F745" s="16"/>
      <c r="G745" s="9" t="s">
        <v>14</v>
      </c>
      <c r="H745" s="7">
        <v>745.0</v>
      </c>
      <c r="I745" s="10" t="s">
        <v>1234</v>
      </c>
    </row>
    <row r="746">
      <c r="A746" s="7">
        <v>745.0</v>
      </c>
      <c r="B746" s="18" t="s">
        <v>1233</v>
      </c>
      <c r="C746" s="9" t="s">
        <v>10</v>
      </c>
      <c r="D746" s="16"/>
      <c r="E746" s="9" t="s">
        <v>12</v>
      </c>
      <c r="F746" s="16"/>
      <c r="G746" s="9" t="s">
        <v>14</v>
      </c>
      <c r="H746" s="7">
        <v>746.0</v>
      </c>
      <c r="I746" s="10" t="s">
        <v>1235</v>
      </c>
    </row>
    <row r="747">
      <c r="A747" s="7">
        <v>746.0</v>
      </c>
      <c r="B747" s="18" t="s">
        <v>1233</v>
      </c>
      <c r="C747" s="9" t="s">
        <v>57</v>
      </c>
      <c r="D747" s="16"/>
      <c r="E747" s="9" t="s">
        <v>12</v>
      </c>
      <c r="F747" s="16"/>
      <c r="G747" s="9" t="s">
        <v>14</v>
      </c>
      <c r="H747" s="7">
        <v>747.0</v>
      </c>
      <c r="I747" s="10" t="s">
        <v>1235</v>
      </c>
    </row>
    <row r="748">
      <c r="A748" s="7">
        <v>747.0</v>
      </c>
      <c r="B748" s="18" t="s">
        <v>1233</v>
      </c>
      <c r="C748" s="9" t="s">
        <v>61</v>
      </c>
      <c r="D748" s="16"/>
      <c r="E748" s="9" t="s">
        <v>12</v>
      </c>
      <c r="F748" s="16"/>
      <c r="G748" s="9" t="s">
        <v>14</v>
      </c>
      <c r="H748" s="7">
        <v>748.0</v>
      </c>
      <c r="I748" s="10" t="s">
        <v>1236</v>
      </c>
    </row>
    <row r="749">
      <c r="A749" s="7">
        <v>748.0</v>
      </c>
      <c r="B749" s="31" t="s">
        <v>1237</v>
      </c>
      <c r="C749" s="32" t="s">
        <v>61</v>
      </c>
      <c r="D749" s="33"/>
      <c r="E749" s="32" t="s">
        <v>62</v>
      </c>
      <c r="F749" s="33"/>
      <c r="G749" s="33"/>
      <c r="H749" s="7">
        <v>749.0</v>
      </c>
      <c r="I749" s="34" t="s">
        <v>1238</v>
      </c>
      <c r="J749" s="33"/>
      <c r="K749" s="33"/>
      <c r="L749" s="33"/>
      <c r="M749" s="33"/>
    </row>
    <row r="750">
      <c r="A750" s="7">
        <v>749.0</v>
      </c>
      <c r="B750" s="21" t="s">
        <v>1239</v>
      </c>
      <c r="C750" s="9" t="s">
        <v>10</v>
      </c>
      <c r="D750" s="16"/>
      <c r="E750" s="9" t="s">
        <v>62</v>
      </c>
      <c r="H750" s="7">
        <v>750.0</v>
      </c>
    </row>
    <row r="751">
      <c r="A751" s="7">
        <v>750.0</v>
      </c>
      <c r="B751" s="18" t="s">
        <v>1240</v>
      </c>
      <c r="C751" s="9" t="s">
        <v>59</v>
      </c>
      <c r="D751" s="16"/>
      <c r="E751" s="9" t="s">
        <v>12</v>
      </c>
      <c r="F751" s="16"/>
      <c r="G751" s="9" t="s">
        <v>111</v>
      </c>
      <c r="H751" s="7">
        <v>751.0</v>
      </c>
      <c r="I751" s="10" t="s">
        <v>1241</v>
      </c>
    </row>
    <row r="752">
      <c r="A752" s="7">
        <v>751.0</v>
      </c>
      <c r="B752" s="18" t="s">
        <v>1242</v>
      </c>
      <c r="C752" s="9" t="s">
        <v>59</v>
      </c>
      <c r="D752" s="9" t="s">
        <v>220</v>
      </c>
      <c r="E752" s="9" t="s">
        <v>12</v>
      </c>
      <c r="F752" s="16"/>
      <c r="G752" s="9" t="s">
        <v>111</v>
      </c>
      <c r="H752" s="7">
        <v>752.0</v>
      </c>
      <c r="I752" s="10" t="s">
        <v>1243</v>
      </c>
    </row>
    <row r="753">
      <c r="A753" s="7">
        <v>752.0</v>
      </c>
      <c r="B753" s="18" t="s">
        <v>1244</v>
      </c>
      <c r="C753" s="9" t="s">
        <v>59</v>
      </c>
      <c r="D753" s="9" t="s">
        <v>20</v>
      </c>
      <c r="E753" s="9" t="s">
        <v>12</v>
      </c>
      <c r="F753" s="9" t="s">
        <v>50</v>
      </c>
      <c r="G753" s="9" t="s">
        <v>14</v>
      </c>
      <c r="H753" s="7">
        <v>753.0</v>
      </c>
      <c r="I753" s="10" t="s">
        <v>1245</v>
      </c>
    </row>
    <row r="754">
      <c r="A754" s="7">
        <v>753.0</v>
      </c>
      <c r="B754" s="21" t="s">
        <v>1246</v>
      </c>
      <c r="C754" s="9" t="s">
        <v>10</v>
      </c>
      <c r="D754" s="16"/>
      <c r="E754" s="9" t="s">
        <v>62</v>
      </c>
      <c r="H754" s="7">
        <v>754.0</v>
      </c>
      <c r="I754" s="10" t="s">
        <v>253</v>
      </c>
    </row>
    <row r="755">
      <c r="A755" s="7">
        <v>754.0</v>
      </c>
      <c r="B755" s="18" t="s">
        <v>1247</v>
      </c>
      <c r="C755" s="9" t="s">
        <v>10</v>
      </c>
      <c r="D755" s="9" t="s">
        <v>196</v>
      </c>
      <c r="E755" s="9" t="s">
        <v>12</v>
      </c>
      <c r="H755" s="7">
        <v>755.0</v>
      </c>
      <c r="I755" s="10" t="s">
        <v>1248</v>
      </c>
    </row>
    <row r="756">
      <c r="A756" s="7">
        <v>755.0</v>
      </c>
      <c r="B756" s="18" t="s">
        <v>1249</v>
      </c>
      <c r="C756" s="9" t="s">
        <v>61</v>
      </c>
      <c r="D756" s="16"/>
      <c r="E756" s="9" t="s">
        <v>62</v>
      </c>
      <c r="H756" s="7">
        <v>756.0</v>
      </c>
      <c r="I756" s="10" t="s">
        <v>1250</v>
      </c>
    </row>
    <row r="757">
      <c r="A757" s="7">
        <v>756.0</v>
      </c>
      <c r="B757" s="21" t="s">
        <v>1251</v>
      </c>
      <c r="C757" s="9" t="s">
        <v>61</v>
      </c>
      <c r="D757" s="16"/>
      <c r="E757" s="9" t="s">
        <v>62</v>
      </c>
      <c r="F757" s="16"/>
      <c r="G757" s="16"/>
      <c r="H757" s="7">
        <v>757.0</v>
      </c>
      <c r="I757" s="10" t="s">
        <v>1252</v>
      </c>
    </row>
    <row r="758">
      <c r="A758" s="7">
        <v>757.0</v>
      </c>
      <c r="B758" s="21" t="s">
        <v>1253</v>
      </c>
      <c r="C758" s="9" t="s">
        <v>59</v>
      </c>
      <c r="D758" s="16"/>
      <c r="E758" s="9" t="s">
        <v>62</v>
      </c>
      <c r="H758" s="7">
        <v>758.0</v>
      </c>
      <c r="I758" s="10" t="s">
        <v>838</v>
      </c>
    </row>
    <row r="759">
      <c r="A759" s="7">
        <v>758.0</v>
      </c>
      <c r="B759" s="21" t="s">
        <v>1254</v>
      </c>
      <c r="C759" s="9" t="s">
        <v>10</v>
      </c>
      <c r="D759" s="16"/>
      <c r="E759" s="9" t="s">
        <v>62</v>
      </c>
      <c r="H759" s="7">
        <v>759.0</v>
      </c>
      <c r="I759" s="10" t="s">
        <v>1255</v>
      </c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</row>
    <row r="760">
      <c r="A760" s="7">
        <v>759.0</v>
      </c>
      <c r="B760" s="18" t="s">
        <v>1256</v>
      </c>
      <c r="C760" s="9" t="s">
        <v>61</v>
      </c>
      <c r="D760" s="16"/>
      <c r="E760" s="9" t="s">
        <v>62</v>
      </c>
      <c r="H760" s="7">
        <v>760.0</v>
      </c>
      <c r="I760" s="10" t="s">
        <v>1257</v>
      </c>
    </row>
    <row r="761">
      <c r="A761" s="7">
        <v>760.0</v>
      </c>
      <c r="B761" s="18" t="s">
        <v>1256</v>
      </c>
      <c r="C761" s="9" t="s">
        <v>10</v>
      </c>
      <c r="D761" s="16"/>
      <c r="E761" s="9" t="s">
        <v>12</v>
      </c>
      <c r="H761" s="7">
        <v>761.0</v>
      </c>
      <c r="I761" s="10" t="s">
        <v>1258</v>
      </c>
    </row>
    <row r="762">
      <c r="A762" s="7">
        <v>761.0</v>
      </c>
      <c r="B762" s="18" t="s">
        <v>1259</v>
      </c>
      <c r="C762" s="9" t="s">
        <v>10</v>
      </c>
      <c r="D762" s="16"/>
      <c r="E762" s="9" t="s">
        <v>62</v>
      </c>
      <c r="H762" s="7">
        <v>762.0</v>
      </c>
      <c r="I762" s="10" t="s">
        <v>1260</v>
      </c>
    </row>
    <row r="763">
      <c r="A763" s="7">
        <v>762.0</v>
      </c>
      <c r="B763" s="18" t="s">
        <v>1261</v>
      </c>
      <c r="C763" s="9" t="s">
        <v>61</v>
      </c>
      <c r="D763" s="16"/>
      <c r="E763" s="9" t="s">
        <v>62</v>
      </c>
      <c r="H763" s="7">
        <v>763.0</v>
      </c>
      <c r="I763" s="10" t="s">
        <v>1262</v>
      </c>
    </row>
    <row r="764">
      <c r="A764" s="7">
        <v>763.0</v>
      </c>
      <c r="B764" s="18" t="s">
        <v>1263</v>
      </c>
      <c r="C764" s="9" t="s">
        <v>61</v>
      </c>
      <c r="D764" s="16"/>
      <c r="E764" s="9" t="s">
        <v>62</v>
      </c>
      <c r="H764" s="7">
        <v>764.0</v>
      </c>
      <c r="I764" s="10" t="s">
        <v>1264</v>
      </c>
    </row>
    <row r="765">
      <c r="A765" s="7">
        <v>764.0</v>
      </c>
      <c r="B765" s="18" t="s">
        <v>1265</v>
      </c>
      <c r="C765" s="9" t="s">
        <v>61</v>
      </c>
      <c r="D765" s="9" t="s">
        <v>64</v>
      </c>
      <c r="E765" s="9" t="s">
        <v>12</v>
      </c>
      <c r="H765" s="7">
        <v>765.0</v>
      </c>
      <c r="I765" s="10" t="s">
        <v>1266</v>
      </c>
    </row>
    <row r="766">
      <c r="A766" s="7">
        <v>765.0</v>
      </c>
      <c r="B766" s="18" t="s">
        <v>1267</v>
      </c>
      <c r="C766" s="9" t="s">
        <v>10</v>
      </c>
      <c r="D766" s="16"/>
      <c r="E766" s="9" t="s">
        <v>62</v>
      </c>
      <c r="F766" s="16"/>
      <c r="G766" s="16"/>
      <c r="H766" s="7">
        <v>766.0</v>
      </c>
      <c r="I766" s="17" t="s">
        <v>1268</v>
      </c>
    </row>
    <row r="767">
      <c r="A767" s="7">
        <v>766.0</v>
      </c>
      <c r="B767" s="21" t="s">
        <v>1269</v>
      </c>
      <c r="C767" s="9" t="s">
        <v>61</v>
      </c>
      <c r="D767" s="16"/>
      <c r="E767" s="9" t="s">
        <v>62</v>
      </c>
      <c r="H767" s="7">
        <v>767.0</v>
      </c>
      <c r="I767" s="10" t="s">
        <v>1270</v>
      </c>
    </row>
    <row r="768">
      <c r="A768" s="7">
        <v>767.0</v>
      </c>
      <c r="B768" s="21" t="s">
        <v>1271</v>
      </c>
      <c r="C768" s="9" t="s">
        <v>10</v>
      </c>
      <c r="D768" s="16"/>
      <c r="E768" s="9" t="s">
        <v>62</v>
      </c>
      <c r="H768" s="7">
        <v>768.0</v>
      </c>
      <c r="I768" s="10" t="s">
        <v>1270</v>
      </c>
    </row>
    <row r="769">
      <c r="A769" s="7">
        <v>768.0</v>
      </c>
      <c r="B769" s="18" t="s">
        <v>1272</v>
      </c>
      <c r="C769" s="9" t="s">
        <v>10</v>
      </c>
      <c r="D769" s="9" t="s">
        <v>74</v>
      </c>
      <c r="E769" s="9" t="s">
        <v>12</v>
      </c>
      <c r="F769" s="16"/>
      <c r="G769" s="9" t="s">
        <v>14</v>
      </c>
      <c r="H769" s="7">
        <v>769.0</v>
      </c>
      <c r="I769" s="10" t="s">
        <v>1273</v>
      </c>
    </row>
    <row r="770">
      <c r="A770" s="7">
        <v>769.0</v>
      </c>
      <c r="B770" s="18" t="s">
        <v>1272</v>
      </c>
      <c r="C770" s="9" t="s">
        <v>10</v>
      </c>
      <c r="D770" s="9" t="s">
        <v>74</v>
      </c>
      <c r="E770" s="9" t="s">
        <v>12</v>
      </c>
      <c r="F770" s="16"/>
      <c r="G770" s="9" t="s">
        <v>14</v>
      </c>
      <c r="H770" s="7">
        <v>770.0</v>
      </c>
      <c r="I770" s="10" t="s">
        <v>1274</v>
      </c>
    </row>
    <row r="771">
      <c r="A771" s="7">
        <v>770.0</v>
      </c>
      <c r="B771" s="26" t="s">
        <v>1275</v>
      </c>
      <c r="C771" s="27" t="s">
        <v>10</v>
      </c>
      <c r="D771" s="27" t="s">
        <v>74</v>
      </c>
      <c r="E771" s="9" t="s">
        <v>12</v>
      </c>
      <c r="F771" s="20"/>
      <c r="G771" s="9" t="s">
        <v>14</v>
      </c>
      <c r="H771" s="7">
        <v>771.0</v>
      </c>
      <c r="I771" s="38" t="s">
        <v>1276</v>
      </c>
      <c r="J771" s="20"/>
      <c r="K771" s="20"/>
      <c r="L771" s="20"/>
      <c r="M771" s="20"/>
    </row>
    <row r="772">
      <c r="A772" s="7">
        <v>771.0</v>
      </c>
      <c r="B772" s="18" t="s">
        <v>1277</v>
      </c>
      <c r="C772" s="9" t="s">
        <v>59</v>
      </c>
      <c r="D772" s="16"/>
      <c r="E772" s="9" t="s">
        <v>12</v>
      </c>
      <c r="F772" s="16"/>
      <c r="G772" s="9" t="s">
        <v>14</v>
      </c>
      <c r="H772" s="7">
        <v>772.0</v>
      </c>
      <c r="I772" s="10" t="s">
        <v>1278</v>
      </c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>
      <c r="A773" s="7">
        <v>772.0</v>
      </c>
      <c r="B773" s="18" t="s">
        <v>1277</v>
      </c>
      <c r="C773" s="9" t="s">
        <v>57</v>
      </c>
      <c r="D773" s="16"/>
      <c r="E773" s="9" t="s">
        <v>12</v>
      </c>
      <c r="F773" s="16"/>
      <c r="G773" s="9" t="s">
        <v>14</v>
      </c>
      <c r="H773" s="7">
        <v>773.0</v>
      </c>
      <c r="I773" s="10" t="s">
        <v>1278</v>
      </c>
    </row>
    <row r="774">
      <c r="A774" s="7">
        <v>773.0</v>
      </c>
      <c r="B774" s="18" t="s">
        <v>1277</v>
      </c>
      <c r="C774" s="9" t="s">
        <v>10</v>
      </c>
      <c r="D774" s="16"/>
      <c r="E774" s="9" t="s">
        <v>12</v>
      </c>
      <c r="F774" s="16"/>
      <c r="G774" s="9" t="s">
        <v>14</v>
      </c>
      <c r="H774" s="7">
        <v>774.0</v>
      </c>
      <c r="I774" s="10" t="s">
        <v>1278</v>
      </c>
    </row>
    <row r="775">
      <c r="A775" s="7">
        <v>774.0</v>
      </c>
      <c r="B775" s="18" t="s">
        <v>1279</v>
      </c>
      <c r="C775" s="9" t="s">
        <v>10</v>
      </c>
      <c r="D775" s="16"/>
      <c r="E775" s="9" t="s">
        <v>12</v>
      </c>
      <c r="F775" s="16"/>
      <c r="G775" s="9" t="s">
        <v>111</v>
      </c>
      <c r="H775" s="7">
        <v>775.0</v>
      </c>
      <c r="I775" s="10" t="s">
        <v>1280</v>
      </c>
    </row>
    <row r="776">
      <c r="A776" s="7">
        <v>775.0</v>
      </c>
      <c r="B776" s="18" t="s">
        <v>1281</v>
      </c>
      <c r="C776" s="9" t="s">
        <v>10</v>
      </c>
      <c r="D776" s="16"/>
      <c r="E776" s="9" t="s">
        <v>12</v>
      </c>
      <c r="F776" s="16"/>
      <c r="G776" s="9" t="s">
        <v>224</v>
      </c>
      <c r="H776" s="7">
        <v>776.0</v>
      </c>
      <c r="I776" s="10" t="s">
        <v>1282</v>
      </c>
    </row>
    <row r="777">
      <c r="A777" s="7">
        <v>776.0</v>
      </c>
      <c r="B777" s="18" t="s">
        <v>1283</v>
      </c>
      <c r="C777" s="9" t="s">
        <v>10</v>
      </c>
      <c r="D777" s="9" t="s">
        <v>196</v>
      </c>
      <c r="E777" s="9" t="s">
        <v>12</v>
      </c>
      <c r="H777" s="7">
        <v>777.0</v>
      </c>
      <c r="I777" s="10" t="s">
        <v>1284</v>
      </c>
    </row>
    <row r="778">
      <c r="A778" s="7">
        <v>777.0</v>
      </c>
      <c r="B778" s="18" t="s">
        <v>1285</v>
      </c>
      <c r="C778" s="9" t="s">
        <v>59</v>
      </c>
      <c r="D778" s="9" t="s">
        <v>220</v>
      </c>
      <c r="E778" s="9" t="s">
        <v>12</v>
      </c>
      <c r="F778" s="16"/>
      <c r="G778" s="9" t="s">
        <v>111</v>
      </c>
      <c r="H778" s="7">
        <v>778.0</v>
      </c>
      <c r="I778" s="10" t="s">
        <v>1286</v>
      </c>
    </row>
    <row r="779">
      <c r="A779" s="7">
        <v>778.0</v>
      </c>
      <c r="B779" s="18" t="s">
        <v>1285</v>
      </c>
      <c r="C779" s="9" t="s">
        <v>53</v>
      </c>
      <c r="D779" s="16"/>
      <c r="E779" s="9" t="s">
        <v>12</v>
      </c>
      <c r="F779" s="16"/>
      <c r="G779" s="9" t="s">
        <v>111</v>
      </c>
      <c r="H779" s="7">
        <v>779.0</v>
      </c>
      <c r="I779" s="10" t="s">
        <v>1287</v>
      </c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>
      <c r="A780" s="7">
        <v>779.0</v>
      </c>
      <c r="B780" s="18" t="s">
        <v>1285</v>
      </c>
      <c r="C780" s="9" t="s">
        <v>57</v>
      </c>
      <c r="D780" s="16"/>
      <c r="E780" s="9" t="s">
        <v>12</v>
      </c>
      <c r="F780" s="16"/>
      <c r="G780" s="9" t="s">
        <v>111</v>
      </c>
      <c r="H780" s="7">
        <v>780.0</v>
      </c>
      <c r="I780" s="10" t="s">
        <v>1286</v>
      </c>
    </row>
    <row r="781">
      <c r="A781" s="7">
        <v>780.0</v>
      </c>
      <c r="B781" s="18" t="s">
        <v>1285</v>
      </c>
      <c r="C781" s="9" t="s">
        <v>10</v>
      </c>
      <c r="D781" s="16"/>
      <c r="E781" s="9" t="s">
        <v>12</v>
      </c>
      <c r="F781" s="16"/>
      <c r="G781" s="9" t="s">
        <v>111</v>
      </c>
      <c r="H781" s="7">
        <v>781.0</v>
      </c>
      <c r="I781" s="10" t="s">
        <v>1286</v>
      </c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>
      <c r="A782" s="7">
        <v>781.0</v>
      </c>
      <c r="B782" s="18" t="s">
        <v>1285</v>
      </c>
      <c r="C782" s="9" t="s">
        <v>61</v>
      </c>
      <c r="D782" s="16"/>
      <c r="E782" s="9" t="s">
        <v>12</v>
      </c>
      <c r="F782" s="16"/>
      <c r="G782" s="9" t="s">
        <v>111</v>
      </c>
      <c r="H782" s="7">
        <v>782.0</v>
      </c>
      <c r="I782" s="10" t="s">
        <v>1286</v>
      </c>
    </row>
    <row r="783">
      <c r="A783" s="7">
        <v>782.0</v>
      </c>
      <c r="B783" s="18" t="s">
        <v>1288</v>
      </c>
      <c r="C783" s="9" t="s">
        <v>10</v>
      </c>
      <c r="D783" s="9" t="s">
        <v>700</v>
      </c>
      <c r="E783" s="9" t="s">
        <v>12</v>
      </c>
      <c r="F783" s="16"/>
      <c r="G783" s="9" t="s">
        <v>111</v>
      </c>
      <c r="H783" s="7">
        <v>783.0</v>
      </c>
      <c r="I783" s="10" t="s">
        <v>1289</v>
      </c>
    </row>
    <row r="784">
      <c r="A784" s="7">
        <v>783.0</v>
      </c>
      <c r="B784" s="18" t="s">
        <v>1288</v>
      </c>
      <c r="C784" s="9" t="s">
        <v>61</v>
      </c>
      <c r="D784" s="16"/>
      <c r="E784" s="9" t="s">
        <v>12</v>
      </c>
      <c r="F784" s="16"/>
      <c r="G784" s="9" t="s">
        <v>111</v>
      </c>
      <c r="H784" s="7">
        <v>784.0</v>
      </c>
      <c r="I784" s="10" t="s">
        <v>1290</v>
      </c>
    </row>
    <row r="785">
      <c r="A785" s="7">
        <v>784.0</v>
      </c>
      <c r="B785" s="18" t="s">
        <v>1291</v>
      </c>
      <c r="C785" s="9" t="s">
        <v>59</v>
      </c>
      <c r="D785" s="9" t="s">
        <v>23</v>
      </c>
      <c r="E785" s="9" t="s">
        <v>12</v>
      </c>
      <c r="F785" s="9" t="s">
        <v>50</v>
      </c>
      <c r="G785" s="9" t="s">
        <v>14</v>
      </c>
      <c r="H785" s="7">
        <v>785.0</v>
      </c>
      <c r="I785" s="10" t="s">
        <v>1292</v>
      </c>
    </row>
    <row r="786">
      <c r="A786" s="7">
        <v>785.0</v>
      </c>
      <c r="B786" s="18" t="s">
        <v>1293</v>
      </c>
      <c r="C786" s="9" t="s">
        <v>59</v>
      </c>
      <c r="D786" s="9" t="s">
        <v>64</v>
      </c>
      <c r="E786" s="9" t="s">
        <v>12</v>
      </c>
      <c r="H786" s="7">
        <v>786.0</v>
      </c>
      <c r="I786" s="10" t="s">
        <v>1294</v>
      </c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>
      <c r="A787" s="7">
        <v>786.0</v>
      </c>
      <c r="B787" s="18" t="s">
        <v>1295</v>
      </c>
      <c r="C787" s="9" t="s">
        <v>10</v>
      </c>
      <c r="D787" s="16"/>
      <c r="E787" s="9" t="s">
        <v>12</v>
      </c>
      <c r="F787" s="16"/>
      <c r="G787" s="9" t="s">
        <v>14</v>
      </c>
      <c r="H787" s="7">
        <v>787.0</v>
      </c>
      <c r="I787" s="10" t="s">
        <v>1296</v>
      </c>
    </row>
    <row r="788">
      <c r="A788" s="7">
        <v>787.0</v>
      </c>
      <c r="B788" s="18" t="s">
        <v>1297</v>
      </c>
      <c r="C788" s="9" t="s">
        <v>59</v>
      </c>
      <c r="D788" s="9" t="s">
        <v>74</v>
      </c>
      <c r="E788" s="9" t="s">
        <v>12</v>
      </c>
      <c r="F788" s="16"/>
      <c r="G788" s="9" t="s">
        <v>14</v>
      </c>
      <c r="H788" s="7">
        <v>788.0</v>
      </c>
      <c r="I788" s="10" t="s">
        <v>1298</v>
      </c>
    </row>
    <row r="789">
      <c r="A789" s="7">
        <v>788.0</v>
      </c>
      <c r="B789" s="18" t="s">
        <v>1299</v>
      </c>
      <c r="C789" s="9" t="s">
        <v>10</v>
      </c>
      <c r="D789" s="9" t="s">
        <v>196</v>
      </c>
      <c r="E789" s="9" t="s">
        <v>12</v>
      </c>
      <c r="H789" s="7">
        <v>789.0</v>
      </c>
      <c r="I789" s="10" t="s">
        <v>1300</v>
      </c>
    </row>
    <row r="790">
      <c r="A790" s="7">
        <v>789.0</v>
      </c>
      <c r="B790" s="15" t="s">
        <v>1301</v>
      </c>
      <c r="C790" s="9" t="s">
        <v>10</v>
      </c>
      <c r="D790" s="9" t="s">
        <v>667</v>
      </c>
      <c r="E790" s="9" t="s">
        <v>12</v>
      </c>
      <c r="F790" s="16"/>
      <c r="G790" s="9" t="s">
        <v>14</v>
      </c>
      <c r="H790" s="7">
        <v>790.0</v>
      </c>
      <c r="I790" s="10" t="s">
        <v>1302</v>
      </c>
    </row>
    <row r="791">
      <c r="A791" s="7">
        <v>790.0</v>
      </c>
      <c r="B791" s="21" t="s">
        <v>1303</v>
      </c>
      <c r="C791" s="9" t="s">
        <v>61</v>
      </c>
      <c r="D791" s="16"/>
      <c r="E791" s="9" t="s">
        <v>62</v>
      </c>
      <c r="H791" s="7">
        <v>791.0</v>
      </c>
      <c r="I791" s="10" t="s">
        <v>1304</v>
      </c>
    </row>
    <row r="792">
      <c r="A792" s="7">
        <v>791.0</v>
      </c>
      <c r="B792" s="18" t="s">
        <v>1305</v>
      </c>
      <c r="C792" s="9" t="s">
        <v>59</v>
      </c>
      <c r="D792" s="9" t="s">
        <v>23</v>
      </c>
      <c r="E792" s="9" t="s">
        <v>12</v>
      </c>
      <c r="F792" s="9" t="s">
        <v>50</v>
      </c>
      <c r="G792" s="9" t="s">
        <v>14</v>
      </c>
      <c r="H792" s="7">
        <v>792.0</v>
      </c>
      <c r="I792" s="10" t="s">
        <v>1306</v>
      </c>
    </row>
    <row r="793">
      <c r="A793" s="7">
        <v>792.0</v>
      </c>
      <c r="B793" s="18" t="s">
        <v>1307</v>
      </c>
      <c r="C793" s="9" t="s">
        <v>10</v>
      </c>
      <c r="D793" s="9" t="s">
        <v>196</v>
      </c>
      <c r="E793" s="9" t="s">
        <v>12</v>
      </c>
      <c r="H793" s="7">
        <v>793.0</v>
      </c>
      <c r="I793" s="10" t="s">
        <v>1308</v>
      </c>
    </row>
    <row r="794">
      <c r="A794" s="7">
        <v>793.0</v>
      </c>
      <c r="B794" s="18" t="s">
        <v>1309</v>
      </c>
      <c r="C794" s="9" t="s">
        <v>59</v>
      </c>
      <c r="D794" s="16"/>
      <c r="E794" s="9" t="s">
        <v>62</v>
      </c>
      <c r="F794" s="16"/>
      <c r="G794" s="16"/>
      <c r="H794" s="7">
        <v>794.0</v>
      </c>
      <c r="I794" s="10" t="s">
        <v>1310</v>
      </c>
    </row>
    <row r="795">
      <c r="A795" s="7">
        <v>794.0</v>
      </c>
      <c r="B795" s="18" t="s">
        <v>1311</v>
      </c>
      <c r="C795" s="9" t="s">
        <v>10</v>
      </c>
      <c r="D795" s="9" t="s">
        <v>26</v>
      </c>
      <c r="E795" s="9" t="s">
        <v>12</v>
      </c>
      <c r="F795" s="16"/>
      <c r="G795" s="9" t="s">
        <v>14</v>
      </c>
      <c r="H795" s="7">
        <v>795.0</v>
      </c>
      <c r="I795" s="10" t="s">
        <v>1312</v>
      </c>
    </row>
    <row r="796">
      <c r="A796" s="7">
        <v>795.0</v>
      </c>
      <c r="B796" s="45" t="s">
        <v>1313</v>
      </c>
      <c r="C796" s="29" t="s">
        <v>10</v>
      </c>
      <c r="D796" s="30"/>
      <c r="E796" s="29" t="s">
        <v>62</v>
      </c>
      <c r="F796" s="30"/>
      <c r="G796" s="30"/>
      <c r="H796" s="7">
        <v>796.0</v>
      </c>
      <c r="I796" s="46" t="s">
        <v>1314</v>
      </c>
      <c r="J796" s="30"/>
      <c r="K796" s="30"/>
      <c r="L796" s="30"/>
      <c r="M796" s="30"/>
    </row>
    <row r="797">
      <c r="A797" s="7">
        <v>796.0</v>
      </c>
      <c r="B797" s="47" t="s">
        <v>1313</v>
      </c>
      <c r="C797" s="32" t="s">
        <v>61</v>
      </c>
      <c r="D797" s="33"/>
      <c r="E797" s="32" t="s">
        <v>62</v>
      </c>
      <c r="F797" s="33"/>
      <c r="G797" s="33"/>
      <c r="H797" s="7">
        <v>797.0</v>
      </c>
      <c r="I797" s="34" t="s">
        <v>702</v>
      </c>
      <c r="J797" s="33"/>
      <c r="K797" s="33"/>
      <c r="L797" s="33"/>
      <c r="M797" s="33"/>
    </row>
    <row r="798">
      <c r="A798" s="7">
        <v>797.0</v>
      </c>
      <c r="B798" s="18" t="s">
        <v>1315</v>
      </c>
      <c r="C798" s="9" t="s">
        <v>61</v>
      </c>
      <c r="D798" s="16"/>
      <c r="E798" s="9" t="s">
        <v>62</v>
      </c>
      <c r="F798" s="16"/>
      <c r="G798" s="16"/>
      <c r="H798" s="7">
        <v>798.0</v>
      </c>
      <c r="I798" s="10" t="s">
        <v>1316</v>
      </c>
    </row>
    <row r="799">
      <c r="A799" s="7">
        <v>798.0</v>
      </c>
      <c r="B799" s="18" t="s">
        <v>1317</v>
      </c>
      <c r="C799" s="9" t="s">
        <v>61</v>
      </c>
      <c r="D799" s="16"/>
      <c r="E799" s="9" t="s">
        <v>62</v>
      </c>
      <c r="F799" s="16"/>
      <c r="G799" s="16"/>
      <c r="H799" s="7">
        <v>799.0</v>
      </c>
      <c r="I799" s="10" t="s">
        <v>1318</v>
      </c>
    </row>
    <row r="800">
      <c r="A800" s="7">
        <v>799.0</v>
      </c>
      <c r="B800" s="18" t="s">
        <v>1319</v>
      </c>
      <c r="C800" s="9" t="s">
        <v>10</v>
      </c>
      <c r="D800" s="9" t="s">
        <v>11</v>
      </c>
      <c r="E800" s="9" t="s">
        <v>12</v>
      </c>
      <c r="F800" s="16"/>
      <c r="G800" s="9" t="s">
        <v>14</v>
      </c>
      <c r="H800" s="7">
        <v>800.0</v>
      </c>
      <c r="I800" s="10" t="s">
        <v>1320</v>
      </c>
    </row>
    <row r="801">
      <c r="A801" s="7">
        <v>800.0</v>
      </c>
      <c r="B801" s="18" t="s">
        <v>1321</v>
      </c>
      <c r="C801" s="9" t="s">
        <v>61</v>
      </c>
      <c r="D801" s="9" t="s">
        <v>220</v>
      </c>
      <c r="E801" s="9" t="s">
        <v>12</v>
      </c>
      <c r="F801" s="16"/>
      <c r="G801" s="9" t="s">
        <v>14</v>
      </c>
      <c r="H801" s="7">
        <v>801.0</v>
      </c>
      <c r="I801" s="10" t="s">
        <v>1322</v>
      </c>
    </row>
    <row r="802">
      <c r="A802" s="7">
        <v>801.0</v>
      </c>
      <c r="B802" s="18" t="s">
        <v>1321</v>
      </c>
      <c r="C802" s="9" t="s">
        <v>10</v>
      </c>
      <c r="D802" s="16"/>
      <c r="E802" s="9" t="s">
        <v>12</v>
      </c>
      <c r="F802" s="16"/>
      <c r="G802" s="9" t="s">
        <v>14</v>
      </c>
      <c r="H802" s="7">
        <v>802.0</v>
      </c>
      <c r="I802" s="10" t="s">
        <v>1323</v>
      </c>
      <c r="J802" s="9" t="s">
        <v>194</v>
      </c>
    </row>
    <row r="803">
      <c r="A803" s="7">
        <v>802.0</v>
      </c>
      <c r="B803" s="18" t="s">
        <v>1324</v>
      </c>
      <c r="C803" s="9" t="s">
        <v>61</v>
      </c>
      <c r="D803" s="16"/>
      <c r="E803" s="9" t="s">
        <v>12</v>
      </c>
      <c r="H803" s="7">
        <v>803.0</v>
      </c>
      <c r="I803" s="10" t="s">
        <v>1325</v>
      </c>
    </row>
    <row r="804">
      <c r="A804" s="7">
        <v>803.0</v>
      </c>
      <c r="B804" s="18" t="s">
        <v>1326</v>
      </c>
      <c r="C804" s="9" t="s">
        <v>10</v>
      </c>
      <c r="D804" s="9" t="s">
        <v>40</v>
      </c>
      <c r="E804" s="9" t="s">
        <v>62</v>
      </c>
      <c r="F804" s="16"/>
      <c r="H804" s="7">
        <v>804.0</v>
      </c>
      <c r="I804" s="10" t="s">
        <v>1327</v>
      </c>
    </row>
    <row r="805">
      <c r="A805" s="7">
        <v>804.0</v>
      </c>
      <c r="B805" s="18" t="s">
        <v>1328</v>
      </c>
      <c r="C805" s="9" t="s">
        <v>61</v>
      </c>
      <c r="D805" s="16"/>
      <c r="E805" s="9" t="s">
        <v>62</v>
      </c>
      <c r="H805" s="7">
        <v>805.0</v>
      </c>
      <c r="I805" s="10" t="s">
        <v>1329</v>
      </c>
    </row>
    <row r="806">
      <c r="A806" s="7">
        <v>805.0</v>
      </c>
      <c r="B806" s="18" t="s">
        <v>1330</v>
      </c>
      <c r="C806" s="9" t="s">
        <v>59</v>
      </c>
      <c r="D806" s="16"/>
      <c r="E806" s="9" t="s">
        <v>12</v>
      </c>
      <c r="F806" s="16"/>
      <c r="G806" s="9" t="s">
        <v>14</v>
      </c>
      <c r="H806" s="7">
        <v>806.0</v>
      </c>
      <c r="I806" s="10" t="s">
        <v>1331</v>
      </c>
    </row>
    <row r="807">
      <c r="A807" s="7">
        <v>806.0</v>
      </c>
      <c r="B807" s="18" t="s">
        <v>1330</v>
      </c>
      <c r="C807" s="9" t="s">
        <v>10</v>
      </c>
      <c r="D807" s="16"/>
      <c r="E807" s="9" t="s">
        <v>12</v>
      </c>
      <c r="F807" s="16"/>
      <c r="G807" s="9" t="s">
        <v>14</v>
      </c>
      <c r="H807" s="7">
        <v>807.0</v>
      </c>
      <c r="I807" s="10" t="s">
        <v>565</v>
      </c>
    </row>
    <row r="808">
      <c r="A808" s="7">
        <v>807.0</v>
      </c>
      <c r="B808" s="18" t="s">
        <v>1332</v>
      </c>
      <c r="C808" s="9" t="s">
        <v>10</v>
      </c>
      <c r="D808" s="16"/>
      <c r="E808" s="9" t="s">
        <v>62</v>
      </c>
      <c r="H808" s="7">
        <v>808.0</v>
      </c>
      <c r="I808" s="10" t="s">
        <v>1333</v>
      </c>
    </row>
    <row r="809">
      <c r="A809" s="7">
        <v>808.0</v>
      </c>
      <c r="B809" s="18" t="s">
        <v>1334</v>
      </c>
      <c r="C809" s="9" t="s">
        <v>10</v>
      </c>
      <c r="D809" s="16"/>
      <c r="E809" s="9" t="s">
        <v>62</v>
      </c>
      <c r="F809" s="16"/>
      <c r="G809" s="16"/>
      <c r="H809" s="7">
        <v>809.0</v>
      </c>
      <c r="I809" s="10" t="s">
        <v>1335</v>
      </c>
    </row>
    <row r="810">
      <c r="A810" s="7">
        <v>809.0</v>
      </c>
      <c r="B810" s="15" t="s">
        <v>1336</v>
      </c>
      <c r="C810" s="9" t="s">
        <v>10</v>
      </c>
      <c r="D810" s="9" t="s">
        <v>149</v>
      </c>
      <c r="E810" s="9" t="s">
        <v>12</v>
      </c>
      <c r="F810" s="16"/>
      <c r="G810" s="9" t="s">
        <v>111</v>
      </c>
      <c r="H810" s="7">
        <v>810.0</v>
      </c>
      <c r="I810" s="10" t="s">
        <v>1337</v>
      </c>
    </row>
    <row r="811">
      <c r="A811" s="7">
        <v>810.0</v>
      </c>
      <c r="B811" s="21" t="s">
        <v>1338</v>
      </c>
      <c r="C811" s="9" t="s">
        <v>10</v>
      </c>
      <c r="D811" s="16"/>
      <c r="E811" s="9" t="s">
        <v>62</v>
      </c>
      <c r="F811" s="16"/>
      <c r="G811" s="16"/>
      <c r="H811" s="7">
        <v>811.0</v>
      </c>
      <c r="I811" s="10" t="s">
        <v>1339</v>
      </c>
    </row>
    <row r="812">
      <c r="A812" s="7">
        <v>811.0</v>
      </c>
      <c r="B812" s="18" t="s">
        <v>1340</v>
      </c>
      <c r="C812" s="22" t="s">
        <v>59</v>
      </c>
      <c r="D812" s="16"/>
      <c r="E812" s="9" t="s">
        <v>12</v>
      </c>
      <c r="F812" s="16"/>
      <c r="G812" s="9" t="s">
        <v>111</v>
      </c>
      <c r="H812" s="7">
        <v>812.0</v>
      </c>
      <c r="I812" s="10" t="s">
        <v>1341</v>
      </c>
    </row>
    <row r="813">
      <c r="A813" s="7">
        <v>812.0</v>
      </c>
      <c r="B813" s="18" t="s">
        <v>1340</v>
      </c>
      <c r="C813" s="9" t="s">
        <v>61</v>
      </c>
      <c r="D813" s="16"/>
      <c r="E813" s="9" t="s">
        <v>12</v>
      </c>
      <c r="F813" s="16"/>
      <c r="G813" s="9" t="s">
        <v>111</v>
      </c>
      <c r="H813" s="7">
        <v>813.0</v>
      </c>
      <c r="I813" s="10" t="s">
        <v>1341</v>
      </c>
    </row>
    <row r="814">
      <c r="A814" s="7">
        <v>813.0</v>
      </c>
      <c r="B814" s="18" t="s">
        <v>1340</v>
      </c>
      <c r="C814" s="9" t="s">
        <v>10</v>
      </c>
      <c r="D814" s="16"/>
      <c r="E814" s="9" t="s">
        <v>12</v>
      </c>
      <c r="F814" s="16"/>
      <c r="G814" s="9" t="s">
        <v>111</v>
      </c>
      <c r="H814" s="7">
        <v>814.0</v>
      </c>
      <c r="I814" s="10" t="s">
        <v>1342</v>
      </c>
    </row>
    <row r="815">
      <c r="A815" s="7">
        <v>814.0</v>
      </c>
      <c r="B815" s="18" t="s">
        <v>1343</v>
      </c>
      <c r="C815" s="9" t="s">
        <v>61</v>
      </c>
      <c r="D815" s="9" t="s">
        <v>196</v>
      </c>
      <c r="E815" s="9" t="s">
        <v>62</v>
      </c>
      <c r="H815" s="7">
        <v>815.0</v>
      </c>
      <c r="I815" s="10" t="s">
        <v>1344</v>
      </c>
    </row>
    <row r="816">
      <c r="A816" s="7">
        <v>815.0</v>
      </c>
      <c r="B816" s="18" t="s">
        <v>1345</v>
      </c>
      <c r="C816" s="9" t="s">
        <v>61</v>
      </c>
      <c r="D816" s="16"/>
      <c r="E816" s="9" t="s">
        <v>12</v>
      </c>
      <c r="F816" s="16"/>
      <c r="G816" s="9" t="s">
        <v>111</v>
      </c>
      <c r="H816" s="7">
        <v>816.0</v>
      </c>
      <c r="I816" s="10" t="s">
        <v>1346</v>
      </c>
    </row>
    <row r="817">
      <c r="A817" s="7">
        <v>816.0</v>
      </c>
      <c r="B817" s="18" t="s">
        <v>1347</v>
      </c>
      <c r="C817" s="9" t="s">
        <v>10</v>
      </c>
      <c r="D817" s="9" t="s">
        <v>37</v>
      </c>
      <c r="E817" s="9" t="s">
        <v>12</v>
      </c>
      <c r="F817" s="9" t="s">
        <v>50</v>
      </c>
      <c r="G817" s="9" t="s">
        <v>372</v>
      </c>
      <c r="H817" s="7">
        <v>817.0</v>
      </c>
      <c r="I817" s="10" t="s">
        <v>1348</v>
      </c>
    </row>
    <row r="818">
      <c r="A818" s="7">
        <v>817.0</v>
      </c>
      <c r="B818" s="18" t="s">
        <v>1349</v>
      </c>
      <c r="C818" s="9" t="s">
        <v>759</v>
      </c>
      <c r="D818" s="16"/>
      <c r="E818" s="9" t="s">
        <v>12</v>
      </c>
      <c r="F818" s="16"/>
      <c r="G818" s="9" t="s">
        <v>14</v>
      </c>
      <c r="H818" s="7">
        <v>818.0</v>
      </c>
      <c r="I818" s="10" t="s">
        <v>1350</v>
      </c>
    </row>
    <row r="819">
      <c r="A819" s="7">
        <v>818.0</v>
      </c>
      <c r="B819" s="18" t="s">
        <v>1351</v>
      </c>
      <c r="C819" s="9" t="s">
        <v>10</v>
      </c>
      <c r="D819" s="9" t="s">
        <v>196</v>
      </c>
      <c r="E819" s="9" t="s">
        <v>12</v>
      </c>
      <c r="H819" s="7">
        <v>819.0</v>
      </c>
      <c r="I819" s="10" t="s">
        <v>1352</v>
      </c>
    </row>
    <row r="820">
      <c r="A820" s="7">
        <v>819.0</v>
      </c>
      <c r="B820" s="18" t="s">
        <v>1353</v>
      </c>
      <c r="C820" s="9" t="s">
        <v>10</v>
      </c>
      <c r="D820" s="9" t="s">
        <v>196</v>
      </c>
      <c r="E820" s="9" t="s">
        <v>12</v>
      </c>
      <c r="H820" s="7">
        <v>820.0</v>
      </c>
      <c r="I820" s="10" t="s">
        <v>1354</v>
      </c>
    </row>
    <row r="821">
      <c r="A821" s="7">
        <v>820.0</v>
      </c>
      <c r="B821" s="18" t="s">
        <v>1355</v>
      </c>
      <c r="C821" s="9" t="s">
        <v>61</v>
      </c>
      <c r="D821" s="9" t="s">
        <v>220</v>
      </c>
      <c r="E821" s="9" t="s">
        <v>12</v>
      </c>
      <c r="F821" s="16"/>
      <c r="G821" s="9" t="s">
        <v>224</v>
      </c>
      <c r="H821" s="7">
        <v>821.0</v>
      </c>
      <c r="I821" s="10" t="s">
        <v>1356</v>
      </c>
    </row>
    <row r="822">
      <c r="A822" s="7">
        <v>821.0</v>
      </c>
      <c r="B822" s="18" t="s">
        <v>1357</v>
      </c>
      <c r="C822" s="9" t="s">
        <v>59</v>
      </c>
      <c r="D822" s="9" t="s">
        <v>220</v>
      </c>
      <c r="E822" s="9" t="s">
        <v>12</v>
      </c>
      <c r="F822" s="16"/>
      <c r="G822" s="9" t="s">
        <v>111</v>
      </c>
      <c r="H822" s="7">
        <v>822.0</v>
      </c>
      <c r="I822" s="10" t="s">
        <v>1358</v>
      </c>
    </row>
    <row r="823">
      <c r="A823" s="7">
        <v>822.0</v>
      </c>
      <c r="B823" s="18" t="s">
        <v>1359</v>
      </c>
      <c r="C823" s="9" t="s">
        <v>10</v>
      </c>
      <c r="D823" s="9" t="s">
        <v>196</v>
      </c>
      <c r="E823" s="9" t="s">
        <v>12</v>
      </c>
      <c r="H823" s="7">
        <v>823.0</v>
      </c>
      <c r="I823" s="10" t="s">
        <v>1360</v>
      </c>
    </row>
    <row r="824">
      <c r="A824" s="7">
        <v>823.0</v>
      </c>
      <c r="B824" s="15" t="s">
        <v>1361</v>
      </c>
      <c r="C824" s="9" t="s">
        <v>10</v>
      </c>
      <c r="D824" s="9" t="s">
        <v>132</v>
      </c>
      <c r="E824" s="9" t="s">
        <v>12</v>
      </c>
      <c r="F824" s="16"/>
      <c r="G824" s="9" t="s">
        <v>111</v>
      </c>
      <c r="H824" s="7">
        <v>824.0</v>
      </c>
      <c r="I824" s="10" t="s">
        <v>1362</v>
      </c>
    </row>
    <row r="825">
      <c r="A825" s="7">
        <v>824.0</v>
      </c>
      <c r="B825" s="18" t="s">
        <v>1363</v>
      </c>
      <c r="C825" s="9" t="s">
        <v>59</v>
      </c>
      <c r="D825" s="16"/>
      <c r="E825" s="9" t="s">
        <v>62</v>
      </c>
      <c r="F825" s="16"/>
      <c r="G825" s="16"/>
      <c r="H825" s="7">
        <v>825.0</v>
      </c>
      <c r="I825" s="10" t="s">
        <v>1364</v>
      </c>
    </row>
    <row r="826">
      <c r="A826" s="7">
        <v>825.0</v>
      </c>
      <c r="B826" s="18" t="s">
        <v>1365</v>
      </c>
      <c r="C826" s="9" t="s">
        <v>59</v>
      </c>
      <c r="D826" s="9" t="s">
        <v>220</v>
      </c>
      <c r="E826" s="9" t="s">
        <v>12</v>
      </c>
      <c r="F826" s="9" t="s">
        <v>50</v>
      </c>
      <c r="G826" s="9" t="s">
        <v>111</v>
      </c>
      <c r="H826" s="7">
        <v>826.0</v>
      </c>
      <c r="I826" s="10" t="s">
        <v>1366</v>
      </c>
    </row>
    <row r="827">
      <c r="A827" s="7">
        <v>826.0</v>
      </c>
      <c r="B827" s="18" t="s">
        <v>1367</v>
      </c>
      <c r="C827" s="9" t="s">
        <v>59</v>
      </c>
      <c r="D827" s="16"/>
      <c r="E827" s="9" t="s">
        <v>62</v>
      </c>
      <c r="F827" s="16"/>
      <c r="G827" s="16"/>
      <c r="H827" s="7">
        <v>827.0</v>
      </c>
      <c r="I827" s="10" t="s">
        <v>1368</v>
      </c>
    </row>
    <row r="828">
      <c r="A828" s="7">
        <v>827.0</v>
      </c>
      <c r="B828" s="21" t="s">
        <v>1369</v>
      </c>
      <c r="C828" s="9" t="s">
        <v>10</v>
      </c>
      <c r="D828" s="16"/>
      <c r="E828" s="9" t="s">
        <v>62</v>
      </c>
      <c r="F828" s="16"/>
      <c r="G828" s="16"/>
      <c r="H828" s="7">
        <v>828.0</v>
      </c>
      <c r="I828" s="10" t="s">
        <v>1370</v>
      </c>
    </row>
    <row r="829">
      <c r="A829" s="7">
        <v>828.0</v>
      </c>
      <c r="B829" s="18" t="s">
        <v>1371</v>
      </c>
      <c r="C829" s="9" t="s">
        <v>61</v>
      </c>
      <c r="D829" s="9" t="s">
        <v>220</v>
      </c>
      <c r="E829" s="9" t="s">
        <v>12</v>
      </c>
      <c r="F829" s="16"/>
      <c r="G829" s="9" t="s">
        <v>14</v>
      </c>
      <c r="H829" s="7">
        <v>829.0</v>
      </c>
      <c r="I829" s="10" t="s">
        <v>1372</v>
      </c>
    </row>
    <row r="830">
      <c r="A830" s="7">
        <v>829.0</v>
      </c>
      <c r="B830" s="18" t="s">
        <v>1371</v>
      </c>
      <c r="C830" s="9" t="s">
        <v>10</v>
      </c>
      <c r="D830" s="16"/>
      <c r="E830" s="9" t="s">
        <v>12</v>
      </c>
      <c r="F830" s="16"/>
      <c r="G830" s="9" t="s">
        <v>14</v>
      </c>
      <c r="H830" s="7">
        <v>830.0</v>
      </c>
      <c r="I830" s="10" t="s">
        <v>1373</v>
      </c>
    </row>
    <row r="831">
      <c r="A831" s="7">
        <v>830.0</v>
      </c>
      <c r="B831" s="35" t="s">
        <v>1374</v>
      </c>
      <c r="C831" s="9" t="s">
        <v>10</v>
      </c>
      <c r="D831" s="16"/>
      <c r="E831" s="9" t="s">
        <v>62</v>
      </c>
      <c r="F831" s="16"/>
      <c r="G831" s="16"/>
      <c r="H831" s="7">
        <v>831.0</v>
      </c>
      <c r="I831" s="10" t="s">
        <v>1375</v>
      </c>
    </row>
    <row r="832">
      <c r="A832" s="7">
        <v>831.0</v>
      </c>
      <c r="B832" s="18" t="s">
        <v>1376</v>
      </c>
      <c r="C832" s="9" t="s">
        <v>10</v>
      </c>
      <c r="D832" s="9" t="s">
        <v>16</v>
      </c>
      <c r="E832" s="9" t="s">
        <v>12</v>
      </c>
      <c r="F832" s="16"/>
      <c r="G832" s="9" t="s">
        <v>224</v>
      </c>
      <c r="H832" s="7">
        <v>832.0</v>
      </c>
      <c r="I832" s="10" t="s">
        <v>1377</v>
      </c>
    </row>
    <row r="833">
      <c r="A833" s="7">
        <v>832.0</v>
      </c>
      <c r="B833" s="18" t="s">
        <v>1378</v>
      </c>
      <c r="C833" s="9" t="s">
        <v>10</v>
      </c>
      <c r="D833" s="16"/>
      <c r="E833" s="9" t="s">
        <v>62</v>
      </c>
      <c r="H833" s="7">
        <v>833.0</v>
      </c>
      <c r="I833" s="10" t="s">
        <v>1379</v>
      </c>
    </row>
    <row r="834">
      <c r="A834" s="7">
        <v>833.0</v>
      </c>
      <c r="B834" s="21" t="s">
        <v>1380</v>
      </c>
      <c r="C834" s="9" t="s">
        <v>61</v>
      </c>
      <c r="D834" s="16"/>
      <c r="E834" s="9" t="s">
        <v>62</v>
      </c>
      <c r="H834" s="7">
        <v>834.0</v>
      </c>
      <c r="I834" s="10" t="s">
        <v>1236</v>
      </c>
    </row>
    <row r="835">
      <c r="A835" s="7">
        <v>834.0</v>
      </c>
      <c r="B835" s="18" t="s">
        <v>1381</v>
      </c>
      <c r="C835" s="9" t="s">
        <v>10</v>
      </c>
      <c r="D835" s="9" t="s">
        <v>196</v>
      </c>
      <c r="E835" s="9" t="s">
        <v>12</v>
      </c>
      <c r="H835" s="7">
        <v>835.0</v>
      </c>
      <c r="I835" s="10" t="s">
        <v>1382</v>
      </c>
    </row>
    <row r="836">
      <c r="A836" s="7">
        <v>835.0</v>
      </c>
      <c r="B836" s="18" t="s">
        <v>1383</v>
      </c>
      <c r="C836" s="9" t="s">
        <v>10</v>
      </c>
      <c r="D836" s="16"/>
      <c r="E836" s="9" t="s">
        <v>12</v>
      </c>
      <c r="F836" s="16"/>
      <c r="G836" s="9" t="s">
        <v>14</v>
      </c>
      <c r="H836" s="7">
        <v>836.0</v>
      </c>
      <c r="I836" s="10" t="s">
        <v>1384</v>
      </c>
    </row>
    <row r="837">
      <c r="A837" s="7">
        <v>836.0</v>
      </c>
      <c r="B837" s="18" t="s">
        <v>1385</v>
      </c>
      <c r="C837" s="9" t="s">
        <v>59</v>
      </c>
      <c r="D837" s="16"/>
      <c r="E837" s="9" t="s">
        <v>12</v>
      </c>
      <c r="H837" s="7">
        <v>837.0</v>
      </c>
      <c r="I837" s="10" t="s">
        <v>1386</v>
      </c>
    </row>
    <row r="838">
      <c r="A838" s="7">
        <v>837.0</v>
      </c>
      <c r="B838" s="18" t="s">
        <v>1387</v>
      </c>
      <c r="C838" s="9" t="s">
        <v>57</v>
      </c>
      <c r="D838" s="16"/>
      <c r="E838" s="9" t="s">
        <v>12</v>
      </c>
      <c r="H838" s="7">
        <v>838.0</v>
      </c>
    </row>
    <row r="839">
      <c r="A839" s="7">
        <v>838.0</v>
      </c>
      <c r="B839" s="18" t="s">
        <v>1388</v>
      </c>
      <c r="C839" s="9" t="s">
        <v>59</v>
      </c>
      <c r="D839" s="16"/>
      <c r="E839" s="9" t="s">
        <v>12</v>
      </c>
      <c r="F839" s="16"/>
      <c r="G839" s="9" t="s">
        <v>14</v>
      </c>
      <c r="H839" s="7">
        <v>839.0</v>
      </c>
      <c r="I839" s="10" t="s">
        <v>1389</v>
      </c>
    </row>
    <row r="840">
      <c r="A840" s="7">
        <v>839.0</v>
      </c>
      <c r="B840" s="18" t="s">
        <v>1388</v>
      </c>
      <c r="C840" s="9" t="s">
        <v>57</v>
      </c>
      <c r="D840" s="16"/>
      <c r="E840" s="9" t="s">
        <v>12</v>
      </c>
      <c r="F840" s="16"/>
      <c r="G840" s="9" t="s">
        <v>14</v>
      </c>
      <c r="H840" s="7">
        <v>840.0</v>
      </c>
      <c r="I840" s="10" t="s">
        <v>1390</v>
      </c>
    </row>
    <row r="841">
      <c r="A841" s="7">
        <v>840.0</v>
      </c>
      <c r="B841" s="18" t="s">
        <v>1391</v>
      </c>
      <c r="C841" s="9" t="s">
        <v>59</v>
      </c>
      <c r="D841" s="9" t="s">
        <v>110</v>
      </c>
      <c r="E841" s="9" t="s">
        <v>12</v>
      </c>
      <c r="F841" s="16"/>
      <c r="G841" s="9" t="s">
        <v>111</v>
      </c>
      <c r="H841" s="7">
        <v>841.0</v>
      </c>
      <c r="I841" s="10" t="s">
        <v>1392</v>
      </c>
    </row>
    <row r="842">
      <c r="A842" s="7">
        <v>841.0</v>
      </c>
      <c r="B842" s="18" t="s">
        <v>1393</v>
      </c>
      <c r="C842" s="9" t="s">
        <v>59</v>
      </c>
      <c r="D842" s="16"/>
      <c r="E842" s="9" t="s">
        <v>12</v>
      </c>
      <c r="F842" s="16"/>
      <c r="G842" s="9" t="s">
        <v>111</v>
      </c>
      <c r="H842" s="7">
        <v>842.0</v>
      </c>
      <c r="I842" s="10" t="s">
        <v>1394</v>
      </c>
    </row>
    <row r="843">
      <c r="A843" s="7">
        <v>842.0</v>
      </c>
      <c r="B843" s="18" t="s">
        <v>1393</v>
      </c>
      <c r="C843" s="9" t="s">
        <v>61</v>
      </c>
      <c r="D843" s="16"/>
      <c r="E843" s="9" t="s">
        <v>12</v>
      </c>
      <c r="F843" s="16"/>
      <c r="G843" s="9" t="s">
        <v>111</v>
      </c>
      <c r="H843" s="7">
        <v>843.0</v>
      </c>
      <c r="I843" s="10" t="s">
        <v>1394</v>
      </c>
    </row>
    <row r="844">
      <c r="A844" s="7">
        <v>843.0</v>
      </c>
      <c r="B844" s="18" t="s">
        <v>1393</v>
      </c>
      <c r="C844" s="9" t="s">
        <v>10</v>
      </c>
      <c r="D844" s="16"/>
      <c r="E844" s="9" t="s">
        <v>12</v>
      </c>
      <c r="F844" s="16"/>
      <c r="G844" s="9" t="s">
        <v>111</v>
      </c>
      <c r="H844" s="7">
        <v>844.0</v>
      </c>
      <c r="I844" s="10" t="s">
        <v>1394</v>
      </c>
    </row>
    <row r="845">
      <c r="A845" s="7">
        <v>844.0</v>
      </c>
      <c r="B845" s="18" t="s">
        <v>1395</v>
      </c>
      <c r="C845" s="9" t="s">
        <v>10</v>
      </c>
      <c r="D845" s="9" t="s">
        <v>37</v>
      </c>
      <c r="E845" s="9" t="s">
        <v>12</v>
      </c>
      <c r="F845" s="9" t="s">
        <v>50</v>
      </c>
      <c r="G845" s="9" t="s">
        <v>111</v>
      </c>
      <c r="H845" s="7">
        <v>845.0</v>
      </c>
      <c r="I845" s="10" t="s">
        <v>1396</v>
      </c>
    </row>
    <row r="846">
      <c r="A846" s="7">
        <v>845.0</v>
      </c>
      <c r="B846" s="18" t="s">
        <v>1397</v>
      </c>
      <c r="C846" s="9" t="s">
        <v>61</v>
      </c>
      <c r="D846" s="9" t="s">
        <v>220</v>
      </c>
      <c r="E846" s="9" t="s">
        <v>12</v>
      </c>
      <c r="F846" s="16"/>
      <c r="G846" s="9" t="s">
        <v>111</v>
      </c>
      <c r="H846" s="7">
        <v>846.0</v>
      </c>
      <c r="I846" s="10" t="s">
        <v>1398</v>
      </c>
    </row>
    <row r="847">
      <c r="A847" s="7">
        <v>846.0</v>
      </c>
      <c r="B847" s="18" t="s">
        <v>1397</v>
      </c>
      <c r="C847" s="9" t="s">
        <v>10</v>
      </c>
      <c r="D847" s="16"/>
      <c r="E847" s="9" t="s">
        <v>12</v>
      </c>
      <c r="F847" s="16"/>
      <c r="G847" s="9" t="s">
        <v>111</v>
      </c>
      <c r="H847" s="7">
        <v>847.0</v>
      </c>
      <c r="I847" s="10" t="s">
        <v>1398</v>
      </c>
    </row>
    <row r="848">
      <c r="A848" s="7">
        <v>847.0</v>
      </c>
      <c r="B848" s="18" t="s">
        <v>1399</v>
      </c>
      <c r="C848" s="9" t="s">
        <v>10</v>
      </c>
      <c r="D848" s="9" t="s">
        <v>196</v>
      </c>
      <c r="E848" s="9" t="s">
        <v>12</v>
      </c>
      <c r="H848" s="7">
        <v>848.0</v>
      </c>
      <c r="I848" s="10" t="s">
        <v>1400</v>
      </c>
    </row>
    <row r="849">
      <c r="A849" s="7">
        <v>848.0</v>
      </c>
      <c r="B849" s="18" t="s">
        <v>1401</v>
      </c>
      <c r="C849" s="9" t="s">
        <v>10</v>
      </c>
      <c r="D849" s="16"/>
      <c r="E849" s="9" t="s">
        <v>62</v>
      </c>
      <c r="H849" s="7">
        <v>849.0</v>
      </c>
      <c r="I849" s="10" t="s">
        <v>1402</v>
      </c>
    </row>
    <row r="850">
      <c r="A850" s="7">
        <v>849.0</v>
      </c>
      <c r="B850" s="18" t="s">
        <v>1403</v>
      </c>
      <c r="C850" s="9" t="s">
        <v>10</v>
      </c>
      <c r="D850" s="9" t="s">
        <v>196</v>
      </c>
      <c r="E850" s="9" t="s">
        <v>12</v>
      </c>
      <c r="H850" s="7">
        <v>850.0</v>
      </c>
      <c r="I850" s="10" t="s">
        <v>1404</v>
      </c>
    </row>
    <row r="851">
      <c r="A851" s="7">
        <v>850.0</v>
      </c>
      <c r="B851" s="18" t="s">
        <v>1405</v>
      </c>
      <c r="C851" s="9" t="s">
        <v>10</v>
      </c>
      <c r="D851" s="9" t="s">
        <v>196</v>
      </c>
      <c r="E851" s="9" t="s">
        <v>12</v>
      </c>
      <c r="H851" s="7">
        <v>851.0</v>
      </c>
      <c r="I851" s="10" t="s">
        <v>1406</v>
      </c>
    </row>
    <row r="852">
      <c r="A852" s="7">
        <v>851.0</v>
      </c>
      <c r="B852" s="18" t="s">
        <v>1407</v>
      </c>
      <c r="C852" s="9" t="s">
        <v>59</v>
      </c>
      <c r="D852" s="16"/>
      <c r="E852" s="9" t="s">
        <v>12</v>
      </c>
      <c r="F852" s="16"/>
      <c r="G852" s="9" t="s">
        <v>111</v>
      </c>
      <c r="H852" s="7">
        <v>852.0</v>
      </c>
      <c r="I852" s="10" t="s">
        <v>1408</v>
      </c>
    </row>
    <row r="853">
      <c r="A853" s="7">
        <v>852.0</v>
      </c>
      <c r="B853" s="18" t="s">
        <v>1409</v>
      </c>
      <c r="C853" s="9" t="s">
        <v>57</v>
      </c>
      <c r="D853" s="16"/>
      <c r="E853" s="9" t="s">
        <v>12</v>
      </c>
      <c r="H853" s="7">
        <v>853.0</v>
      </c>
    </row>
    <row r="854">
      <c r="A854" s="7">
        <v>853.0</v>
      </c>
      <c r="B854" s="21" t="s">
        <v>1410</v>
      </c>
      <c r="C854" s="9" t="s">
        <v>10</v>
      </c>
      <c r="D854" s="16"/>
      <c r="E854" s="9" t="s">
        <v>62</v>
      </c>
      <c r="F854" s="16"/>
      <c r="G854" s="16"/>
      <c r="H854" s="7">
        <v>854.0</v>
      </c>
      <c r="I854" s="17" t="s">
        <v>417</v>
      </c>
    </row>
    <row r="855">
      <c r="A855" s="7">
        <v>854.0</v>
      </c>
      <c r="B855" s="21" t="s">
        <v>1411</v>
      </c>
      <c r="C855" s="9" t="s">
        <v>61</v>
      </c>
      <c r="D855" s="16"/>
      <c r="E855" s="9" t="s">
        <v>62</v>
      </c>
      <c r="H855" s="7">
        <v>855.0</v>
      </c>
      <c r="I855" s="10" t="s">
        <v>1412</v>
      </c>
    </row>
    <row r="856">
      <c r="A856" s="7">
        <v>855.0</v>
      </c>
      <c r="B856" s="18" t="s">
        <v>1413</v>
      </c>
      <c r="C856" s="9" t="s">
        <v>59</v>
      </c>
      <c r="D856" s="9" t="s">
        <v>74</v>
      </c>
      <c r="E856" s="9" t="s">
        <v>12</v>
      </c>
      <c r="F856" s="16"/>
      <c r="G856" s="9" t="s">
        <v>111</v>
      </c>
      <c r="H856" s="7">
        <v>856.0</v>
      </c>
      <c r="I856" s="10" t="s">
        <v>1414</v>
      </c>
    </row>
    <row r="857">
      <c r="A857" s="7">
        <v>856.0</v>
      </c>
      <c r="B857" s="18" t="s">
        <v>1413</v>
      </c>
      <c r="C857" s="9" t="s">
        <v>10</v>
      </c>
      <c r="D857" s="16"/>
      <c r="E857" s="9" t="s">
        <v>12</v>
      </c>
      <c r="F857" s="16"/>
      <c r="G857" s="9" t="s">
        <v>111</v>
      </c>
      <c r="H857" s="7">
        <v>857.0</v>
      </c>
      <c r="I857" s="10" t="s">
        <v>1415</v>
      </c>
    </row>
    <row r="858">
      <c r="A858" s="7">
        <v>857.0</v>
      </c>
      <c r="B858" s="18" t="s">
        <v>1413</v>
      </c>
      <c r="C858" s="9" t="s">
        <v>61</v>
      </c>
      <c r="D858" s="16"/>
      <c r="E858" s="9" t="s">
        <v>12</v>
      </c>
      <c r="F858" s="16"/>
      <c r="G858" s="9" t="s">
        <v>111</v>
      </c>
      <c r="H858" s="7">
        <v>858.0</v>
      </c>
      <c r="I858" s="10" t="s">
        <v>1415</v>
      </c>
    </row>
    <row r="859">
      <c r="A859" s="7">
        <v>858.0</v>
      </c>
      <c r="B859" s="18" t="s">
        <v>1416</v>
      </c>
      <c r="C859" s="9" t="s">
        <v>10</v>
      </c>
      <c r="D859" s="16"/>
      <c r="E859" s="9" t="s">
        <v>62</v>
      </c>
      <c r="F859" s="16"/>
      <c r="G859" s="16"/>
      <c r="H859" s="7">
        <v>859.0</v>
      </c>
      <c r="I859" s="17" t="s">
        <v>1417</v>
      </c>
    </row>
    <row r="860">
      <c r="A860" s="7">
        <v>859.0</v>
      </c>
      <c r="B860" s="26" t="s">
        <v>1418</v>
      </c>
      <c r="C860" s="27" t="s">
        <v>59</v>
      </c>
      <c r="D860" s="27" t="s">
        <v>110</v>
      </c>
      <c r="E860" s="9" t="s">
        <v>12</v>
      </c>
      <c r="F860" s="20"/>
      <c r="G860" s="9" t="s">
        <v>111</v>
      </c>
      <c r="H860" s="7">
        <v>860.0</v>
      </c>
      <c r="I860" s="20"/>
      <c r="J860" s="20"/>
      <c r="K860" s="20"/>
      <c r="L860" s="20"/>
      <c r="M860" s="20"/>
    </row>
    <row r="861">
      <c r="A861" s="7">
        <v>860.0</v>
      </c>
      <c r="B861" s="18" t="s">
        <v>1419</v>
      </c>
      <c r="C861" s="9" t="s">
        <v>59</v>
      </c>
      <c r="D861" s="16"/>
      <c r="E861" s="9" t="s">
        <v>12</v>
      </c>
      <c r="F861" s="16"/>
      <c r="G861" s="9" t="s">
        <v>111</v>
      </c>
      <c r="H861" s="7">
        <v>861.0</v>
      </c>
      <c r="I861" s="10" t="s">
        <v>1420</v>
      </c>
    </row>
    <row r="862">
      <c r="A862" s="7">
        <v>861.0</v>
      </c>
      <c r="B862" s="18" t="s">
        <v>1421</v>
      </c>
      <c r="C862" s="9" t="s">
        <v>61</v>
      </c>
      <c r="D862" s="16"/>
      <c r="E862" s="9" t="s">
        <v>12</v>
      </c>
      <c r="F862" s="16"/>
      <c r="G862" s="9" t="s">
        <v>111</v>
      </c>
      <c r="H862" s="7">
        <v>862.0</v>
      </c>
      <c r="I862" s="10" t="s">
        <v>1422</v>
      </c>
    </row>
    <row r="863">
      <c r="A863" s="7">
        <v>862.0</v>
      </c>
      <c r="B863" s="18" t="s">
        <v>1421</v>
      </c>
      <c r="C863" s="9" t="s">
        <v>10</v>
      </c>
      <c r="D863" s="16"/>
      <c r="E863" s="9" t="s">
        <v>12</v>
      </c>
      <c r="F863" s="16"/>
      <c r="G863" s="9" t="s">
        <v>111</v>
      </c>
      <c r="H863" s="7">
        <v>863.0</v>
      </c>
      <c r="I863" s="10" t="s">
        <v>1423</v>
      </c>
    </row>
    <row r="864">
      <c r="A864" s="7">
        <v>863.0</v>
      </c>
      <c r="B864" s="18" t="s">
        <v>1424</v>
      </c>
      <c r="C864" s="9" t="s">
        <v>10</v>
      </c>
      <c r="D864" s="16"/>
      <c r="E864" s="9" t="s">
        <v>12</v>
      </c>
      <c r="F864" s="16"/>
      <c r="G864" s="9" t="s">
        <v>111</v>
      </c>
      <c r="H864" s="7">
        <v>864.0</v>
      </c>
      <c r="I864" s="10" t="s">
        <v>1425</v>
      </c>
    </row>
    <row r="865">
      <c r="A865" s="7">
        <v>864.0</v>
      </c>
      <c r="B865" s="21" t="s">
        <v>1424</v>
      </c>
      <c r="C865" s="9" t="s">
        <v>10</v>
      </c>
      <c r="D865" s="16"/>
      <c r="E865" s="9" t="s">
        <v>62</v>
      </c>
      <c r="H865" s="7">
        <v>865.0</v>
      </c>
      <c r="I865" s="10" t="s">
        <v>1425</v>
      </c>
    </row>
    <row r="866">
      <c r="A866" s="7">
        <v>865.0</v>
      </c>
      <c r="B866" s="21" t="s">
        <v>1426</v>
      </c>
      <c r="C866" s="9" t="s">
        <v>10</v>
      </c>
      <c r="D866" s="16"/>
      <c r="E866" s="9" t="s">
        <v>62</v>
      </c>
      <c r="H866" s="7">
        <v>866.0</v>
      </c>
      <c r="I866" s="10" t="s">
        <v>1427</v>
      </c>
    </row>
    <row r="867">
      <c r="A867" s="7">
        <v>866.0</v>
      </c>
      <c r="B867" s="18" t="s">
        <v>1428</v>
      </c>
      <c r="C867" s="9" t="s">
        <v>10</v>
      </c>
      <c r="D867" s="16"/>
      <c r="E867" s="9" t="s">
        <v>12</v>
      </c>
      <c r="F867" s="16"/>
      <c r="G867" s="9" t="s">
        <v>111</v>
      </c>
      <c r="H867" s="7">
        <v>867.0</v>
      </c>
      <c r="I867" s="10" t="s">
        <v>1429</v>
      </c>
    </row>
    <row r="868">
      <c r="A868" s="7">
        <v>867.0</v>
      </c>
      <c r="B868" s="18" t="s">
        <v>1428</v>
      </c>
      <c r="C868" s="9" t="s">
        <v>61</v>
      </c>
      <c r="D868" s="16"/>
      <c r="E868" s="9" t="s">
        <v>12</v>
      </c>
      <c r="F868" s="16"/>
      <c r="G868" s="9" t="s">
        <v>111</v>
      </c>
      <c r="H868" s="7">
        <v>868.0</v>
      </c>
      <c r="I868" s="10" t="s">
        <v>1429</v>
      </c>
    </row>
    <row r="869">
      <c r="A869" s="7">
        <v>868.0</v>
      </c>
      <c r="B869" s="18" t="s">
        <v>1428</v>
      </c>
      <c r="C869" s="9" t="s">
        <v>59</v>
      </c>
      <c r="D869" s="9"/>
      <c r="E869" s="9" t="s">
        <v>12</v>
      </c>
      <c r="F869" s="16"/>
      <c r="G869" s="9" t="s">
        <v>111</v>
      </c>
      <c r="H869" s="7">
        <v>869.0</v>
      </c>
      <c r="I869" s="10" t="s">
        <v>1430</v>
      </c>
    </row>
    <row r="870">
      <c r="A870" s="7">
        <v>869.0</v>
      </c>
      <c r="B870" s="18" t="s">
        <v>1431</v>
      </c>
      <c r="C870" s="9" t="s">
        <v>59</v>
      </c>
      <c r="D870" s="16"/>
      <c r="E870" s="9" t="s">
        <v>12</v>
      </c>
      <c r="F870" s="16"/>
      <c r="G870" s="9" t="s">
        <v>111</v>
      </c>
      <c r="H870" s="7">
        <v>870.0</v>
      </c>
      <c r="I870" s="10" t="s">
        <v>1432</v>
      </c>
    </row>
    <row r="871">
      <c r="A871" s="7">
        <v>870.0</v>
      </c>
      <c r="B871" s="18" t="s">
        <v>1433</v>
      </c>
      <c r="C871" s="9" t="s">
        <v>10</v>
      </c>
      <c r="D871" s="9" t="s">
        <v>44</v>
      </c>
      <c r="E871" s="9" t="s">
        <v>12</v>
      </c>
      <c r="F871" s="16"/>
      <c r="G871" s="9" t="s">
        <v>111</v>
      </c>
      <c r="H871" s="7">
        <v>871.0</v>
      </c>
      <c r="I871" s="10" t="s">
        <v>1434</v>
      </c>
    </row>
    <row r="872">
      <c r="A872" s="7">
        <v>871.0</v>
      </c>
      <c r="B872" s="18" t="s">
        <v>1435</v>
      </c>
      <c r="C872" s="9" t="s">
        <v>10</v>
      </c>
      <c r="D872" s="9" t="s">
        <v>44</v>
      </c>
      <c r="E872" s="9" t="s">
        <v>12</v>
      </c>
      <c r="F872" s="16"/>
      <c r="G872" s="9" t="s">
        <v>111</v>
      </c>
      <c r="H872" s="7">
        <v>872.0</v>
      </c>
      <c r="I872" s="10" t="s">
        <v>1436</v>
      </c>
    </row>
    <row r="873">
      <c r="A873" s="7">
        <v>872.0</v>
      </c>
      <c r="B873" s="18" t="s">
        <v>1437</v>
      </c>
      <c r="C873" s="9" t="s">
        <v>10</v>
      </c>
      <c r="D873" s="9" t="s">
        <v>44</v>
      </c>
      <c r="E873" s="9" t="s">
        <v>12</v>
      </c>
      <c r="F873" s="16"/>
      <c r="G873" s="9" t="s">
        <v>111</v>
      </c>
      <c r="H873" s="7">
        <v>873.0</v>
      </c>
      <c r="I873" s="10" t="s">
        <v>1438</v>
      </c>
    </row>
    <row r="874">
      <c r="A874" s="7">
        <v>873.0</v>
      </c>
      <c r="B874" s="18" t="s">
        <v>1439</v>
      </c>
      <c r="C874" s="9" t="s">
        <v>10</v>
      </c>
      <c r="D874" s="9" t="s">
        <v>44</v>
      </c>
      <c r="E874" s="9" t="s">
        <v>12</v>
      </c>
      <c r="F874" s="16"/>
      <c r="G874" s="9" t="s">
        <v>111</v>
      </c>
      <c r="H874" s="7">
        <v>874.0</v>
      </c>
      <c r="I874" s="10" t="s">
        <v>1440</v>
      </c>
    </row>
    <row r="875">
      <c r="A875" s="7">
        <v>874.0</v>
      </c>
      <c r="B875" s="18" t="s">
        <v>1441</v>
      </c>
      <c r="C875" s="9" t="s">
        <v>10</v>
      </c>
      <c r="D875" s="9" t="s">
        <v>44</v>
      </c>
      <c r="E875" s="9" t="s">
        <v>12</v>
      </c>
      <c r="F875" s="16"/>
      <c r="G875" s="9" t="s">
        <v>111</v>
      </c>
      <c r="H875" s="7">
        <v>875.0</v>
      </c>
      <c r="I875" s="10" t="s">
        <v>1442</v>
      </c>
    </row>
    <row r="876">
      <c r="A876" s="7">
        <v>875.0</v>
      </c>
      <c r="B876" s="18" t="s">
        <v>1443</v>
      </c>
      <c r="C876" s="9" t="s">
        <v>10</v>
      </c>
      <c r="D876" s="9" t="s">
        <v>44</v>
      </c>
      <c r="E876" s="9" t="s">
        <v>12</v>
      </c>
      <c r="F876" s="16"/>
      <c r="G876" s="9" t="s">
        <v>111</v>
      </c>
      <c r="H876" s="7">
        <v>876.0</v>
      </c>
      <c r="I876" s="10" t="s">
        <v>1444</v>
      </c>
    </row>
    <row r="877">
      <c r="A877" s="7">
        <v>876.0</v>
      </c>
      <c r="B877" s="18" t="s">
        <v>1445</v>
      </c>
      <c r="C877" s="9" t="s">
        <v>10</v>
      </c>
      <c r="D877" s="9" t="s">
        <v>44</v>
      </c>
      <c r="E877" s="9" t="s">
        <v>12</v>
      </c>
      <c r="F877" s="16"/>
      <c r="G877" s="9" t="s">
        <v>111</v>
      </c>
      <c r="H877" s="7">
        <v>877.0</v>
      </c>
      <c r="I877" s="10" t="s">
        <v>1446</v>
      </c>
    </row>
    <row r="878">
      <c r="A878" s="7">
        <v>877.0</v>
      </c>
      <c r="B878" s="18" t="s">
        <v>1447</v>
      </c>
      <c r="C878" s="9" t="s">
        <v>10</v>
      </c>
      <c r="D878" s="9" t="s">
        <v>196</v>
      </c>
      <c r="E878" s="9" t="s">
        <v>62</v>
      </c>
      <c r="H878" s="7">
        <v>878.0</v>
      </c>
      <c r="I878" s="10" t="s">
        <v>1448</v>
      </c>
    </row>
    <row r="879">
      <c r="A879" s="7">
        <v>878.0</v>
      </c>
      <c r="B879" s="18" t="s">
        <v>1449</v>
      </c>
      <c r="C879" s="9" t="s">
        <v>10</v>
      </c>
      <c r="D879" s="16"/>
      <c r="E879" s="9" t="s">
        <v>62</v>
      </c>
      <c r="H879" s="7">
        <v>879.0</v>
      </c>
      <c r="I879" s="10" t="s">
        <v>1450</v>
      </c>
    </row>
    <row r="880">
      <c r="A880" s="7">
        <v>879.0</v>
      </c>
      <c r="B880" s="18" t="s">
        <v>1451</v>
      </c>
      <c r="C880" s="9" t="s">
        <v>10</v>
      </c>
      <c r="D880" s="9" t="s">
        <v>16</v>
      </c>
      <c r="E880" s="9" t="s">
        <v>12</v>
      </c>
      <c r="F880" s="16"/>
      <c r="G880" s="9" t="s">
        <v>224</v>
      </c>
      <c r="H880" s="7">
        <v>880.0</v>
      </c>
      <c r="I880" s="10" t="s">
        <v>1452</v>
      </c>
    </row>
    <row r="881">
      <c r="A881" s="7">
        <v>880.0</v>
      </c>
      <c r="B881" s="18" t="s">
        <v>1453</v>
      </c>
      <c r="C881" s="9" t="s">
        <v>10</v>
      </c>
      <c r="D881" s="9" t="s">
        <v>16</v>
      </c>
      <c r="E881" s="9" t="s">
        <v>12</v>
      </c>
      <c r="F881" s="16"/>
      <c r="G881" s="9" t="s">
        <v>224</v>
      </c>
      <c r="H881" s="7">
        <v>881.0</v>
      </c>
      <c r="I881" s="10" t="s">
        <v>1454</v>
      </c>
    </row>
    <row r="882">
      <c r="A882" s="7">
        <v>881.0</v>
      </c>
      <c r="B882" s="18" t="s">
        <v>1455</v>
      </c>
      <c r="C882" s="9" t="s">
        <v>10</v>
      </c>
      <c r="D882" s="9" t="s">
        <v>16</v>
      </c>
      <c r="E882" s="9" t="s">
        <v>12</v>
      </c>
      <c r="F882" s="16"/>
      <c r="G882" s="9" t="s">
        <v>224</v>
      </c>
      <c r="H882" s="7">
        <v>882.0</v>
      </c>
      <c r="I882" s="10" t="s">
        <v>1456</v>
      </c>
    </row>
    <row r="883">
      <c r="A883" s="7">
        <v>882.0</v>
      </c>
      <c r="B883" s="18" t="s">
        <v>1457</v>
      </c>
      <c r="C883" s="9" t="s">
        <v>10</v>
      </c>
      <c r="D883" s="9" t="s">
        <v>16</v>
      </c>
      <c r="E883" s="9" t="s">
        <v>12</v>
      </c>
      <c r="F883" s="16"/>
      <c r="G883" s="9" t="s">
        <v>224</v>
      </c>
      <c r="H883" s="7">
        <v>883.0</v>
      </c>
      <c r="I883" s="10" t="s">
        <v>1458</v>
      </c>
    </row>
    <row r="884">
      <c r="A884" s="7">
        <v>883.0</v>
      </c>
      <c r="B884" s="15" t="s">
        <v>1459</v>
      </c>
      <c r="C884" s="9" t="s">
        <v>10</v>
      </c>
      <c r="D884" s="9" t="s">
        <v>132</v>
      </c>
      <c r="E884" s="9" t="s">
        <v>12</v>
      </c>
      <c r="F884" s="16"/>
      <c r="G884" s="9" t="s">
        <v>224</v>
      </c>
      <c r="H884" s="7">
        <v>884.0</v>
      </c>
      <c r="I884" s="10" t="s">
        <v>1460</v>
      </c>
    </row>
    <row r="885">
      <c r="A885" s="7">
        <v>884.0</v>
      </c>
      <c r="B885" s="18" t="s">
        <v>1461</v>
      </c>
      <c r="C885" s="9" t="s">
        <v>10</v>
      </c>
      <c r="D885" s="9" t="s">
        <v>196</v>
      </c>
      <c r="E885" s="9" t="s">
        <v>12</v>
      </c>
      <c r="F885" s="16"/>
      <c r="G885" s="9" t="s">
        <v>224</v>
      </c>
      <c r="H885" s="7">
        <v>885.0</v>
      </c>
      <c r="I885" s="10" t="s">
        <v>1023</v>
      </c>
    </row>
    <row r="886">
      <c r="A886" s="7">
        <v>885.0</v>
      </c>
      <c r="B886" s="21" t="s">
        <v>1461</v>
      </c>
      <c r="C886" s="9" t="s">
        <v>10</v>
      </c>
      <c r="D886" s="16"/>
      <c r="E886" s="9" t="s">
        <v>12</v>
      </c>
      <c r="F886" s="16"/>
      <c r="G886" s="16"/>
      <c r="H886" s="7">
        <v>886.0</v>
      </c>
      <c r="I886" s="10" t="s">
        <v>651</v>
      </c>
    </row>
    <row r="887">
      <c r="A887" s="7">
        <v>886.0</v>
      </c>
      <c r="B887" s="18" t="s">
        <v>1462</v>
      </c>
      <c r="C887" s="9" t="s">
        <v>59</v>
      </c>
      <c r="D887" s="16"/>
      <c r="E887" s="9" t="s">
        <v>12</v>
      </c>
      <c r="F887" s="16"/>
      <c r="G887" s="9" t="s">
        <v>111</v>
      </c>
      <c r="H887" s="7">
        <v>887.0</v>
      </c>
      <c r="I887" s="10" t="s">
        <v>1463</v>
      </c>
    </row>
    <row r="888">
      <c r="A888" s="7">
        <v>887.0</v>
      </c>
      <c r="B888" s="18" t="s">
        <v>1462</v>
      </c>
      <c r="C888" s="9" t="s">
        <v>61</v>
      </c>
      <c r="D888" s="16"/>
      <c r="E888" s="9" t="s">
        <v>12</v>
      </c>
      <c r="F888" s="16"/>
      <c r="G888" s="9" t="s">
        <v>111</v>
      </c>
      <c r="H888" s="7">
        <v>888.0</v>
      </c>
      <c r="I888" s="10" t="s">
        <v>1464</v>
      </c>
    </row>
    <row r="889">
      <c r="A889" s="7">
        <v>888.0</v>
      </c>
      <c r="B889" s="18" t="s">
        <v>1462</v>
      </c>
      <c r="C889" s="9" t="s">
        <v>10</v>
      </c>
      <c r="D889" s="16"/>
      <c r="E889" s="9" t="s">
        <v>12</v>
      </c>
      <c r="F889" s="16"/>
      <c r="G889" s="9" t="s">
        <v>111</v>
      </c>
      <c r="H889" s="7">
        <v>889.0</v>
      </c>
      <c r="I889" s="10" t="s">
        <v>1463</v>
      </c>
    </row>
    <row r="890">
      <c r="A890" s="7">
        <v>889.0</v>
      </c>
      <c r="B890" s="18" t="s">
        <v>1465</v>
      </c>
      <c r="C890" s="9" t="s">
        <v>57</v>
      </c>
      <c r="D890" s="16"/>
      <c r="E890" s="9" t="s">
        <v>62</v>
      </c>
      <c r="H890" s="7">
        <v>890.0</v>
      </c>
    </row>
    <row r="891">
      <c r="A891" s="7">
        <v>890.0</v>
      </c>
      <c r="B891" s="18" t="s">
        <v>1466</v>
      </c>
      <c r="C891" s="9" t="s">
        <v>61</v>
      </c>
      <c r="D891" s="9" t="s">
        <v>220</v>
      </c>
      <c r="E891" s="9" t="s">
        <v>12</v>
      </c>
      <c r="F891" s="16"/>
      <c r="G891" s="9" t="s">
        <v>111</v>
      </c>
      <c r="H891" s="7">
        <v>891.0</v>
      </c>
      <c r="I891" s="10" t="s">
        <v>1467</v>
      </c>
    </row>
    <row r="892">
      <c r="A892" s="7">
        <v>891.0</v>
      </c>
      <c r="B892" s="18" t="s">
        <v>1466</v>
      </c>
      <c r="C892" s="9" t="s">
        <v>10</v>
      </c>
      <c r="D892" s="16"/>
      <c r="E892" s="9" t="s">
        <v>12</v>
      </c>
      <c r="F892" s="16"/>
      <c r="G892" s="9" t="s">
        <v>111</v>
      </c>
      <c r="H892" s="7">
        <v>892.0</v>
      </c>
      <c r="I892" s="10" t="s">
        <v>1467</v>
      </c>
    </row>
    <row r="893">
      <c r="A893" s="7">
        <v>892.0</v>
      </c>
      <c r="B893" s="18" t="s">
        <v>1468</v>
      </c>
      <c r="C893" s="9" t="s">
        <v>61</v>
      </c>
      <c r="D893" s="16"/>
      <c r="E893" s="9" t="s">
        <v>12</v>
      </c>
      <c r="H893" s="7">
        <v>893.0</v>
      </c>
    </row>
    <row r="894">
      <c r="A894" s="7">
        <v>893.0</v>
      </c>
      <c r="B894" s="18" t="s">
        <v>1469</v>
      </c>
      <c r="C894" s="9" t="s">
        <v>10</v>
      </c>
      <c r="D894" s="16"/>
      <c r="E894" s="9" t="s">
        <v>62</v>
      </c>
      <c r="H894" s="7">
        <v>894.0</v>
      </c>
      <c r="I894" s="10" t="s">
        <v>1470</v>
      </c>
    </row>
    <row r="895">
      <c r="A895" s="7">
        <v>894.0</v>
      </c>
      <c r="B895" s="18" t="s">
        <v>1471</v>
      </c>
      <c r="C895" s="9" t="s">
        <v>10</v>
      </c>
      <c r="D895" s="16"/>
      <c r="E895" s="9" t="s">
        <v>12</v>
      </c>
      <c r="F895" s="16"/>
      <c r="G895" s="9" t="s">
        <v>111</v>
      </c>
      <c r="H895" s="7">
        <v>895.0</v>
      </c>
      <c r="I895" s="10" t="s">
        <v>1472</v>
      </c>
    </row>
    <row r="896">
      <c r="A896" s="7">
        <v>895.0</v>
      </c>
      <c r="B896" s="21" t="s">
        <v>1473</v>
      </c>
      <c r="C896" s="9" t="s">
        <v>10</v>
      </c>
      <c r="D896" s="16"/>
      <c r="E896" s="9" t="s">
        <v>62</v>
      </c>
      <c r="H896" s="7">
        <v>896.0</v>
      </c>
    </row>
    <row r="897">
      <c r="A897" s="7">
        <v>896.0</v>
      </c>
      <c r="B897" s="18" t="s">
        <v>1474</v>
      </c>
      <c r="C897" s="9" t="s">
        <v>10</v>
      </c>
      <c r="D897" s="16"/>
      <c r="E897" s="9" t="s">
        <v>62</v>
      </c>
      <c r="F897" s="16"/>
      <c r="G897" s="16"/>
      <c r="H897" s="7">
        <v>897.0</v>
      </c>
      <c r="I897" s="10" t="s">
        <v>90</v>
      </c>
    </row>
    <row r="898">
      <c r="A898" s="7">
        <v>897.0</v>
      </c>
      <c r="B898" s="18" t="s">
        <v>1475</v>
      </c>
      <c r="C898" s="9" t="s">
        <v>10</v>
      </c>
      <c r="D898" s="16"/>
      <c r="E898" s="9" t="s">
        <v>62</v>
      </c>
      <c r="H898" s="7">
        <v>898.0</v>
      </c>
      <c r="I898" s="10" t="s">
        <v>1476</v>
      </c>
    </row>
    <row r="899">
      <c r="A899" s="7">
        <v>898.0</v>
      </c>
      <c r="B899" s="15" t="s">
        <v>1477</v>
      </c>
      <c r="C899" s="9" t="s">
        <v>10</v>
      </c>
      <c r="D899" s="9" t="s">
        <v>667</v>
      </c>
      <c r="E899" s="9" t="s">
        <v>12</v>
      </c>
      <c r="F899" s="16"/>
      <c r="G899" s="9" t="s">
        <v>14</v>
      </c>
      <c r="H899" s="7">
        <v>899.0</v>
      </c>
      <c r="I899" s="10" t="s">
        <v>1478</v>
      </c>
    </row>
    <row r="900">
      <c r="A900" s="7">
        <v>899.0</v>
      </c>
      <c r="B900" s="18" t="s">
        <v>1479</v>
      </c>
      <c r="C900" s="9" t="s">
        <v>10</v>
      </c>
      <c r="D900" s="9" t="s">
        <v>196</v>
      </c>
      <c r="E900" s="9" t="s">
        <v>12</v>
      </c>
      <c r="H900" s="7">
        <v>900.0</v>
      </c>
      <c r="I900" s="10" t="s">
        <v>1480</v>
      </c>
    </row>
    <row r="901">
      <c r="A901" s="7">
        <v>900.0</v>
      </c>
      <c r="B901" s="18" t="s">
        <v>1481</v>
      </c>
      <c r="C901" s="9" t="s">
        <v>59</v>
      </c>
      <c r="D901" s="9" t="s">
        <v>23</v>
      </c>
      <c r="E901" s="9" t="s">
        <v>12</v>
      </c>
      <c r="F901" s="9" t="s">
        <v>50</v>
      </c>
      <c r="G901" s="9" t="s">
        <v>14</v>
      </c>
      <c r="H901" s="7">
        <v>901.0</v>
      </c>
      <c r="I901" s="10" t="s">
        <v>1482</v>
      </c>
    </row>
    <row r="902">
      <c r="A902" s="7">
        <v>901.0</v>
      </c>
      <c r="B902" s="18" t="s">
        <v>1483</v>
      </c>
      <c r="C902" s="9" t="s">
        <v>10</v>
      </c>
      <c r="D902" s="16"/>
      <c r="E902" s="9" t="s">
        <v>62</v>
      </c>
      <c r="F902" s="16"/>
      <c r="G902" s="16"/>
      <c r="H902" s="7">
        <v>902.0</v>
      </c>
      <c r="I902" s="10" t="s">
        <v>1484</v>
      </c>
    </row>
    <row r="903">
      <c r="A903" s="7">
        <v>902.0</v>
      </c>
      <c r="B903" s="21" t="s">
        <v>1485</v>
      </c>
      <c r="C903" s="9" t="s">
        <v>61</v>
      </c>
      <c r="D903" s="16"/>
      <c r="E903" s="9" t="s">
        <v>62</v>
      </c>
      <c r="H903" s="7">
        <v>903.0</v>
      </c>
      <c r="I903" s="10" t="s">
        <v>1486</v>
      </c>
    </row>
    <row r="904">
      <c r="A904" s="7">
        <v>903.0</v>
      </c>
      <c r="B904" s="18" t="s">
        <v>1487</v>
      </c>
      <c r="C904" s="9" t="s">
        <v>10</v>
      </c>
      <c r="D904" s="9" t="s">
        <v>196</v>
      </c>
      <c r="E904" s="9" t="s">
        <v>12</v>
      </c>
      <c r="H904" s="7">
        <v>904.0</v>
      </c>
      <c r="I904" s="10" t="s">
        <v>1488</v>
      </c>
    </row>
    <row r="905">
      <c r="A905" s="7">
        <v>904.0</v>
      </c>
      <c r="B905" s="18" t="s">
        <v>1489</v>
      </c>
      <c r="C905" s="9" t="s">
        <v>59</v>
      </c>
      <c r="D905" s="9" t="s">
        <v>74</v>
      </c>
      <c r="E905" s="9" t="s">
        <v>12</v>
      </c>
      <c r="F905" s="16"/>
      <c r="G905" s="9" t="s">
        <v>14</v>
      </c>
      <c r="H905" s="7">
        <v>905.0</v>
      </c>
      <c r="I905" s="10" t="s">
        <v>1490</v>
      </c>
    </row>
    <row r="906">
      <c r="A906" s="7">
        <v>905.0</v>
      </c>
      <c r="B906" s="21" t="s">
        <v>1491</v>
      </c>
      <c r="C906" s="9" t="s">
        <v>10</v>
      </c>
      <c r="D906" s="16"/>
      <c r="E906" s="9" t="s">
        <v>62</v>
      </c>
      <c r="F906" s="16"/>
      <c r="G906" s="16"/>
      <c r="H906" s="7">
        <v>906.0</v>
      </c>
      <c r="I906" s="10" t="s">
        <v>1492</v>
      </c>
    </row>
    <row r="907">
      <c r="A907" s="7">
        <v>906.0</v>
      </c>
      <c r="B907" s="18" t="s">
        <v>1493</v>
      </c>
      <c r="C907" s="9" t="s">
        <v>10</v>
      </c>
      <c r="D907" s="9" t="s">
        <v>196</v>
      </c>
      <c r="E907" s="9" t="s">
        <v>12</v>
      </c>
      <c r="H907" s="7">
        <v>907.0</v>
      </c>
      <c r="I907" s="10" t="s">
        <v>1494</v>
      </c>
    </row>
    <row r="908">
      <c r="A908" s="7">
        <v>907.0</v>
      </c>
      <c r="B908" s="18" t="s">
        <v>1495</v>
      </c>
      <c r="C908" s="9" t="s">
        <v>10</v>
      </c>
      <c r="D908" s="9" t="s">
        <v>196</v>
      </c>
      <c r="E908" s="9" t="s">
        <v>12</v>
      </c>
      <c r="F908" s="9" t="s">
        <v>50</v>
      </c>
      <c r="G908" s="9" t="s">
        <v>14</v>
      </c>
      <c r="H908" s="7">
        <v>908.0</v>
      </c>
      <c r="I908" s="10" t="s">
        <v>1496</v>
      </c>
    </row>
    <row r="909">
      <c r="A909" s="7">
        <v>908.0</v>
      </c>
      <c r="B909" s="21" t="s">
        <v>1497</v>
      </c>
      <c r="C909" s="9" t="s">
        <v>10</v>
      </c>
      <c r="D909" s="16"/>
      <c r="E909" s="9" t="s">
        <v>62</v>
      </c>
      <c r="F909" s="16"/>
      <c r="G909" s="16"/>
      <c r="H909" s="7">
        <v>909.0</v>
      </c>
      <c r="I909" s="10" t="s">
        <v>1498</v>
      </c>
    </row>
    <row r="910">
      <c r="A910" s="7">
        <v>909.0</v>
      </c>
      <c r="B910" s="18" t="s">
        <v>1499</v>
      </c>
      <c r="C910" s="9" t="s">
        <v>59</v>
      </c>
      <c r="D910" s="9" t="s">
        <v>110</v>
      </c>
      <c r="E910" s="9" t="s">
        <v>12</v>
      </c>
      <c r="F910" s="16"/>
      <c r="G910" s="9" t="s">
        <v>111</v>
      </c>
      <c r="H910" s="7">
        <v>910.0</v>
      </c>
      <c r="I910" s="10" t="s">
        <v>1500</v>
      </c>
    </row>
    <row r="911">
      <c r="A911" s="7">
        <v>910.0</v>
      </c>
      <c r="B911" s="18" t="s">
        <v>1501</v>
      </c>
      <c r="C911" s="9" t="s">
        <v>59</v>
      </c>
      <c r="D911" s="9" t="s">
        <v>220</v>
      </c>
      <c r="E911" s="9" t="s">
        <v>12</v>
      </c>
      <c r="F911" s="16"/>
      <c r="G911" s="9" t="s">
        <v>111</v>
      </c>
      <c r="H911" s="7">
        <v>911.0</v>
      </c>
      <c r="I911" s="10" t="s">
        <v>1502</v>
      </c>
      <c r="L911" s="9" t="s">
        <v>194</v>
      </c>
    </row>
    <row r="912">
      <c r="A912" s="7">
        <v>911.0</v>
      </c>
      <c r="B912" s="18" t="s">
        <v>1503</v>
      </c>
      <c r="C912" s="9" t="s">
        <v>61</v>
      </c>
      <c r="D912" s="9" t="s">
        <v>220</v>
      </c>
      <c r="E912" s="9" t="s">
        <v>12</v>
      </c>
      <c r="F912" s="16"/>
      <c r="G912" s="9" t="s">
        <v>111</v>
      </c>
      <c r="H912" s="7">
        <v>912.0</v>
      </c>
      <c r="I912" s="10" t="s">
        <v>1504</v>
      </c>
    </row>
    <row r="913">
      <c r="A913" s="7">
        <v>912.0</v>
      </c>
      <c r="B913" s="18" t="s">
        <v>1503</v>
      </c>
      <c r="C913" s="9" t="s">
        <v>10</v>
      </c>
      <c r="D913" s="16"/>
      <c r="E913" s="9" t="s">
        <v>12</v>
      </c>
      <c r="F913" s="16"/>
      <c r="G913" s="9" t="s">
        <v>111</v>
      </c>
      <c r="H913" s="7">
        <v>913.0</v>
      </c>
      <c r="I913" s="10" t="s">
        <v>1505</v>
      </c>
      <c r="J913" s="9" t="s">
        <v>194</v>
      </c>
    </row>
    <row r="914">
      <c r="A914" s="7">
        <v>913.0</v>
      </c>
      <c r="B914" s="18" t="s">
        <v>1506</v>
      </c>
      <c r="C914" s="9" t="s">
        <v>59</v>
      </c>
      <c r="D914" s="16"/>
      <c r="E914" s="9" t="s">
        <v>12</v>
      </c>
      <c r="F914" s="16"/>
      <c r="G914" s="9" t="s">
        <v>111</v>
      </c>
      <c r="H914" s="7">
        <v>914.0</v>
      </c>
      <c r="I914" s="10" t="s">
        <v>426</v>
      </c>
      <c r="J914" s="9" t="s">
        <v>194</v>
      </c>
    </row>
    <row r="915">
      <c r="A915" s="7">
        <v>914.0</v>
      </c>
      <c r="B915" s="18" t="s">
        <v>1507</v>
      </c>
      <c r="C915" s="9" t="s">
        <v>10</v>
      </c>
      <c r="D915" s="16"/>
      <c r="E915" s="9" t="s">
        <v>62</v>
      </c>
      <c r="H915" s="7">
        <v>915.0</v>
      </c>
      <c r="I915" s="10" t="s">
        <v>1508</v>
      </c>
    </row>
    <row r="916">
      <c r="A916" s="7">
        <v>915.0</v>
      </c>
      <c r="B916" s="18" t="s">
        <v>1509</v>
      </c>
      <c r="C916" s="9" t="s">
        <v>59</v>
      </c>
      <c r="D916" s="16"/>
      <c r="E916" s="9" t="s">
        <v>12</v>
      </c>
      <c r="F916" s="16"/>
      <c r="G916" s="9" t="s">
        <v>111</v>
      </c>
      <c r="H916" s="7">
        <v>916.0</v>
      </c>
      <c r="I916" s="10" t="s">
        <v>1510</v>
      </c>
    </row>
    <row r="917">
      <c r="A917" s="7">
        <v>916.0</v>
      </c>
      <c r="B917" s="18" t="s">
        <v>1511</v>
      </c>
      <c r="C917" s="9" t="s">
        <v>59</v>
      </c>
      <c r="D917" s="16"/>
      <c r="E917" s="9" t="s">
        <v>12</v>
      </c>
      <c r="F917" s="16"/>
      <c r="G917" s="9" t="s">
        <v>111</v>
      </c>
      <c r="H917" s="7">
        <v>917.0</v>
      </c>
      <c r="I917" s="10" t="s">
        <v>1389</v>
      </c>
    </row>
    <row r="918">
      <c r="A918" s="7">
        <v>917.0</v>
      </c>
      <c r="B918" s="15" t="s">
        <v>1512</v>
      </c>
      <c r="C918" s="9" t="s">
        <v>10</v>
      </c>
      <c r="D918" s="9" t="s">
        <v>132</v>
      </c>
      <c r="E918" s="9" t="s">
        <v>12</v>
      </c>
      <c r="F918" s="16"/>
      <c r="G918" s="9" t="s">
        <v>14</v>
      </c>
      <c r="H918" s="7">
        <v>918.0</v>
      </c>
      <c r="I918" s="10" t="s">
        <v>1513</v>
      </c>
    </row>
    <row r="919">
      <c r="A919" s="7">
        <v>918.0</v>
      </c>
      <c r="B919" s="18" t="s">
        <v>1514</v>
      </c>
      <c r="C919" s="9" t="s">
        <v>10</v>
      </c>
      <c r="D919" s="9" t="s">
        <v>196</v>
      </c>
      <c r="E919" s="9" t="s">
        <v>12</v>
      </c>
      <c r="H919" s="7">
        <v>919.0</v>
      </c>
      <c r="I919" s="10" t="s">
        <v>1515</v>
      </c>
    </row>
    <row r="920">
      <c r="A920" s="7">
        <v>919.0</v>
      </c>
      <c r="B920" s="18" t="s">
        <v>1516</v>
      </c>
      <c r="C920" s="9" t="s">
        <v>61</v>
      </c>
      <c r="D920" s="9" t="s">
        <v>220</v>
      </c>
      <c r="E920" s="9" t="s">
        <v>12</v>
      </c>
      <c r="F920" s="16"/>
      <c r="G920" s="9" t="s">
        <v>14</v>
      </c>
      <c r="H920" s="7">
        <v>920.0</v>
      </c>
      <c r="I920" s="10" t="s">
        <v>1517</v>
      </c>
    </row>
    <row r="921">
      <c r="A921" s="7">
        <v>920.0</v>
      </c>
      <c r="B921" s="18" t="s">
        <v>1516</v>
      </c>
      <c r="C921" s="9" t="s">
        <v>10</v>
      </c>
      <c r="D921" s="16"/>
      <c r="E921" s="9" t="s">
        <v>12</v>
      </c>
      <c r="F921" s="16"/>
      <c r="G921" s="9" t="s">
        <v>14</v>
      </c>
      <c r="H921" s="7">
        <v>921.0</v>
      </c>
      <c r="I921" s="10" t="s">
        <v>1518</v>
      </c>
    </row>
    <row r="922">
      <c r="A922" s="7">
        <v>921.0</v>
      </c>
      <c r="B922" s="18" t="s">
        <v>1519</v>
      </c>
      <c r="C922" s="9" t="s">
        <v>10</v>
      </c>
      <c r="D922" s="16"/>
      <c r="E922" s="9" t="s">
        <v>62</v>
      </c>
      <c r="F922" s="16"/>
      <c r="G922" s="16"/>
      <c r="H922" s="7">
        <v>922.0</v>
      </c>
      <c r="I922" s="10" t="s">
        <v>354</v>
      </c>
    </row>
    <row r="923">
      <c r="A923" s="7">
        <v>922.0</v>
      </c>
      <c r="B923" s="18" t="s">
        <v>1520</v>
      </c>
      <c r="C923" s="9" t="s">
        <v>10</v>
      </c>
      <c r="D923" s="16"/>
      <c r="E923" s="9" t="s">
        <v>62</v>
      </c>
      <c r="H923" s="7">
        <v>923.0</v>
      </c>
      <c r="I923" s="10" t="s">
        <v>1521</v>
      </c>
    </row>
    <row r="924">
      <c r="A924" s="7">
        <v>923.0</v>
      </c>
      <c r="B924" s="21" t="s">
        <v>1522</v>
      </c>
      <c r="C924" s="9" t="s">
        <v>10</v>
      </c>
      <c r="D924" s="16"/>
      <c r="E924" s="9" t="s">
        <v>62</v>
      </c>
      <c r="F924" s="16"/>
      <c r="G924" s="16"/>
      <c r="H924" s="7">
        <v>924.0</v>
      </c>
      <c r="I924" s="10" t="s">
        <v>1523</v>
      </c>
    </row>
    <row r="925">
      <c r="A925" s="7">
        <v>924.0</v>
      </c>
      <c r="B925" s="18" t="s">
        <v>1524</v>
      </c>
      <c r="C925" s="9" t="s">
        <v>61</v>
      </c>
      <c r="D925" s="9" t="s">
        <v>220</v>
      </c>
      <c r="E925" s="9" t="s">
        <v>12</v>
      </c>
      <c r="F925" s="16"/>
      <c r="G925" s="9" t="s">
        <v>14</v>
      </c>
      <c r="H925" s="7">
        <v>925.0</v>
      </c>
      <c r="I925" s="10" t="s">
        <v>1525</v>
      </c>
    </row>
    <row r="926">
      <c r="A926" s="7">
        <v>925.0</v>
      </c>
      <c r="B926" s="18" t="s">
        <v>1524</v>
      </c>
      <c r="C926" s="9" t="s">
        <v>10</v>
      </c>
      <c r="D926" s="16"/>
      <c r="E926" s="9" t="s">
        <v>12</v>
      </c>
      <c r="F926" s="16"/>
      <c r="G926" s="9" t="s">
        <v>14</v>
      </c>
      <c r="H926" s="7">
        <v>926.0</v>
      </c>
      <c r="I926" s="10" t="s">
        <v>1526</v>
      </c>
    </row>
    <row r="927">
      <c r="A927" s="7">
        <v>926.0</v>
      </c>
      <c r="B927" s="18" t="s">
        <v>1527</v>
      </c>
      <c r="C927" s="9" t="s">
        <v>10</v>
      </c>
      <c r="D927" s="16"/>
      <c r="E927" s="9" t="s">
        <v>62</v>
      </c>
      <c r="H927" s="7">
        <v>927.0</v>
      </c>
      <c r="I927" s="10" t="s">
        <v>1528</v>
      </c>
    </row>
    <row r="928">
      <c r="A928" s="7">
        <v>927.0</v>
      </c>
      <c r="B928" s="18" t="s">
        <v>1529</v>
      </c>
      <c r="C928" s="9" t="s">
        <v>49</v>
      </c>
      <c r="D928" s="16"/>
      <c r="E928" s="9" t="s">
        <v>12</v>
      </c>
      <c r="F928" s="16"/>
      <c r="G928" s="9" t="s">
        <v>14</v>
      </c>
      <c r="H928" s="7">
        <v>928.0</v>
      </c>
      <c r="I928" s="10" t="s">
        <v>1530</v>
      </c>
    </row>
    <row r="929">
      <c r="A929" s="7">
        <v>928.0</v>
      </c>
      <c r="B929" s="18" t="s">
        <v>1529</v>
      </c>
      <c r="C929" s="9" t="s">
        <v>759</v>
      </c>
      <c r="D929" s="16"/>
      <c r="E929" s="9" t="s">
        <v>12</v>
      </c>
      <c r="F929" s="16"/>
      <c r="G929" s="9" t="s">
        <v>14</v>
      </c>
      <c r="H929" s="7">
        <v>929.0</v>
      </c>
      <c r="I929" s="10" t="s">
        <v>1530</v>
      </c>
    </row>
    <row r="930">
      <c r="A930" s="7">
        <v>929.0</v>
      </c>
      <c r="B930" s="18" t="s">
        <v>1531</v>
      </c>
      <c r="C930" s="9" t="s">
        <v>49</v>
      </c>
      <c r="D930" s="16"/>
      <c r="E930" s="9" t="s">
        <v>12</v>
      </c>
      <c r="F930" s="16"/>
      <c r="G930" s="9" t="s">
        <v>14</v>
      </c>
      <c r="H930" s="7">
        <v>930.0</v>
      </c>
      <c r="I930" s="10" t="s">
        <v>1532</v>
      </c>
    </row>
    <row r="931">
      <c r="A931" s="7">
        <v>930.0</v>
      </c>
      <c r="B931" s="18" t="s">
        <v>1533</v>
      </c>
      <c r="C931" s="9" t="s">
        <v>759</v>
      </c>
      <c r="D931" s="16"/>
      <c r="E931" s="9" t="s">
        <v>12</v>
      </c>
      <c r="F931" s="16"/>
      <c r="G931" s="9" t="s">
        <v>14</v>
      </c>
      <c r="H931" s="7">
        <v>931.0</v>
      </c>
      <c r="I931" s="10" t="s">
        <v>1534</v>
      </c>
    </row>
    <row r="932">
      <c r="A932" s="7">
        <v>931.0</v>
      </c>
      <c r="B932" s="18" t="s">
        <v>1535</v>
      </c>
      <c r="C932" s="9" t="s">
        <v>759</v>
      </c>
      <c r="D932" s="16"/>
      <c r="E932" s="9" t="s">
        <v>12</v>
      </c>
      <c r="F932" s="16"/>
      <c r="G932" s="9" t="s">
        <v>14</v>
      </c>
      <c r="H932" s="7">
        <v>932.0</v>
      </c>
      <c r="I932" s="10" t="s">
        <v>1536</v>
      </c>
    </row>
    <row r="933">
      <c r="A933" s="7">
        <v>932.0</v>
      </c>
      <c r="B933" s="48" t="s">
        <v>1537</v>
      </c>
      <c r="C933" s="9" t="s">
        <v>759</v>
      </c>
      <c r="D933" s="16"/>
      <c r="E933" s="9" t="s">
        <v>12</v>
      </c>
      <c r="F933" s="16"/>
      <c r="G933" s="9" t="s">
        <v>14</v>
      </c>
      <c r="H933" s="7">
        <v>933.0</v>
      </c>
      <c r="I933" s="17" t="s">
        <v>1538</v>
      </c>
    </row>
    <row r="934">
      <c r="A934" s="7">
        <v>933.0</v>
      </c>
      <c r="B934" s="18" t="s">
        <v>1539</v>
      </c>
      <c r="C934" s="9" t="s">
        <v>759</v>
      </c>
      <c r="D934" s="16"/>
      <c r="E934" s="9" t="s">
        <v>12</v>
      </c>
      <c r="F934" s="16"/>
      <c r="G934" s="9" t="s">
        <v>14</v>
      </c>
      <c r="H934" s="7">
        <v>934.0</v>
      </c>
      <c r="I934" s="10" t="s">
        <v>1540</v>
      </c>
    </row>
    <row r="935">
      <c r="A935" s="7">
        <v>934.0</v>
      </c>
      <c r="B935" s="18" t="s">
        <v>1541</v>
      </c>
      <c r="C935" s="9" t="s">
        <v>10</v>
      </c>
      <c r="D935" s="16"/>
      <c r="E935" s="9" t="s">
        <v>62</v>
      </c>
      <c r="H935" s="7">
        <v>935.0</v>
      </c>
      <c r="I935" s="10" t="s">
        <v>1542</v>
      </c>
    </row>
    <row r="936">
      <c r="A936" s="7">
        <v>935.0</v>
      </c>
      <c r="B936" s="18" t="s">
        <v>1543</v>
      </c>
      <c r="C936" s="9" t="s">
        <v>759</v>
      </c>
      <c r="D936" s="16"/>
      <c r="E936" s="9" t="s">
        <v>12</v>
      </c>
      <c r="F936" s="16"/>
      <c r="G936" s="9" t="s">
        <v>14</v>
      </c>
      <c r="H936" s="7">
        <v>936.0</v>
      </c>
      <c r="I936" s="10" t="s">
        <v>1544</v>
      </c>
    </row>
    <row r="937">
      <c r="A937" s="7">
        <v>936.0</v>
      </c>
      <c r="B937" s="18" t="s">
        <v>1545</v>
      </c>
      <c r="C937" s="9" t="s">
        <v>759</v>
      </c>
      <c r="D937" s="16"/>
      <c r="E937" s="9" t="s">
        <v>12</v>
      </c>
      <c r="F937" s="16"/>
      <c r="G937" s="9" t="s">
        <v>14</v>
      </c>
      <c r="H937" s="7">
        <v>937.0</v>
      </c>
      <c r="I937" s="17" t="s">
        <v>1538</v>
      </c>
    </row>
    <row r="938">
      <c r="A938" s="7">
        <v>937.0</v>
      </c>
      <c r="B938" s="18" t="s">
        <v>1546</v>
      </c>
      <c r="C938" s="9" t="s">
        <v>10</v>
      </c>
      <c r="D938" s="9" t="s">
        <v>132</v>
      </c>
      <c r="E938" s="9" t="s">
        <v>12</v>
      </c>
      <c r="F938" s="16"/>
      <c r="G938" s="9" t="s">
        <v>14</v>
      </c>
      <c r="H938" s="7">
        <v>938.0</v>
      </c>
      <c r="I938" s="10" t="s">
        <v>1547</v>
      </c>
    </row>
    <row r="939">
      <c r="A939" s="7">
        <v>938.0</v>
      </c>
      <c r="B939" s="18" t="s">
        <v>1548</v>
      </c>
      <c r="C939" s="9" t="s">
        <v>10</v>
      </c>
      <c r="D939" s="16"/>
      <c r="E939" s="9" t="s">
        <v>12</v>
      </c>
      <c r="F939" s="16"/>
      <c r="G939" s="9" t="s">
        <v>14</v>
      </c>
      <c r="H939" s="7">
        <v>939.0</v>
      </c>
      <c r="I939" s="10" t="s">
        <v>1549</v>
      </c>
    </row>
    <row r="940">
      <c r="A940" s="7">
        <v>939.0</v>
      </c>
      <c r="B940" s="18" t="s">
        <v>1550</v>
      </c>
      <c r="C940" s="9" t="s">
        <v>10</v>
      </c>
      <c r="D940" s="16"/>
      <c r="E940" s="9" t="s">
        <v>12</v>
      </c>
      <c r="F940" s="16"/>
      <c r="G940" s="9" t="s">
        <v>14</v>
      </c>
      <c r="H940" s="7">
        <v>940.0</v>
      </c>
      <c r="I940" s="17" t="s">
        <v>1551</v>
      </c>
    </row>
    <row r="941">
      <c r="A941" s="7">
        <v>940.0</v>
      </c>
      <c r="B941" s="18" t="s">
        <v>1552</v>
      </c>
      <c r="C941" s="9" t="s">
        <v>61</v>
      </c>
      <c r="D941" s="16"/>
      <c r="E941" s="9" t="s">
        <v>62</v>
      </c>
      <c r="H941" s="7">
        <v>941.0</v>
      </c>
      <c r="I941" s="10" t="s">
        <v>1553</v>
      </c>
    </row>
    <row r="942">
      <c r="A942" s="7">
        <v>941.0</v>
      </c>
      <c r="B942" s="18" t="s">
        <v>1554</v>
      </c>
      <c r="C942" s="9" t="s">
        <v>59</v>
      </c>
      <c r="D942" s="16"/>
      <c r="E942" s="9" t="s">
        <v>12</v>
      </c>
      <c r="H942" s="7">
        <v>942.0</v>
      </c>
      <c r="I942" s="10" t="s">
        <v>1555</v>
      </c>
    </row>
    <row r="943">
      <c r="A943" s="7">
        <v>942.0</v>
      </c>
      <c r="B943" s="18" t="s">
        <v>1556</v>
      </c>
      <c r="C943" s="9" t="s">
        <v>759</v>
      </c>
      <c r="D943" s="16"/>
      <c r="E943" s="9" t="s">
        <v>12</v>
      </c>
      <c r="F943" s="16"/>
      <c r="G943" s="9" t="s">
        <v>14</v>
      </c>
      <c r="H943" s="7">
        <v>943.0</v>
      </c>
      <c r="I943" s="10" t="s">
        <v>1557</v>
      </c>
    </row>
    <row r="944">
      <c r="A944" s="7">
        <v>943.0</v>
      </c>
      <c r="B944" s="18" t="s">
        <v>1558</v>
      </c>
      <c r="C944" s="9" t="s">
        <v>759</v>
      </c>
      <c r="D944" s="16"/>
      <c r="E944" s="9" t="s">
        <v>12</v>
      </c>
      <c r="F944" s="16"/>
      <c r="G944" s="9" t="s">
        <v>14</v>
      </c>
      <c r="H944" s="7">
        <v>944.0</v>
      </c>
      <c r="I944" s="49" t="s">
        <v>1559</v>
      </c>
    </row>
    <row r="945">
      <c r="A945" s="7">
        <v>944.0</v>
      </c>
      <c r="B945" s="18" t="s">
        <v>1560</v>
      </c>
      <c r="C945" s="9" t="s">
        <v>61</v>
      </c>
      <c r="D945" s="9" t="s">
        <v>220</v>
      </c>
      <c r="E945" s="9" t="s">
        <v>12</v>
      </c>
      <c r="F945" s="16"/>
      <c r="G945" s="9" t="s">
        <v>14</v>
      </c>
      <c r="H945" s="7">
        <v>945.0</v>
      </c>
      <c r="I945" s="10" t="s">
        <v>1561</v>
      </c>
    </row>
    <row r="946">
      <c r="A946" s="7">
        <v>945.0</v>
      </c>
      <c r="B946" s="18" t="s">
        <v>1560</v>
      </c>
      <c r="C946" s="9" t="s">
        <v>10</v>
      </c>
      <c r="D946" s="16"/>
      <c r="E946" s="9" t="s">
        <v>12</v>
      </c>
      <c r="F946" s="16"/>
      <c r="G946" s="9" t="s">
        <v>14</v>
      </c>
      <c r="H946" s="7">
        <v>946.0</v>
      </c>
      <c r="I946" s="10" t="s">
        <v>1152</v>
      </c>
    </row>
    <row r="947">
      <c r="A947" s="7">
        <v>946.0</v>
      </c>
      <c r="B947" s="15" t="s">
        <v>1562</v>
      </c>
      <c r="C947" s="9" t="s">
        <v>10</v>
      </c>
      <c r="D947" s="9" t="s">
        <v>667</v>
      </c>
      <c r="E947" s="9" t="s">
        <v>12</v>
      </c>
      <c r="F947" s="16"/>
      <c r="G947" s="9" t="s">
        <v>111</v>
      </c>
      <c r="H947" s="7">
        <v>947.0</v>
      </c>
      <c r="I947" s="10" t="s">
        <v>1563</v>
      </c>
    </row>
    <row r="948">
      <c r="A948" s="7">
        <v>947.0</v>
      </c>
      <c r="B948" s="18" t="s">
        <v>1564</v>
      </c>
      <c r="C948" s="9" t="s">
        <v>10</v>
      </c>
      <c r="D948" s="9" t="s">
        <v>196</v>
      </c>
      <c r="E948" s="9" t="s">
        <v>12</v>
      </c>
      <c r="H948" s="7">
        <v>948.0</v>
      </c>
      <c r="I948" s="10" t="s">
        <v>1565</v>
      </c>
    </row>
    <row r="949">
      <c r="A949" s="7">
        <v>948.0</v>
      </c>
      <c r="B949" s="18" t="s">
        <v>4</v>
      </c>
      <c r="C949" s="9" t="s">
        <v>10</v>
      </c>
      <c r="D949" s="9" t="s">
        <v>11</v>
      </c>
      <c r="E949" s="9" t="s">
        <v>12</v>
      </c>
      <c r="F949" s="16"/>
      <c r="G949" s="9" t="s">
        <v>14</v>
      </c>
      <c r="H949" s="7">
        <v>949.0</v>
      </c>
      <c r="I949" s="10" t="s">
        <v>1521</v>
      </c>
    </row>
    <row r="950">
      <c r="A950" s="7">
        <v>949.0</v>
      </c>
      <c r="B950" s="18" t="s">
        <v>1566</v>
      </c>
      <c r="C950" s="9" t="s">
        <v>59</v>
      </c>
      <c r="D950" s="9" t="s">
        <v>220</v>
      </c>
      <c r="E950" s="9" t="s">
        <v>12</v>
      </c>
      <c r="F950" s="9" t="s">
        <v>50</v>
      </c>
      <c r="G950" s="9" t="s">
        <v>111</v>
      </c>
      <c r="H950" s="7">
        <v>950.0</v>
      </c>
      <c r="I950" s="10" t="s">
        <v>1389</v>
      </c>
    </row>
    <row r="951">
      <c r="A951" s="7">
        <v>950.0</v>
      </c>
      <c r="B951" s="18" t="s">
        <v>1567</v>
      </c>
      <c r="C951" s="9" t="s">
        <v>59</v>
      </c>
      <c r="D951" s="16"/>
      <c r="E951" s="9" t="s">
        <v>12</v>
      </c>
      <c r="H951" s="7">
        <v>951.0</v>
      </c>
      <c r="I951" s="10" t="s">
        <v>1568</v>
      </c>
    </row>
    <row r="952">
      <c r="A952" s="7">
        <v>951.0</v>
      </c>
      <c r="B952" s="18" t="s">
        <v>1569</v>
      </c>
      <c r="C952" s="9" t="s">
        <v>61</v>
      </c>
      <c r="D952" s="9" t="s">
        <v>220</v>
      </c>
      <c r="E952" s="9" t="s">
        <v>12</v>
      </c>
      <c r="F952" s="16"/>
      <c r="G952" s="9" t="s">
        <v>111</v>
      </c>
      <c r="H952" s="7">
        <v>952.0</v>
      </c>
      <c r="I952" s="10" t="s">
        <v>1570</v>
      </c>
    </row>
    <row r="953">
      <c r="A953" s="7">
        <v>952.0</v>
      </c>
      <c r="B953" s="18" t="s">
        <v>1569</v>
      </c>
      <c r="C953" s="9" t="s">
        <v>10</v>
      </c>
      <c r="D953" s="16"/>
      <c r="E953" s="9" t="s">
        <v>12</v>
      </c>
      <c r="F953" s="16"/>
      <c r="G953" s="9" t="s">
        <v>14</v>
      </c>
      <c r="H953" s="7">
        <v>953.0</v>
      </c>
      <c r="I953" s="10" t="s">
        <v>1570</v>
      </c>
    </row>
    <row r="954">
      <c r="A954" s="7">
        <v>953.0</v>
      </c>
      <c r="B954" s="18" t="s">
        <v>1571</v>
      </c>
      <c r="C954" s="9" t="s">
        <v>53</v>
      </c>
      <c r="D954" s="9" t="s">
        <v>55</v>
      </c>
      <c r="E954" s="9" t="s">
        <v>12</v>
      </c>
      <c r="F954" s="16"/>
      <c r="G954" s="9" t="s">
        <v>14</v>
      </c>
      <c r="H954" s="7">
        <v>954.0</v>
      </c>
      <c r="I954" s="10" t="s">
        <v>1572</v>
      </c>
    </row>
    <row r="955">
      <c r="A955" s="7">
        <v>954.0</v>
      </c>
      <c r="B955" s="18" t="s">
        <v>1571</v>
      </c>
      <c r="C955" s="9" t="s">
        <v>57</v>
      </c>
      <c r="D955" s="16"/>
      <c r="E955" s="9" t="s">
        <v>12</v>
      </c>
      <c r="F955" s="16"/>
      <c r="G955" s="9" t="s">
        <v>14</v>
      </c>
      <c r="H955" s="7">
        <v>955.0</v>
      </c>
      <c r="I955" s="10" t="s">
        <v>1572</v>
      </c>
    </row>
    <row r="956">
      <c r="A956" s="7">
        <v>955.0</v>
      </c>
      <c r="B956" s="18" t="s">
        <v>1571</v>
      </c>
      <c r="C956" s="9" t="s">
        <v>49</v>
      </c>
      <c r="D956" s="16"/>
      <c r="E956" s="9" t="s">
        <v>12</v>
      </c>
      <c r="F956" s="16"/>
      <c r="G956" s="9" t="s">
        <v>14</v>
      </c>
      <c r="H956" s="7">
        <v>956.0</v>
      </c>
      <c r="I956" s="10" t="s">
        <v>1572</v>
      </c>
    </row>
    <row r="957">
      <c r="A957" s="7">
        <v>956.0</v>
      </c>
      <c r="B957" s="18" t="s">
        <v>1573</v>
      </c>
      <c r="C957" s="9" t="s">
        <v>59</v>
      </c>
      <c r="D957" s="16"/>
      <c r="E957" s="9" t="s">
        <v>12</v>
      </c>
      <c r="F957" s="16"/>
      <c r="G957" s="9" t="s">
        <v>111</v>
      </c>
      <c r="H957" s="7">
        <v>957.0</v>
      </c>
      <c r="I957" s="10" t="s">
        <v>1574</v>
      </c>
    </row>
    <row r="958">
      <c r="A958" s="7">
        <v>957.0</v>
      </c>
      <c r="B958" s="18" t="s">
        <v>1575</v>
      </c>
      <c r="C958" s="9" t="s">
        <v>10</v>
      </c>
      <c r="D958" s="9" t="s">
        <v>132</v>
      </c>
      <c r="E958" s="9" t="s">
        <v>12</v>
      </c>
      <c r="F958" s="16"/>
      <c r="G958" s="9" t="s">
        <v>14</v>
      </c>
      <c r="H958" s="7">
        <v>958.0</v>
      </c>
      <c r="I958" s="10" t="s">
        <v>1576</v>
      </c>
    </row>
    <row r="959">
      <c r="A959" s="7">
        <v>958.0</v>
      </c>
      <c r="B959" s="18" t="s">
        <v>1577</v>
      </c>
      <c r="C959" s="9" t="s">
        <v>10</v>
      </c>
      <c r="D959" s="9" t="s">
        <v>11</v>
      </c>
      <c r="E959" s="9" t="s">
        <v>12</v>
      </c>
      <c r="F959" s="16"/>
      <c r="G959" s="9" t="s">
        <v>14</v>
      </c>
      <c r="H959" s="7">
        <v>959.0</v>
      </c>
      <c r="I959" s="10" t="s">
        <v>1578</v>
      </c>
    </row>
    <row r="960">
      <c r="A960" s="7">
        <v>959.0</v>
      </c>
      <c r="B960" s="18" t="s">
        <v>1577</v>
      </c>
      <c r="C960" s="9" t="s">
        <v>10</v>
      </c>
      <c r="D960" s="9" t="s">
        <v>667</v>
      </c>
      <c r="E960" s="9" t="s">
        <v>12</v>
      </c>
      <c r="F960" s="16"/>
      <c r="G960" s="9" t="s">
        <v>14</v>
      </c>
      <c r="H960" s="7">
        <v>960.0</v>
      </c>
      <c r="I960" s="10" t="s">
        <v>1579</v>
      </c>
    </row>
    <row r="961">
      <c r="A961" s="7">
        <v>960.0</v>
      </c>
      <c r="B961" s="18" t="s">
        <v>1577</v>
      </c>
      <c r="C961" s="9" t="s">
        <v>57</v>
      </c>
      <c r="D961" s="9" t="s">
        <v>667</v>
      </c>
      <c r="E961" s="9" t="s">
        <v>12</v>
      </c>
      <c r="F961" s="16"/>
      <c r="G961" s="9" t="s">
        <v>14</v>
      </c>
      <c r="H961" s="7">
        <v>961.0</v>
      </c>
      <c r="I961" s="10" t="s">
        <v>1579</v>
      </c>
    </row>
    <row r="962">
      <c r="A962" s="7">
        <v>961.0</v>
      </c>
      <c r="B962" s="18" t="s">
        <v>1580</v>
      </c>
      <c r="C962" s="9" t="s">
        <v>10</v>
      </c>
      <c r="D962" s="16"/>
      <c r="E962" s="9" t="s">
        <v>62</v>
      </c>
      <c r="H962" s="7">
        <v>962.0</v>
      </c>
    </row>
    <row r="963">
      <c r="A963" s="7">
        <v>962.0</v>
      </c>
      <c r="B963" s="15" t="s">
        <v>1581</v>
      </c>
      <c r="C963" s="9" t="s">
        <v>10</v>
      </c>
      <c r="D963" s="9" t="s">
        <v>132</v>
      </c>
      <c r="E963" s="9" t="s">
        <v>12</v>
      </c>
      <c r="F963" s="16"/>
      <c r="G963" s="9" t="s">
        <v>14</v>
      </c>
      <c r="H963" s="7">
        <v>963.0</v>
      </c>
      <c r="I963" s="10" t="s">
        <v>1582</v>
      </c>
    </row>
    <row r="964">
      <c r="A964" s="7">
        <v>963.0</v>
      </c>
      <c r="B964" s="21" t="s">
        <v>1583</v>
      </c>
      <c r="C964" s="9" t="s">
        <v>10</v>
      </c>
      <c r="D964" s="16"/>
      <c r="E964" s="9" t="s">
        <v>62</v>
      </c>
      <c r="F964" s="16"/>
      <c r="G964" s="16"/>
      <c r="H964" s="7">
        <v>964.0</v>
      </c>
    </row>
    <row r="965">
      <c r="A965" s="7">
        <v>964.0</v>
      </c>
      <c r="B965" s="18" t="s">
        <v>1584</v>
      </c>
      <c r="C965" s="9" t="s">
        <v>10</v>
      </c>
      <c r="D965" s="9" t="s">
        <v>64</v>
      </c>
      <c r="E965" s="9" t="s">
        <v>62</v>
      </c>
      <c r="H965" s="7">
        <v>965.0</v>
      </c>
      <c r="I965" s="10" t="s">
        <v>1585</v>
      </c>
    </row>
    <row r="966">
      <c r="A966" s="7">
        <v>965.0</v>
      </c>
      <c r="B966" s="18" t="s">
        <v>1586</v>
      </c>
      <c r="C966" s="9" t="s">
        <v>61</v>
      </c>
      <c r="D966" s="9" t="s">
        <v>220</v>
      </c>
      <c r="E966" s="9" t="s">
        <v>12</v>
      </c>
      <c r="F966" s="16"/>
      <c r="G966" s="9" t="s">
        <v>14</v>
      </c>
      <c r="H966" s="7">
        <v>966.0</v>
      </c>
      <c r="I966" s="10" t="s">
        <v>1587</v>
      </c>
    </row>
    <row r="967">
      <c r="A967" s="7">
        <v>966.0</v>
      </c>
      <c r="B967" s="18" t="s">
        <v>1586</v>
      </c>
      <c r="C967" s="9" t="s">
        <v>10</v>
      </c>
      <c r="D967" s="16"/>
      <c r="E967" s="9" t="s">
        <v>12</v>
      </c>
      <c r="F967" s="16"/>
      <c r="G967" s="9" t="s">
        <v>14</v>
      </c>
      <c r="H967" s="7">
        <v>967.0</v>
      </c>
      <c r="I967" s="10" t="s">
        <v>1587</v>
      </c>
    </row>
    <row r="968">
      <c r="A968" s="7">
        <v>967.0</v>
      </c>
      <c r="B968" s="18" t="s">
        <v>1588</v>
      </c>
      <c r="C968" s="9" t="s">
        <v>10</v>
      </c>
      <c r="D968" s="16"/>
      <c r="E968" s="9" t="s">
        <v>12</v>
      </c>
      <c r="H968" s="7">
        <v>968.0</v>
      </c>
    </row>
    <row r="969">
      <c r="A969" s="7">
        <v>968.0</v>
      </c>
      <c r="B969" s="18" t="s">
        <v>1589</v>
      </c>
      <c r="C969" s="9" t="s">
        <v>10</v>
      </c>
      <c r="D969" s="16"/>
      <c r="E969" s="9" t="s">
        <v>62</v>
      </c>
      <c r="H969" s="7">
        <v>969.0</v>
      </c>
      <c r="I969" s="10" t="s">
        <v>1590</v>
      </c>
    </row>
    <row r="970">
      <c r="A970" s="7">
        <v>969.0</v>
      </c>
      <c r="B970" s="18" t="s">
        <v>1591</v>
      </c>
      <c r="C970" s="9" t="s">
        <v>59</v>
      </c>
      <c r="D970" s="16"/>
      <c r="E970" s="9" t="s">
        <v>62</v>
      </c>
      <c r="H970" s="7">
        <v>970.0</v>
      </c>
    </row>
    <row r="971">
      <c r="A971" s="7">
        <v>970.0</v>
      </c>
      <c r="B971" s="18" t="s">
        <v>1592</v>
      </c>
      <c r="C971" s="9" t="s">
        <v>10</v>
      </c>
      <c r="D971" s="16"/>
      <c r="E971" s="9" t="s">
        <v>12</v>
      </c>
      <c r="F971" s="16"/>
      <c r="G971" s="9" t="s">
        <v>14</v>
      </c>
      <c r="H971" s="7">
        <v>971.0</v>
      </c>
      <c r="I971" s="10" t="s">
        <v>1593</v>
      </c>
    </row>
    <row r="972">
      <c r="A972" s="7">
        <v>971.0</v>
      </c>
      <c r="B972" s="15" t="s">
        <v>1594</v>
      </c>
      <c r="C972" s="9" t="s">
        <v>10</v>
      </c>
      <c r="D972" s="9" t="s">
        <v>44</v>
      </c>
      <c r="E972" s="9" t="s">
        <v>12</v>
      </c>
      <c r="F972" s="16"/>
      <c r="G972" s="9" t="s">
        <v>111</v>
      </c>
      <c r="H972" s="7">
        <v>972.0</v>
      </c>
      <c r="I972" s="10" t="s">
        <v>1595</v>
      </c>
    </row>
    <row r="973">
      <c r="A973" s="7">
        <v>972.0</v>
      </c>
      <c r="B973" s="18" t="s">
        <v>1596</v>
      </c>
      <c r="C973" s="9" t="s">
        <v>59</v>
      </c>
      <c r="D973" s="9"/>
      <c r="E973" s="9" t="s">
        <v>12</v>
      </c>
      <c r="F973" s="16"/>
      <c r="G973" s="9" t="s">
        <v>111</v>
      </c>
      <c r="H973" s="7">
        <v>973.0</v>
      </c>
      <c r="I973" s="10" t="s">
        <v>1597</v>
      </c>
    </row>
    <row r="974">
      <c r="A974" s="7">
        <v>973.0</v>
      </c>
      <c r="B974" s="18" t="s">
        <v>1598</v>
      </c>
      <c r="C974" s="9" t="s">
        <v>59</v>
      </c>
      <c r="D974" s="9" t="s">
        <v>220</v>
      </c>
      <c r="E974" s="9" t="s">
        <v>12</v>
      </c>
      <c r="F974" s="16"/>
      <c r="G974" s="9" t="s">
        <v>111</v>
      </c>
      <c r="H974" s="7">
        <v>974.0</v>
      </c>
      <c r="I974" s="10" t="s">
        <v>1599</v>
      </c>
    </row>
    <row r="975">
      <c r="A975" s="7">
        <v>974.0</v>
      </c>
      <c r="B975" s="18" t="s">
        <v>1600</v>
      </c>
      <c r="C975" s="9" t="s">
        <v>10</v>
      </c>
      <c r="D975" s="9" t="s">
        <v>64</v>
      </c>
      <c r="E975" s="9" t="s">
        <v>62</v>
      </c>
      <c r="H975" s="7">
        <v>975.0</v>
      </c>
      <c r="I975" s="10" t="s">
        <v>1601</v>
      </c>
    </row>
    <row r="976">
      <c r="A976" s="7">
        <v>975.0</v>
      </c>
      <c r="B976" s="15" t="s">
        <v>1602</v>
      </c>
      <c r="C976" s="9" t="s">
        <v>10</v>
      </c>
      <c r="D976" s="9" t="s">
        <v>667</v>
      </c>
      <c r="E976" s="9" t="s">
        <v>12</v>
      </c>
      <c r="F976" s="16"/>
      <c r="G976" s="9" t="s">
        <v>14</v>
      </c>
      <c r="H976" s="7">
        <v>976.0</v>
      </c>
      <c r="I976" s="10" t="s">
        <v>1603</v>
      </c>
    </row>
    <row r="977">
      <c r="A977" s="7">
        <v>976.0</v>
      </c>
      <c r="B977" s="18" t="s">
        <v>1604</v>
      </c>
      <c r="C977" s="9" t="s">
        <v>61</v>
      </c>
      <c r="D977" s="9" t="s">
        <v>40</v>
      </c>
      <c r="E977" s="9" t="s">
        <v>62</v>
      </c>
      <c r="H977" s="7">
        <v>977.0</v>
      </c>
      <c r="I977" s="10" t="s">
        <v>1605</v>
      </c>
    </row>
    <row r="978">
      <c r="A978" s="7">
        <v>977.0</v>
      </c>
      <c r="B978" s="18" t="s">
        <v>1606</v>
      </c>
      <c r="C978" s="9" t="s">
        <v>10</v>
      </c>
      <c r="D978" s="9" t="s">
        <v>37</v>
      </c>
      <c r="E978" s="9" t="s">
        <v>12</v>
      </c>
      <c r="F978" s="9" t="s">
        <v>50</v>
      </c>
      <c r="G978" s="9" t="s">
        <v>372</v>
      </c>
      <c r="H978" s="7">
        <v>978.0</v>
      </c>
      <c r="I978" s="10" t="s">
        <v>1607</v>
      </c>
    </row>
    <row r="979">
      <c r="A979" s="7">
        <v>978.0</v>
      </c>
      <c r="B979" s="18" t="s">
        <v>1608</v>
      </c>
      <c r="C979" s="9" t="s">
        <v>59</v>
      </c>
      <c r="D979" s="16"/>
      <c r="E979" s="9" t="s">
        <v>12</v>
      </c>
      <c r="F979" s="16"/>
      <c r="G979" s="9" t="s">
        <v>224</v>
      </c>
      <c r="H979" s="7">
        <v>979.0</v>
      </c>
      <c r="I979" s="10" t="s">
        <v>1609</v>
      </c>
    </row>
    <row r="980">
      <c r="A980" s="7">
        <v>979.0</v>
      </c>
      <c r="B980" s="18" t="s">
        <v>1608</v>
      </c>
      <c r="C980" s="9" t="s">
        <v>10</v>
      </c>
      <c r="D980" s="16"/>
      <c r="E980" s="9" t="s">
        <v>12</v>
      </c>
      <c r="F980" s="16"/>
      <c r="G980" s="9" t="s">
        <v>224</v>
      </c>
      <c r="H980" s="7">
        <v>980.0</v>
      </c>
      <c r="I980" s="10" t="s">
        <v>1610</v>
      </c>
    </row>
    <row r="981">
      <c r="A981" s="7">
        <v>980.0</v>
      </c>
      <c r="B981" s="18" t="s">
        <v>1611</v>
      </c>
      <c r="C981" s="9" t="s">
        <v>10</v>
      </c>
      <c r="D981" s="9" t="s">
        <v>16</v>
      </c>
      <c r="E981" s="9" t="s">
        <v>12</v>
      </c>
      <c r="F981" s="16"/>
      <c r="G981" s="9" t="s">
        <v>224</v>
      </c>
      <c r="H981" s="7">
        <v>981.0</v>
      </c>
      <c r="I981" s="10" t="s">
        <v>1612</v>
      </c>
    </row>
    <row r="982">
      <c r="A982" s="7">
        <v>981.0</v>
      </c>
      <c r="B982" s="18" t="s">
        <v>1613</v>
      </c>
      <c r="C982" s="9" t="s">
        <v>53</v>
      </c>
      <c r="D982" s="9" t="s">
        <v>55</v>
      </c>
      <c r="E982" s="9" t="s">
        <v>12</v>
      </c>
      <c r="F982" s="16"/>
      <c r="G982" s="9" t="s">
        <v>14</v>
      </c>
      <c r="H982" s="7">
        <v>982.0</v>
      </c>
      <c r="I982" s="10" t="s">
        <v>244</v>
      </c>
    </row>
    <row r="983">
      <c r="A983" s="7">
        <v>982.0</v>
      </c>
      <c r="B983" s="18" t="s">
        <v>1613</v>
      </c>
      <c r="C983" s="9" t="s">
        <v>57</v>
      </c>
      <c r="D983" s="16"/>
      <c r="E983" s="9" t="s">
        <v>12</v>
      </c>
      <c r="F983" s="16"/>
      <c r="G983" s="9" t="s">
        <v>14</v>
      </c>
      <c r="H983" s="7">
        <v>983.0</v>
      </c>
      <c r="I983" s="10" t="s">
        <v>1614</v>
      </c>
    </row>
    <row r="984">
      <c r="A984" s="7">
        <v>983.0</v>
      </c>
      <c r="B984" s="18" t="s">
        <v>1615</v>
      </c>
      <c r="C984" s="9" t="s">
        <v>53</v>
      </c>
      <c r="D984" s="9" t="s">
        <v>55</v>
      </c>
      <c r="E984" s="9" t="s">
        <v>12</v>
      </c>
      <c r="F984" s="16"/>
      <c r="G984" s="9" t="s">
        <v>14</v>
      </c>
      <c r="H984" s="7">
        <v>984.0</v>
      </c>
      <c r="I984" s="10" t="s">
        <v>1616</v>
      </c>
    </row>
    <row r="985">
      <c r="A985" s="7">
        <v>984.0</v>
      </c>
      <c r="B985" s="18" t="s">
        <v>1615</v>
      </c>
      <c r="C985" s="9" t="s">
        <v>10</v>
      </c>
      <c r="D985" s="16"/>
      <c r="E985" s="9" t="s">
        <v>12</v>
      </c>
      <c r="F985" s="16"/>
      <c r="G985" s="9" t="s">
        <v>14</v>
      </c>
      <c r="H985" s="7">
        <v>985.0</v>
      </c>
      <c r="I985" s="10" t="s">
        <v>1616</v>
      </c>
    </row>
    <row r="986">
      <c r="A986" s="7">
        <v>985.0</v>
      </c>
      <c r="B986" s="18" t="s">
        <v>1615</v>
      </c>
      <c r="C986" s="9" t="s">
        <v>57</v>
      </c>
      <c r="D986" s="16"/>
      <c r="E986" s="9" t="s">
        <v>12</v>
      </c>
      <c r="F986" s="16"/>
      <c r="G986" s="9" t="s">
        <v>14</v>
      </c>
      <c r="H986" s="7">
        <v>986.0</v>
      </c>
      <c r="I986" s="10" t="s">
        <v>1616</v>
      </c>
    </row>
    <row r="987">
      <c r="A987" s="7">
        <v>986.0</v>
      </c>
      <c r="B987" s="18" t="s">
        <v>1615</v>
      </c>
      <c r="C987" s="9" t="s">
        <v>61</v>
      </c>
      <c r="D987" s="16"/>
      <c r="E987" s="9" t="s">
        <v>12</v>
      </c>
      <c r="F987" s="16"/>
      <c r="G987" s="9" t="s">
        <v>14</v>
      </c>
      <c r="H987" s="7">
        <v>987.0</v>
      </c>
      <c r="I987" s="10" t="s">
        <v>1616</v>
      </c>
    </row>
    <row r="988">
      <c r="A988" s="7">
        <v>987.0</v>
      </c>
      <c r="B988" s="18" t="s">
        <v>1615</v>
      </c>
      <c r="C988" s="9" t="s">
        <v>59</v>
      </c>
      <c r="D988" s="16"/>
      <c r="E988" s="9" t="s">
        <v>12</v>
      </c>
      <c r="F988" s="16"/>
      <c r="G988" s="9" t="s">
        <v>14</v>
      </c>
      <c r="H988" s="7">
        <v>988.0</v>
      </c>
      <c r="I988" s="10" t="s">
        <v>1616</v>
      </c>
    </row>
    <row r="989">
      <c r="A989" s="7">
        <v>988.0</v>
      </c>
      <c r="B989" s="18" t="s">
        <v>1617</v>
      </c>
      <c r="C989" s="9" t="s">
        <v>61</v>
      </c>
      <c r="D989" s="16"/>
      <c r="E989" s="9" t="s">
        <v>62</v>
      </c>
      <c r="H989" s="7">
        <v>989.0</v>
      </c>
    </row>
    <row r="990">
      <c r="A990" s="7">
        <v>989.0</v>
      </c>
      <c r="B990" s="18" t="s">
        <v>1618</v>
      </c>
      <c r="C990" s="9" t="s">
        <v>61</v>
      </c>
      <c r="D990" s="9" t="s">
        <v>220</v>
      </c>
      <c r="E990" s="9" t="s">
        <v>12</v>
      </c>
      <c r="F990" s="16"/>
      <c r="G990" s="9" t="s">
        <v>14</v>
      </c>
      <c r="H990" s="7">
        <v>990.0</v>
      </c>
      <c r="I990" s="10" t="s">
        <v>486</v>
      </c>
    </row>
    <row r="991">
      <c r="A991" s="7">
        <v>990.0</v>
      </c>
      <c r="B991" s="18" t="s">
        <v>1619</v>
      </c>
      <c r="C991" s="9" t="s">
        <v>10</v>
      </c>
      <c r="D991" s="9" t="s">
        <v>196</v>
      </c>
      <c r="E991" s="9" t="s">
        <v>12</v>
      </c>
      <c r="H991" s="7">
        <v>991.0</v>
      </c>
      <c r="I991" s="10" t="s">
        <v>1620</v>
      </c>
    </row>
    <row r="992">
      <c r="A992" s="7">
        <v>991.0</v>
      </c>
      <c r="B992" s="18" t="s">
        <v>1621</v>
      </c>
      <c r="C992" s="9" t="s">
        <v>10</v>
      </c>
      <c r="D992" s="16"/>
      <c r="E992" s="9" t="s">
        <v>12</v>
      </c>
      <c r="F992" s="16"/>
      <c r="G992" s="9" t="s">
        <v>14</v>
      </c>
      <c r="H992" s="7">
        <v>992.0</v>
      </c>
      <c r="I992" s="10" t="s">
        <v>373</v>
      </c>
    </row>
    <row r="993">
      <c r="A993" s="7">
        <v>992.0</v>
      </c>
      <c r="B993" s="18" t="s">
        <v>1622</v>
      </c>
      <c r="C993" s="9" t="s">
        <v>10</v>
      </c>
      <c r="D993" s="16"/>
      <c r="E993" s="9" t="s">
        <v>12</v>
      </c>
      <c r="F993" s="16"/>
      <c r="G993" s="9" t="s">
        <v>14</v>
      </c>
      <c r="H993" s="7">
        <v>993.0</v>
      </c>
      <c r="I993" s="10" t="s">
        <v>1623</v>
      </c>
    </row>
    <row r="994">
      <c r="A994" s="7">
        <v>993.0</v>
      </c>
      <c r="B994" s="18" t="s">
        <v>1624</v>
      </c>
      <c r="C994" s="9" t="s">
        <v>10</v>
      </c>
      <c r="D994" s="16"/>
      <c r="E994" s="9" t="s">
        <v>62</v>
      </c>
      <c r="H994" s="7">
        <v>994.0</v>
      </c>
    </row>
    <row r="995">
      <c r="A995" s="7">
        <v>994.0</v>
      </c>
      <c r="B995" s="18" t="s">
        <v>1625</v>
      </c>
      <c r="C995" s="9" t="s">
        <v>10</v>
      </c>
      <c r="D995" s="9" t="s">
        <v>196</v>
      </c>
      <c r="E995" s="9" t="s">
        <v>12</v>
      </c>
      <c r="H995" s="7">
        <v>995.0</v>
      </c>
      <c r="I995" s="10" t="s">
        <v>1626</v>
      </c>
    </row>
    <row r="996">
      <c r="A996" s="7">
        <v>995.0</v>
      </c>
      <c r="B996" s="35" t="s">
        <v>1627</v>
      </c>
      <c r="C996" s="9" t="s">
        <v>61</v>
      </c>
      <c r="D996" s="16"/>
      <c r="E996" s="9" t="s">
        <v>62</v>
      </c>
      <c r="H996" s="7">
        <v>996.0</v>
      </c>
      <c r="I996" s="10" t="s">
        <v>1628</v>
      </c>
    </row>
    <row r="997">
      <c r="A997" s="7">
        <v>996.0</v>
      </c>
      <c r="B997" s="18" t="s">
        <v>1629</v>
      </c>
      <c r="C997" s="9" t="s">
        <v>10</v>
      </c>
      <c r="D997" s="16"/>
      <c r="E997" s="9" t="s">
        <v>62</v>
      </c>
      <c r="F997" s="16"/>
      <c r="G997" s="16"/>
      <c r="H997" s="7">
        <v>997.0</v>
      </c>
      <c r="I997" s="10" t="s">
        <v>1630</v>
      </c>
    </row>
    <row r="998">
      <c r="A998" s="7">
        <v>997.0</v>
      </c>
      <c r="B998" s="18" t="s">
        <v>1631</v>
      </c>
      <c r="C998" s="9" t="s">
        <v>61</v>
      </c>
      <c r="D998" s="9" t="s">
        <v>220</v>
      </c>
      <c r="E998" s="9" t="s">
        <v>12</v>
      </c>
      <c r="F998" s="16"/>
      <c r="G998" s="9" t="s">
        <v>14</v>
      </c>
      <c r="H998" s="7">
        <v>998.0</v>
      </c>
      <c r="I998" s="10" t="s">
        <v>1632</v>
      </c>
    </row>
    <row r="999">
      <c r="A999" s="7">
        <v>998.0</v>
      </c>
      <c r="B999" s="18" t="s">
        <v>1631</v>
      </c>
      <c r="C999" s="9" t="s">
        <v>10</v>
      </c>
      <c r="D999" s="16"/>
      <c r="E999" s="9" t="s">
        <v>12</v>
      </c>
      <c r="F999" s="16"/>
      <c r="G999" s="9" t="s">
        <v>14</v>
      </c>
      <c r="H999" s="7">
        <v>999.0</v>
      </c>
      <c r="I999" s="10" t="s">
        <v>1633</v>
      </c>
    </row>
    <row r="1000">
      <c r="A1000" s="7">
        <v>999.0</v>
      </c>
      <c r="B1000" s="18" t="s">
        <v>1634</v>
      </c>
      <c r="C1000" s="9" t="s">
        <v>59</v>
      </c>
      <c r="D1000" s="16"/>
      <c r="E1000" s="9" t="s">
        <v>12</v>
      </c>
      <c r="F1000" s="16"/>
      <c r="G1000" s="9" t="s">
        <v>14</v>
      </c>
      <c r="H1000" s="7">
        <v>1000.0</v>
      </c>
      <c r="I1000" s="10" t="s">
        <v>1635</v>
      </c>
    </row>
    <row r="1001">
      <c r="A1001" s="7">
        <v>1000.0</v>
      </c>
      <c r="B1001" s="18" t="s">
        <v>1634</v>
      </c>
      <c r="C1001" s="9" t="s">
        <v>61</v>
      </c>
      <c r="D1001" s="16"/>
      <c r="E1001" s="9" t="s">
        <v>12</v>
      </c>
      <c r="F1001" s="16"/>
      <c r="G1001" s="9" t="s">
        <v>14</v>
      </c>
      <c r="H1001" s="7">
        <v>1001.0</v>
      </c>
      <c r="I1001" s="10" t="s">
        <v>1636</v>
      </c>
    </row>
    <row r="1002">
      <c r="A1002" s="7">
        <v>1001.0</v>
      </c>
      <c r="B1002" s="18" t="s">
        <v>1637</v>
      </c>
      <c r="C1002" s="9" t="s">
        <v>10</v>
      </c>
      <c r="D1002" s="9" t="s">
        <v>64</v>
      </c>
      <c r="E1002" s="9" t="s">
        <v>12</v>
      </c>
      <c r="H1002" s="7">
        <v>1002.0</v>
      </c>
      <c r="I1002" s="10" t="s">
        <v>1638</v>
      </c>
    </row>
    <row r="1003">
      <c r="A1003" s="7">
        <v>1002.0</v>
      </c>
      <c r="B1003" s="18" t="s">
        <v>1639</v>
      </c>
      <c r="C1003" s="9" t="s">
        <v>10</v>
      </c>
      <c r="D1003" s="9" t="s">
        <v>196</v>
      </c>
      <c r="E1003" s="9" t="s">
        <v>12</v>
      </c>
      <c r="H1003" s="7">
        <v>1003.0</v>
      </c>
      <c r="I1003" s="10" t="s">
        <v>1640</v>
      </c>
    </row>
    <row r="1004">
      <c r="A1004" s="7">
        <v>1003.0</v>
      </c>
      <c r="B1004" s="18" t="s">
        <v>1641</v>
      </c>
      <c r="C1004" s="9" t="s">
        <v>10</v>
      </c>
      <c r="D1004" s="9" t="s">
        <v>37</v>
      </c>
      <c r="E1004" s="9" t="s">
        <v>12</v>
      </c>
      <c r="F1004" s="9" t="s">
        <v>50</v>
      </c>
      <c r="G1004" s="9" t="s">
        <v>14</v>
      </c>
      <c r="H1004" s="7">
        <v>1004.0</v>
      </c>
      <c r="I1004" s="10" t="s">
        <v>1642</v>
      </c>
    </row>
    <row r="1005">
      <c r="A1005" s="7">
        <v>1004.0</v>
      </c>
      <c r="B1005" s="18" t="s">
        <v>1643</v>
      </c>
      <c r="C1005" s="9" t="s">
        <v>10</v>
      </c>
      <c r="D1005" s="16"/>
      <c r="E1005" s="9" t="s">
        <v>12</v>
      </c>
      <c r="F1005" s="16"/>
      <c r="G1005" s="9" t="s">
        <v>14</v>
      </c>
      <c r="H1005" s="7">
        <v>1005.0</v>
      </c>
      <c r="I1005" s="10" t="s">
        <v>1644</v>
      </c>
    </row>
    <row r="1006">
      <c r="A1006" s="7">
        <v>1005.0</v>
      </c>
      <c r="B1006" s="18" t="s">
        <v>1643</v>
      </c>
      <c r="C1006" s="9" t="s">
        <v>61</v>
      </c>
      <c r="D1006" s="16"/>
      <c r="E1006" s="9" t="s">
        <v>12</v>
      </c>
      <c r="F1006" s="16"/>
      <c r="G1006" s="9" t="s">
        <v>14</v>
      </c>
      <c r="H1006" s="7">
        <v>1006.0</v>
      </c>
      <c r="I1006" s="10" t="s">
        <v>1645</v>
      </c>
    </row>
    <row r="1007">
      <c r="A1007" s="7">
        <v>1006.0</v>
      </c>
      <c r="B1007" s="18" t="s">
        <v>1646</v>
      </c>
      <c r="C1007" s="9" t="s">
        <v>59</v>
      </c>
      <c r="D1007" s="16"/>
      <c r="E1007" s="9" t="s">
        <v>12</v>
      </c>
      <c r="F1007" s="16"/>
      <c r="G1007" s="9" t="s">
        <v>14</v>
      </c>
      <c r="H1007" s="7">
        <v>1007.0</v>
      </c>
      <c r="I1007" s="10" t="s">
        <v>1647</v>
      </c>
    </row>
    <row r="1008">
      <c r="A1008" s="7">
        <v>1007.0</v>
      </c>
      <c r="B1008" s="18" t="s">
        <v>1648</v>
      </c>
      <c r="C1008" s="9" t="s">
        <v>759</v>
      </c>
      <c r="D1008" s="16"/>
      <c r="E1008" s="9" t="s">
        <v>12</v>
      </c>
      <c r="F1008" s="16"/>
      <c r="G1008" s="9" t="s">
        <v>14</v>
      </c>
      <c r="H1008" s="7">
        <v>1008.0</v>
      </c>
      <c r="I1008" s="10" t="s">
        <v>1649</v>
      </c>
    </row>
    <row r="1009">
      <c r="A1009" s="7">
        <v>1008.0</v>
      </c>
      <c r="B1009" s="15" t="s">
        <v>1650</v>
      </c>
      <c r="C1009" s="9" t="s">
        <v>10</v>
      </c>
      <c r="D1009" s="9" t="s">
        <v>667</v>
      </c>
      <c r="E1009" s="9" t="s">
        <v>12</v>
      </c>
      <c r="F1009" s="16"/>
      <c r="G1009" s="9" t="s">
        <v>14</v>
      </c>
      <c r="H1009" s="7">
        <v>1009.0</v>
      </c>
      <c r="I1009" s="10" t="s">
        <v>1651</v>
      </c>
    </row>
    <row r="1010">
      <c r="A1010" s="7">
        <v>1009.0</v>
      </c>
      <c r="B1010" s="15" t="s">
        <v>1652</v>
      </c>
      <c r="C1010" s="9" t="s">
        <v>10</v>
      </c>
      <c r="D1010" s="9" t="s">
        <v>44</v>
      </c>
      <c r="E1010" s="9" t="s">
        <v>12</v>
      </c>
      <c r="F1010" s="16"/>
      <c r="G1010" s="9" t="s">
        <v>111</v>
      </c>
      <c r="H1010" s="7">
        <v>1010.0</v>
      </c>
      <c r="I1010" s="10" t="s">
        <v>1653</v>
      </c>
    </row>
    <row r="1011">
      <c r="A1011" s="7">
        <v>1010.0</v>
      </c>
      <c r="B1011" s="18" t="s">
        <v>1654</v>
      </c>
      <c r="C1011" s="9" t="s">
        <v>57</v>
      </c>
      <c r="D1011" s="16"/>
      <c r="E1011" s="9" t="s">
        <v>12</v>
      </c>
      <c r="F1011" s="16"/>
      <c r="G1011" s="9" t="s">
        <v>14</v>
      </c>
      <c r="H1011" s="7">
        <v>1011.0</v>
      </c>
      <c r="I1011" s="10" t="s">
        <v>1655</v>
      </c>
    </row>
    <row r="1012">
      <c r="A1012" s="7">
        <v>1011.0</v>
      </c>
      <c r="B1012" s="18" t="s">
        <v>1654</v>
      </c>
      <c r="C1012" s="9" t="s">
        <v>759</v>
      </c>
      <c r="D1012" s="16"/>
      <c r="E1012" s="9" t="s">
        <v>12</v>
      </c>
      <c r="F1012" s="16"/>
      <c r="G1012" s="9" t="s">
        <v>14</v>
      </c>
      <c r="H1012" s="7">
        <v>1012.0</v>
      </c>
      <c r="I1012" s="10" t="s">
        <v>1655</v>
      </c>
    </row>
    <row r="1013">
      <c r="A1013" s="7">
        <v>1012.0</v>
      </c>
      <c r="B1013" s="18" t="s">
        <v>1654</v>
      </c>
      <c r="C1013" s="9" t="s">
        <v>107</v>
      </c>
      <c r="D1013" s="16"/>
      <c r="E1013" s="9" t="s">
        <v>12</v>
      </c>
      <c r="F1013" s="16"/>
      <c r="G1013" s="9" t="s">
        <v>14</v>
      </c>
      <c r="H1013" s="7">
        <v>1013.0</v>
      </c>
      <c r="I1013" s="10" t="s">
        <v>1655</v>
      </c>
      <c r="L1013" s="9" t="s">
        <v>194</v>
      </c>
    </row>
    <row r="1014">
      <c r="A1014" s="7">
        <v>1013.0</v>
      </c>
      <c r="B1014" s="18" t="s">
        <v>1656</v>
      </c>
      <c r="C1014" s="9" t="s">
        <v>53</v>
      </c>
      <c r="D1014" s="16"/>
      <c r="E1014" s="9" t="s">
        <v>12</v>
      </c>
      <c r="F1014" s="16"/>
      <c r="G1014" s="9" t="s">
        <v>14</v>
      </c>
      <c r="H1014" s="7">
        <v>1014.0</v>
      </c>
      <c r="I1014" s="10" t="s">
        <v>1657</v>
      </c>
    </row>
    <row r="1015">
      <c r="A1015" s="7">
        <v>1014.0</v>
      </c>
      <c r="B1015" s="18" t="s">
        <v>1656</v>
      </c>
      <c r="C1015" s="9" t="s">
        <v>57</v>
      </c>
      <c r="D1015" s="16"/>
      <c r="E1015" s="9" t="s">
        <v>12</v>
      </c>
      <c r="F1015" s="16"/>
      <c r="G1015" s="9" t="s">
        <v>14</v>
      </c>
      <c r="H1015" s="7">
        <v>1015.0</v>
      </c>
      <c r="I1015" s="10" t="s">
        <v>1658</v>
      </c>
    </row>
    <row r="1016">
      <c r="A1016" s="7">
        <v>1015.0</v>
      </c>
      <c r="B1016" s="18" t="s">
        <v>1659</v>
      </c>
      <c r="C1016" s="16"/>
      <c r="D1016" s="16"/>
      <c r="E1016" s="9" t="s">
        <v>12</v>
      </c>
      <c r="F1016" s="16"/>
      <c r="G1016" s="9" t="s">
        <v>14</v>
      </c>
      <c r="H1016" s="7">
        <v>1016.0</v>
      </c>
      <c r="I1016" s="10" t="s">
        <v>1657</v>
      </c>
    </row>
    <row r="1017">
      <c r="A1017" s="7">
        <v>1016.0</v>
      </c>
      <c r="B1017" s="18" t="s">
        <v>1659</v>
      </c>
      <c r="C1017" s="9" t="s">
        <v>57</v>
      </c>
      <c r="D1017" s="16"/>
      <c r="E1017" s="9" t="s">
        <v>12</v>
      </c>
      <c r="F1017" s="16"/>
      <c r="G1017" s="9" t="s">
        <v>14</v>
      </c>
      <c r="H1017" s="7">
        <v>1017.0</v>
      </c>
      <c r="I1017" s="10" t="s">
        <v>1657</v>
      </c>
    </row>
    <row r="1018">
      <c r="A1018" s="7">
        <v>1017.0</v>
      </c>
      <c r="B1018" s="18" t="s">
        <v>1660</v>
      </c>
      <c r="C1018" s="9" t="s">
        <v>759</v>
      </c>
      <c r="D1018" s="16"/>
      <c r="E1018" s="9" t="s">
        <v>12</v>
      </c>
      <c r="F1018" s="16"/>
      <c r="G1018" s="9" t="s">
        <v>14</v>
      </c>
      <c r="H1018" s="7">
        <v>1018.0</v>
      </c>
      <c r="I1018" s="10" t="s">
        <v>1661</v>
      </c>
    </row>
    <row r="1019">
      <c r="A1019" s="7">
        <v>1018.0</v>
      </c>
      <c r="B1019" s="21" t="s">
        <v>1662</v>
      </c>
      <c r="C1019" s="9" t="s">
        <v>61</v>
      </c>
      <c r="D1019" s="16"/>
      <c r="E1019" s="9" t="s">
        <v>62</v>
      </c>
      <c r="F1019" s="16"/>
      <c r="G1019" s="16"/>
      <c r="H1019" s="7">
        <v>1019.0</v>
      </c>
      <c r="I1019" s="10" t="s">
        <v>1663</v>
      </c>
    </row>
    <row r="1020">
      <c r="A1020" s="7">
        <v>1019.0</v>
      </c>
      <c r="B1020" s="18" t="s">
        <v>1664</v>
      </c>
      <c r="C1020" s="9" t="s">
        <v>59</v>
      </c>
      <c r="D1020" s="9" t="s">
        <v>20</v>
      </c>
      <c r="E1020" s="9" t="s">
        <v>12</v>
      </c>
      <c r="F1020" s="9" t="s">
        <v>50</v>
      </c>
      <c r="G1020" s="9" t="s">
        <v>14</v>
      </c>
      <c r="H1020" s="7">
        <v>1020.0</v>
      </c>
      <c r="I1020" s="10" t="s">
        <v>1665</v>
      </c>
    </row>
    <row r="1021">
      <c r="A1021" s="7">
        <v>1020.0</v>
      </c>
      <c r="B1021" s="18" t="s">
        <v>1666</v>
      </c>
      <c r="C1021" s="9" t="s">
        <v>10</v>
      </c>
      <c r="D1021" s="16"/>
      <c r="E1021" s="9" t="s">
        <v>12</v>
      </c>
      <c r="F1021" s="16"/>
      <c r="G1021" s="9" t="s">
        <v>111</v>
      </c>
      <c r="H1021" s="7">
        <v>1021.0</v>
      </c>
      <c r="I1021" s="10" t="s">
        <v>1667</v>
      </c>
    </row>
    <row r="1022">
      <c r="A1022" s="7">
        <v>1021.0</v>
      </c>
      <c r="B1022" s="18" t="s">
        <v>1668</v>
      </c>
      <c r="C1022" s="9" t="s">
        <v>759</v>
      </c>
      <c r="D1022" s="16"/>
      <c r="E1022" s="9" t="s">
        <v>12</v>
      </c>
      <c r="F1022" s="16"/>
      <c r="G1022" s="9" t="s">
        <v>14</v>
      </c>
      <c r="H1022" s="7">
        <v>1022.0</v>
      </c>
      <c r="I1022" s="10" t="s">
        <v>1669</v>
      </c>
    </row>
    <row r="1023">
      <c r="A1023" s="7">
        <v>1022.0</v>
      </c>
      <c r="B1023" s="18" t="s">
        <v>1670</v>
      </c>
      <c r="C1023" s="16"/>
      <c r="D1023" s="16"/>
      <c r="E1023" s="9" t="s">
        <v>12</v>
      </c>
      <c r="F1023" s="16"/>
      <c r="G1023" s="9" t="s">
        <v>14</v>
      </c>
      <c r="H1023" s="7">
        <v>1023.0</v>
      </c>
      <c r="I1023" s="10" t="s">
        <v>1657</v>
      </c>
    </row>
    <row r="1024">
      <c r="A1024" s="7">
        <v>1023.0</v>
      </c>
      <c r="B1024" s="18" t="s">
        <v>1670</v>
      </c>
      <c r="C1024" s="9" t="s">
        <v>107</v>
      </c>
      <c r="D1024" s="16"/>
      <c r="E1024" s="9" t="s">
        <v>12</v>
      </c>
      <c r="F1024" s="16"/>
      <c r="G1024" s="9" t="s">
        <v>14</v>
      </c>
      <c r="H1024" s="7">
        <v>1024.0</v>
      </c>
      <c r="I1024" s="17" t="s">
        <v>1671</v>
      </c>
      <c r="L1024" s="9" t="s">
        <v>194</v>
      </c>
    </row>
    <row r="1025">
      <c r="A1025" s="7">
        <v>1024.0</v>
      </c>
      <c r="B1025" s="18" t="s">
        <v>1672</v>
      </c>
      <c r="C1025" s="9" t="s">
        <v>59</v>
      </c>
      <c r="D1025" s="9" t="s">
        <v>220</v>
      </c>
      <c r="E1025" s="9" t="s">
        <v>12</v>
      </c>
      <c r="F1025" s="16"/>
      <c r="G1025" s="9" t="s">
        <v>111</v>
      </c>
      <c r="H1025" s="7">
        <v>1025.0</v>
      </c>
      <c r="I1025" s="10" t="s">
        <v>1673</v>
      </c>
    </row>
    <row r="1026">
      <c r="A1026" s="7">
        <v>1025.0</v>
      </c>
      <c r="B1026" s="18" t="s">
        <v>1672</v>
      </c>
      <c r="C1026" s="9" t="s">
        <v>59</v>
      </c>
      <c r="D1026" s="16"/>
      <c r="E1026" s="9" t="s">
        <v>12</v>
      </c>
      <c r="F1026" s="16"/>
      <c r="G1026" s="9" t="s">
        <v>111</v>
      </c>
      <c r="H1026" s="7">
        <v>1026.0</v>
      </c>
      <c r="I1026" s="10" t="s">
        <v>1673</v>
      </c>
    </row>
    <row r="1027">
      <c r="A1027" s="7">
        <v>1026.0</v>
      </c>
      <c r="B1027" s="18" t="s">
        <v>1672</v>
      </c>
      <c r="C1027" s="9" t="s">
        <v>57</v>
      </c>
      <c r="D1027" s="16"/>
      <c r="E1027" s="9" t="s">
        <v>12</v>
      </c>
      <c r="F1027" s="16"/>
      <c r="G1027" s="9" t="s">
        <v>111</v>
      </c>
      <c r="H1027" s="7">
        <v>1027.0</v>
      </c>
      <c r="I1027" s="10" t="s">
        <v>1673</v>
      </c>
    </row>
    <row r="1028">
      <c r="A1028" s="7">
        <v>1027.0</v>
      </c>
      <c r="B1028" s="18" t="s">
        <v>1674</v>
      </c>
      <c r="C1028" s="9" t="s">
        <v>10</v>
      </c>
      <c r="D1028" s="9" t="s">
        <v>196</v>
      </c>
      <c r="E1028" s="9" t="s">
        <v>12</v>
      </c>
      <c r="H1028" s="7">
        <v>1028.0</v>
      </c>
      <c r="I1028" s="10" t="s">
        <v>1675</v>
      </c>
    </row>
    <row r="1029">
      <c r="A1029" s="7">
        <v>1028.0</v>
      </c>
      <c r="B1029" s="18" t="s">
        <v>1676</v>
      </c>
      <c r="C1029" s="9" t="s">
        <v>61</v>
      </c>
      <c r="D1029" s="16"/>
      <c r="E1029" s="9" t="s">
        <v>12</v>
      </c>
      <c r="H1029" s="7">
        <v>1029.0</v>
      </c>
    </row>
    <row r="1030">
      <c r="A1030" s="7">
        <v>1029.0</v>
      </c>
      <c r="B1030" s="18" t="s">
        <v>1677</v>
      </c>
      <c r="C1030" s="9" t="s">
        <v>59</v>
      </c>
      <c r="D1030" s="16"/>
      <c r="E1030" s="9" t="s">
        <v>62</v>
      </c>
      <c r="H1030" s="7">
        <v>1030.0</v>
      </c>
    </row>
    <row r="1031">
      <c r="A1031" s="7">
        <v>1030.0</v>
      </c>
      <c r="B1031" s="18" t="s">
        <v>0</v>
      </c>
      <c r="C1031" s="9" t="s">
        <v>10</v>
      </c>
      <c r="D1031" s="16"/>
      <c r="E1031" s="9" t="s">
        <v>62</v>
      </c>
      <c r="H1031" s="7">
        <v>1031.0</v>
      </c>
      <c r="I1031" s="10" t="s">
        <v>1678</v>
      </c>
    </row>
    <row r="1032">
      <c r="A1032" s="7">
        <v>1031.0</v>
      </c>
      <c r="B1032" s="18" t="s">
        <v>1679</v>
      </c>
      <c r="C1032" s="9" t="s">
        <v>59</v>
      </c>
      <c r="D1032" s="9" t="s">
        <v>23</v>
      </c>
      <c r="E1032" s="9" t="s">
        <v>12</v>
      </c>
      <c r="F1032" s="9" t="s">
        <v>50</v>
      </c>
      <c r="G1032" s="9" t="s">
        <v>14</v>
      </c>
      <c r="H1032" s="7">
        <v>1032.0</v>
      </c>
      <c r="I1032" s="10" t="s">
        <v>1680</v>
      </c>
    </row>
    <row r="1033">
      <c r="A1033" s="7">
        <v>1032.0</v>
      </c>
      <c r="B1033" s="15" t="s">
        <v>1681</v>
      </c>
      <c r="C1033" s="9" t="s">
        <v>10</v>
      </c>
      <c r="D1033" s="9" t="s">
        <v>132</v>
      </c>
      <c r="E1033" s="9" t="s">
        <v>12</v>
      </c>
      <c r="F1033" s="16"/>
      <c r="G1033" s="9" t="s">
        <v>111</v>
      </c>
      <c r="H1033" s="7">
        <v>1033.0</v>
      </c>
      <c r="I1033" s="10" t="s">
        <v>1682</v>
      </c>
    </row>
    <row r="1034">
      <c r="A1034" s="7">
        <v>1033.0</v>
      </c>
      <c r="B1034" s="26" t="s">
        <v>1683</v>
      </c>
      <c r="C1034" s="27" t="s">
        <v>10</v>
      </c>
      <c r="D1034" s="27" t="s">
        <v>74</v>
      </c>
      <c r="E1034" s="9" t="s">
        <v>12</v>
      </c>
      <c r="F1034" s="20"/>
      <c r="G1034" s="9" t="s">
        <v>111</v>
      </c>
      <c r="H1034" s="7">
        <v>1034.0</v>
      </c>
      <c r="I1034" s="20"/>
      <c r="J1034" s="20"/>
      <c r="K1034" s="20"/>
      <c r="L1034" s="20"/>
      <c r="M1034" s="20"/>
    </row>
    <row r="1035">
      <c r="A1035" s="7">
        <v>1034.0</v>
      </c>
      <c r="B1035" s="18" t="s">
        <v>1684</v>
      </c>
      <c r="C1035" s="9" t="s">
        <v>10</v>
      </c>
      <c r="D1035" s="9" t="s">
        <v>26</v>
      </c>
      <c r="E1035" s="9" t="s">
        <v>12</v>
      </c>
      <c r="F1035" s="16"/>
      <c r="G1035" s="9" t="s">
        <v>111</v>
      </c>
      <c r="H1035" s="7">
        <v>1035.0</v>
      </c>
      <c r="I1035" s="10" t="s">
        <v>199</v>
      </c>
    </row>
    <row r="1036">
      <c r="A1036" s="7">
        <v>1035.0</v>
      </c>
      <c r="B1036" s="18" t="s">
        <v>1685</v>
      </c>
      <c r="C1036" s="9" t="s">
        <v>10</v>
      </c>
      <c r="D1036" s="9" t="s">
        <v>11</v>
      </c>
      <c r="E1036" s="9" t="s">
        <v>12</v>
      </c>
      <c r="F1036" s="16"/>
      <c r="G1036" s="9" t="s">
        <v>14</v>
      </c>
      <c r="H1036" s="7">
        <v>1036.0</v>
      </c>
      <c r="I1036" s="10" t="s">
        <v>1686</v>
      </c>
    </row>
    <row r="1037">
      <c r="A1037" s="7">
        <v>1036.0</v>
      </c>
      <c r="B1037" s="18" t="s">
        <v>1687</v>
      </c>
      <c r="C1037" s="9" t="s">
        <v>61</v>
      </c>
      <c r="D1037" s="16"/>
      <c r="E1037" s="9" t="s">
        <v>12</v>
      </c>
      <c r="H1037" s="7">
        <v>1037.0</v>
      </c>
    </row>
    <row r="1038">
      <c r="A1038" s="7">
        <v>1037.0</v>
      </c>
      <c r="B1038" s="18" t="s">
        <v>1688</v>
      </c>
      <c r="C1038" s="9" t="s">
        <v>10</v>
      </c>
      <c r="D1038" s="16"/>
      <c r="E1038" s="9" t="s">
        <v>62</v>
      </c>
      <c r="H1038" s="7">
        <v>1038.0</v>
      </c>
    </row>
    <row r="1039">
      <c r="A1039" s="7">
        <v>1038.0</v>
      </c>
      <c r="B1039" s="18" t="s">
        <v>1689</v>
      </c>
      <c r="C1039" s="9" t="s">
        <v>59</v>
      </c>
      <c r="D1039" s="9" t="s">
        <v>20</v>
      </c>
      <c r="E1039" s="9" t="s">
        <v>12</v>
      </c>
      <c r="F1039" s="9" t="s">
        <v>50</v>
      </c>
      <c r="G1039" s="9" t="s">
        <v>14</v>
      </c>
      <c r="H1039" s="7">
        <v>1039.0</v>
      </c>
      <c r="I1039" s="10" t="s">
        <v>1690</v>
      </c>
    </row>
    <row r="1040">
      <c r="A1040" s="7">
        <v>1039.0</v>
      </c>
      <c r="B1040" s="18" t="s">
        <v>1691</v>
      </c>
      <c r="C1040" s="9" t="s">
        <v>10</v>
      </c>
      <c r="D1040" s="9" t="s">
        <v>11</v>
      </c>
      <c r="E1040" s="9" t="s">
        <v>12</v>
      </c>
      <c r="F1040" s="16"/>
      <c r="G1040" s="9" t="s">
        <v>14</v>
      </c>
      <c r="H1040" s="7">
        <v>1040.0</v>
      </c>
      <c r="I1040" s="10" t="s">
        <v>1692</v>
      </c>
    </row>
    <row r="1041">
      <c r="A1041" s="7">
        <v>1040.0</v>
      </c>
      <c r="B1041" s="18" t="s">
        <v>1691</v>
      </c>
      <c r="C1041" s="16"/>
      <c r="D1041" s="9" t="s">
        <v>667</v>
      </c>
      <c r="E1041" s="9" t="s">
        <v>12</v>
      </c>
      <c r="F1041" s="16"/>
      <c r="G1041" s="9" t="s">
        <v>14</v>
      </c>
      <c r="H1041" s="7">
        <v>1041.0</v>
      </c>
      <c r="I1041" s="10" t="s">
        <v>1693</v>
      </c>
    </row>
    <row r="1042">
      <c r="A1042" s="7">
        <v>1041.0</v>
      </c>
      <c r="B1042" s="18" t="s">
        <v>1694</v>
      </c>
      <c r="C1042" s="16"/>
      <c r="D1042" s="16"/>
      <c r="E1042" s="9" t="s">
        <v>12</v>
      </c>
      <c r="F1042" s="16"/>
      <c r="G1042" s="9" t="s">
        <v>14</v>
      </c>
      <c r="H1042" s="7">
        <v>1042.0</v>
      </c>
      <c r="I1042" s="10" t="s">
        <v>1695</v>
      </c>
    </row>
    <row r="1043">
      <c r="A1043" s="7">
        <v>1042.0</v>
      </c>
      <c r="B1043" s="18" t="s">
        <v>1696</v>
      </c>
      <c r="C1043" s="16"/>
      <c r="D1043" s="16"/>
      <c r="E1043" s="9" t="s">
        <v>12</v>
      </c>
      <c r="F1043" s="16"/>
      <c r="G1043" s="9" t="s">
        <v>111</v>
      </c>
      <c r="H1043" s="7">
        <v>1043.0</v>
      </c>
      <c r="I1043" s="10" t="s">
        <v>1697</v>
      </c>
    </row>
    <row r="1044">
      <c r="A1044" s="7">
        <v>1043.0</v>
      </c>
      <c r="B1044" s="18" t="s">
        <v>1698</v>
      </c>
      <c r="C1044" s="16"/>
      <c r="D1044" s="16"/>
      <c r="E1044" s="9" t="s">
        <v>12</v>
      </c>
      <c r="F1044" s="16"/>
      <c r="G1044" s="9" t="s">
        <v>111</v>
      </c>
      <c r="H1044" s="7">
        <v>1044.0</v>
      </c>
      <c r="I1044" s="43" t="s">
        <v>1699</v>
      </c>
      <c r="J1044" s="19"/>
      <c r="K1044" s="19"/>
      <c r="L1044" s="19"/>
      <c r="M1044" s="19"/>
    </row>
    <row r="1045">
      <c r="A1045" s="7">
        <v>1044.0</v>
      </c>
      <c r="B1045" s="18" t="s">
        <v>1700</v>
      </c>
      <c r="C1045" s="16"/>
      <c r="D1045" s="16"/>
      <c r="E1045" s="9" t="s">
        <v>12</v>
      </c>
      <c r="F1045" s="16"/>
      <c r="G1045" s="9" t="s">
        <v>14</v>
      </c>
      <c r="H1045" s="7">
        <v>1045.0</v>
      </c>
      <c r="I1045" s="10" t="s">
        <v>1701</v>
      </c>
    </row>
    <row r="1046">
      <c r="A1046" s="7">
        <v>1045.0</v>
      </c>
      <c r="B1046" s="18" t="s">
        <v>1702</v>
      </c>
      <c r="C1046" s="16"/>
      <c r="D1046" s="16"/>
      <c r="E1046" s="9" t="s">
        <v>12</v>
      </c>
      <c r="F1046" s="16"/>
      <c r="G1046" s="9" t="s">
        <v>14</v>
      </c>
      <c r="H1046" s="7">
        <v>1046.0</v>
      </c>
      <c r="I1046" s="10" t="s">
        <v>1703</v>
      </c>
    </row>
    <row r="1047">
      <c r="A1047" s="7">
        <v>1046.0</v>
      </c>
      <c r="B1047" s="18" t="s">
        <v>1704</v>
      </c>
      <c r="C1047" s="16"/>
      <c r="D1047" s="16"/>
      <c r="E1047" s="9" t="s">
        <v>12</v>
      </c>
      <c r="F1047" s="16"/>
      <c r="G1047" s="9" t="s">
        <v>14</v>
      </c>
      <c r="H1047" s="7">
        <v>1047.0</v>
      </c>
      <c r="I1047" s="10" t="s">
        <v>1703</v>
      </c>
    </row>
    <row r="1048">
      <c r="A1048" s="7">
        <v>1047.0</v>
      </c>
      <c r="B1048" s="18" t="s">
        <v>1705</v>
      </c>
      <c r="C1048" s="16"/>
      <c r="D1048" s="16"/>
      <c r="E1048" s="9" t="s">
        <v>12</v>
      </c>
      <c r="F1048" s="16"/>
      <c r="G1048" s="9" t="s">
        <v>14</v>
      </c>
      <c r="H1048" s="7">
        <v>1048.0</v>
      </c>
      <c r="I1048" s="10" t="s">
        <v>1703</v>
      </c>
    </row>
    <row r="1049">
      <c r="A1049" s="7">
        <v>1048.0</v>
      </c>
      <c r="B1049" s="18" t="s">
        <v>1706</v>
      </c>
      <c r="C1049" s="16"/>
      <c r="D1049" s="9" t="s">
        <v>196</v>
      </c>
      <c r="E1049" s="9" t="s">
        <v>12</v>
      </c>
      <c r="F1049" s="16"/>
      <c r="G1049" s="9" t="s">
        <v>14</v>
      </c>
      <c r="H1049" s="7">
        <v>1049.0</v>
      </c>
      <c r="I1049" s="10" t="s">
        <v>1707</v>
      </c>
    </row>
    <row r="1050">
      <c r="A1050" s="7">
        <v>1049.0</v>
      </c>
      <c r="B1050" s="18" t="s">
        <v>1708</v>
      </c>
      <c r="C1050" s="9" t="s">
        <v>10</v>
      </c>
      <c r="D1050" s="16"/>
      <c r="E1050" s="9" t="s">
        <v>12</v>
      </c>
      <c r="F1050" s="16"/>
      <c r="G1050" s="9" t="s">
        <v>14</v>
      </c>
      <c r="H1050" s="7">
        <v>1050.0</v>
      </c>
      <c r="I1050" s="10" t="s">
        <v>1709</v>
      </c>
    </row>
    <row r="1051">
      <c r="A1051" s="7">
        <v>1050.0</v>
      </c>
      <c r="B1051" s="18" t="s">
        <v>1710</v>
      </c>
      <c r="C1051" s="9" t="s">
        <v>61</v>
      </c>
      <c r="D1051" s="16"/>
      <c r="E1051" s="9" t="s">
        <v>12</v>
      </c>
      <c r="F1051" s="16"/>
      <c r="G1051" s="9" t="s">
        <v>14</v>
      </c>
      <c r="H1051" s="7">
        <v>1051.0</v>
      </c>
      <c r="I1051" s="10" t="s">
        <v>1711</v>
      </c>
    </row>
    <row r="1052">
      <c r="A1052" s="7">
        <v>1051.0</v>
      </c>
      <c r="B1052" s="18" t="s">
        <v>1712</v>
      </c>
      <c r="C1052" s="9" t="s">
        <v>57</v>
      </c>
      <c r="D1052" s="16"/>
      <c r="E1052" s="9" t="s">
        <v>12</v>
      </c>
      <c r="F1052" s="16"/>
      <c r="G1052" s="9" t="s">
        <v>14</v>
      </c>
      <c r="H1052" s="7">
        <v>1052.0</v>
      </c>
      <c r="I1052" s="10" t="s">
        <v>1713</v>
      </c>
    </row>
    <row r="1053">
      <c r="A1053" s="7">
        <v>1052.0</v>
      </c>
      <c r="B1053" s="18" t="s">
        <v>1714</v>
      </c>
      <c r="C1053" s="9" t="s">
        <v>10</v>
      </c>
      <c r="D1053" s="9" t="s">
        <v>196</v>
      </c>
      <c r="E1053" s="9" t="s">
        <v>12</v>
      </c>
      <c r="F1053" s="16"/>
      <c r="G1053" s="9" t="s">
        <v>14</v>
      </c>
      <c r="H1053" s="7">
        <v>1053.0</v>
      </c>
      <c r="I1053" s="10" t="s">
        <v>1715</v>
      </c>
    </row>
    <row r="1054">
      <c r="A1054" s="7">
        <v>1053.0</v>
      </c>
      <c r="B1054" s="18" t="s">
        <v>1716</v>
      </c>
      <c r="C1054" s="9" t="s">
        <v>10</v>
      </c>
      <c r="D1054" s="9" t="s">
        <v>196</v>
      </c>
      <c r="E1054" s="9" t="s">
        <v>12</v>
      </c>
      <c r="F1054" s="16"/>
      <c r="G1054" s="9" t="s">
        <v>224</v>
      </c>
      <c r="H1054" s="7">
        <v>1054.0</v>
      </c>
      <c r="I1054" s="10" t="s">
        <v>1717</v>
      </c>
    </row>
    <row r="1055">
      <c r="A1055" s="7">
        <v>1054.0</v>
      </c>
      <c r="B1055" s="18" t="s">
        <v>1718</v>
      </c>
      <c r="C1055" s="9" t="s">
        <v>10</v>
      </c>
      <c r="D1055" s="9" t="s">
        <v>196</v>
      </c>
      <c r="E1055" s="9" t="s">
        <v>12</v>
      </c>
      <c r="F1055" s="16"/>
      <c r="G1055" s="9" t="s">
        <v>224</v>
      </c>
      <c r="H1055" s="7">
        <v>1055.0</v>
      </c>
      <c r="I1055" s="10" t="s">
        <v>1719</v>
      </c>
    </row>
    <row r="1056">
      <c r="A1056" s="7">
        <v>1055.0</v>
      </c>
      <c r="B1056" s="18" t="s">
        <v>1720</v>
      </c>
      <c r="C1056" s="9" t="s">
        <v>61</v>
      </c>
      <c r="D1056" s="9" t="s">
        <v>196</v>
      </c>
      <c r="E1056" s="9" t="s">
        <v>12</v>
      </c>
      <c r="F1056" s="16"/>
      <c r="G1056" s="9" t="s">
        <v>14</v>
      </c>
      <c r="H1056" s="7">
        <v>1056.0</v>
      </c>
      <c r="I1056" s="10" t="s">
        <v>1721</v>
      </c>
    </row>
    <row r="1057">
      <c r="B1057" s="50"/>
      <c r="C1057" s="16"/>
      <c r="H1057" s="7"/>
    </row>
    <row r="1058">
      <c r="B1058" s="50"/>
      <c r="C1058" s="16"/>
    </row>
    <row r="1059">
      <c r="B1059" s="50"/>
      <c r="C1059" s="16"/>
    </row>
    <row r="1060">
      <c r="B1060" s="50"/>
      <c r="C1060" s="16"/>
    </row>
    <row r="1061">
      <c r="B1061" s="50"/>
      <c r="C1061" s="16"/>
    </row>
    <row r="1062">
      <c r="B1062" s="50"/>
      <c r="C1062" s="16"/>
    </row>
    <row r="1063">
      <c r="B1063" s="50"/>
      <c r="C1063" s="16"/>
    </row>
    <row r="1064">
      <c r="B1064" s="50"/>
      <c r="C1064" s="16"/>
    </row>
    <row r="1065">
      <c r="B1065" s="50"/>
      <c r="C1065" s="16"/>
    </row>
    <row r="1066">
      <c r="B1066" s="50"/>
      <c r="C1066" s="16"/>
    </row>
    <row r="1067">
      <c r="B1067" s="50"/>
      <c r="C1067" s="16"/>
    </row>
    <row r="1068">
      <c r="B1068" s="50"/>
      <c r="C1068" s="16"/>
    </row>
    <row r="1069">
      <c r="B1069" s="50"/>
      <c r="C1069" s="16"/>
    </row>
    <row r="1070">
      <c r="B1070" s="50"/>
      <c r="C1070" s="16"/>
    </row>
    <row r="1071">
      <c r="B1071" s="50"/>
      <c r="C1071" s="16"/>
    </row>
    <row r="1072">
      <c r="B1072" s="50"/>
      <c r="C1072" s="16"/>
    </row>
    <row r="1073">
      <c r="B1073" s="50"/>
      <c r="C1073" s="16"/>
    </row>
    <row r="1074">
      <c r="B1074" s="50"/>
      <c r="C1074" s="16"/>
    </row>
    <row r="1075">
      <c r="B1075" s="50"/>
      <c r="C1075" s="16"/>
    </row>
    <row r="1076">
      <c r="B1076" s="50"/>
      <c r="C1076" s="16"/>
    </row>
    <row r="1077">
      <c r="B1077" s="50"/>
      <c r="C1077" s="16"/>
    </row>
    <row r="1078">
      <c r="B1078" s="50"/>
      <c r="C1078" s="16"/>
    </row>
    <row r="1079">
      <c r="B1079" s="50"/>
      <c r="C1079" s="16"/>
    </row>
    <row r="1080">
      <c r="B1080" s="50"/>
      <c r="C1080" s="16"/>
    </row>
    <row r="1081">
      <c r="B1081" s="50"/>
      <c r="C1081" s="16"/>
    </row>
    <row r="1082">
      <c r="B1082" s="50"/>
      <c r="C1082" s="16"/>
    </row>
    <row r="1083">
      <c r="B1083" s="50"/>
      <c r="C1083" s="16"/>
    </row>
    <row r="1084">
      <c r="B1084" s="50"/>
      <c r="C1084" s="16"/>
    </row>
    <row r="1085">
      <c r="B1085" s="50"/>
      <c r="C1085" s="16"/>
    </row>
    <row r="1086">
      <c r="B1086" s="50"/>
      <c r="C1086" s="16"/>
    </row>
    <row r="1087">
      <c r="B1087" s="50"/>
      <c r="C1087" s="16"/>
    </row>
    <row r="1088">
      <c r="B1088" s="50"/>
      <c r="C1088" s="16"/>
    </row>
    <row r="1089">
      <c r="B1089" s="50"/>
      <c r="C1089" s="16"/>
    </row>
    <row r="1090">
      <c r="B1090" s="50"/>
      <c r="C1090" s="16"/>
    </row>
    <row r="1091">
      <c r="B1091" s="50"/>
      <c r="C1091" s="16"/>
    </row>
    <row r="1092">
      <c r="B1092" s="50"/>
      <c r="C1092" s="16"/>
    </row>
    <row r="1093">
      <c r="B1093" s="50"/>
      <c r="C1093" s="16"/>
    </row>
    <row r="1094">
      <c r="B1094" s="50"/>
      <c r="C1094" s="16"/>
    </row>
    <row r="1095">
      <c r="B1095" s="50"/>
      <c r="C1095" s="16"/>
    </row>
    <row r="1096">
      <c r="B1096" s="50"/>
      <c r="C1096" s="16"/>
    </row>
    <row r="1097">
      <c r="B1097" s="50"/>
      <c r="C1097" s="16"/>
    </row>
    <row r="1098">
      <c r="B1098" s="50"/>
      <c r="C1098" s="16"/>
    </row>
    <row r="1099">
      <c r="B1099" s="50"/>
      <c r="C1099" s="16"/>
    </row>
    <row r="1100">
      <c r="B1100" s="50"/>
      <c r="C1100" s="16"/>
    </row>
    <row r="1101">
      <c r="B1101" s="50"/>
      <c r="C1101" s="16"/>
    </row>
    <row r="1102">
      <c r="B1102" s="50"/>
      <c r="C1102" s="16"/>
    </row>
    <row r="1103">
      <c r="B1103" s="50"/>
      <c r="C1103" s="16"/>
    </row>
    <row r="1104">
      <c r="B1104" s="50"/>
      <c r="C1104" s="16"/>
    </row>
    <row r="1105">
      <c r="B1105" s="50"/>
      <c r="C1105" s="16"/>
    </row>
    <row r="1106">
      <c r="B1106" s="50"/>
      <c r="C1106" s="16"/>
    </row>
    <row r="1107">
      <c r="B1107" s="50"/>
      <c r="C1107" s="16"/>
    </row>
    <row r="1108">
      <c r="B1108" s="50"/>
      <c r="C1108" s="16"/>
    </row>
    <row r="1109">
      <c r="B1109" s="50"/>
      <c r="C1109" s="16"/>
    </row>
    <row r="1110">
      <c r="B1110" s="50"/>
      <c r="C1110" s="16"/>
    </row>
    <row r="1111">
      <c r="B1111" s="50"/>
      <c r="C1111" s="16"/>
    </row>
    <row r="1112">
      <c r="B1112" s="50"/>
      <c r="C1112" s="16"/>
    </row>
    <row r="1113">
      <c r="B1113" s="50"/>
      <c r="C1113" s="16"/>
    </row>
    <row r="1114">
      <c r="B1114" s="50"/>
      <c r="C1114" s="16"/>
    </row>
    <row r="1115">
      <c r="B1115" s="50"/>
      <c r="C1115" s="16"/>
    </row>
    <row r="1116">
      <c r="B1116" s="50"/>
      <c r="C1116" s="16"/>
    </row>
    <row r="1117">
      <c r="B1117" s="50"/>
      <c r="C1117" s="16"/>
    </row>
    <row r="1118">
      <c r="B1118" s="50"/>
      <c r="C1118" s="16"/>
    </row>
    <row r="1119">
      <c r="B1119" s="50"/>
      <c r="C1119" s="16"/>
    </row>
    <row r="1120">
      <c r="B1120" s="50"/>
      <c r="C1120" s="16"/>
    </row>
    <row r="1121">
      <c r="B1121" s="50"/>
      <c r="C1121" s="16"/>
    </row>
    <row r="1122">
      <c r="B1122" s="50"/>
      <c r="C1122" s="16"/>
    </row>
    <row r="1123">
      <c r="B1123" s="50"/>
      <c r="C1123" s="16"/>
    </row>
    <row r="1124">
      <c r="B1124" s="50"/>
      <c r="C1124" s="16"/>
    </row>
    <row r="1125">
      <c r="B1125" s="50"/>
      <c r="C1125" s="16"/>
    </row>
    <row r="1126">
      <c r="B1126" s="50"/>
      <c r="C1126" s="16"/>
    </row>
    <row r="1127">
      <c r="B1127" s="50"/>
      <c r="C1127" s="16"/>
    </row>
    <row r="1128">
      <c r="B1128" s="50"/>
      <c r="C1128" s="16"/>
    </row>
    <row r="1129">
      <c r="B1129" s="50"/>
      <c r="C1129" s="16"/>
    </row>
    <row r="1130">
      <c r="B1130" s="50"/>
      <c r="C1130" s="16"/>
    </row>
    <row r="1131">
      <c r="B1131" s="50"/>
      <c r="C1131" s="16"/>
    </row>
    <row r="1132">
      <c r="B1132" s="50"/>
      <c r="C1132" s="16"/>
    </row>
    <row r="1133">
      <c r="B1133" s="50"/>
      <c r="C1133" s="16"/>
    </row>
    <row r="1134">
      <c r="B1134" s="50"/>
      <c r="C1134" s="16"/>
    </row>
    <row r="1135">
      <c r="B1135" s="50"/>
      <c r="C1135" s="16"/>
    </row>
    <row r="1136">
      <c r="B1136" s="50"/>
      <c r="C1136" s="16"/>
    </row>
    <row r="1137">
      <c r="B1137" s="50"/>
      <c r="C1137" s="16"/>
    </row>
    <row r="1138">
      <c r="B1138" s="50"/>
      <c r="C1138" s="16"/>
    </row>
    <row r="1139">
      <c r="B1139" s="50"/>
      <c r="C1139" s="16"/>
    </row>
    <row r="1140">
      <c r="B1140" s="50"/>
      <c r="C1140" s="16"/>
    </row>
    <row r="1141">
      <c r="B1141" s="50"/>
      <c r="C1141" s="16"/>
    </row>
    <row r="1142">
      <c r="B1142" s="50"/>
      <c r="C1142" s="16"/>
    </row>
    <row r="1143">
      <c r="B1143" s="50"/>
      <c r="C1143" s="16"/>
    </row>
    <row r="1144">
      <c r="B1144" s="50"/>
      <c r="C1144" s="16"/>
    </row>
    <row r="1145">
      <c r="B1145" s="50"/>
      <c r="C1145" s="16"/>
    </row>
    <row r="1146">
      <c r="B1146" s="50"/>
      <c r="C1146" s="16"/>
    </row>
    <row r="1147">
      <c r="B1147" s="50"/>
      <c r="C1147" s="16"/>
    </row>
    <row r="1148">
      <c r="B1148" s="50"/>
      <c r="C1148" s="16"/>
    </row>
    <row r="1149">
      <c r="B1149" s="50"/>
      <c r="C1149" s="16"/>
    </row>
    <row r="1150">
      <c r="B1150" s="50"/>
      <c r="C1150" s="16"/>
    </row>
    <row r="1151">
      <c r="B1151" s="50"/>
      <c r="C1151" s="16"/>
    </row>
    <row r="1152">
      <c r="B1152" s="50"/>
      <c r="C1152" s="16"/>
    </row>
    <row r="1153">
      <c r="B1153" s="50"/>
      <c r="C1153" s="16"/>
    </row>
    <row r="1154">
      <c r="B1154" s="50"/>
      <c r="C1154" s="16"/>
    </row>
    <row r="1155">
      <c r="B1155" s="50"/>
      <c r="C1155" s="16"/>
    </row>
    <row r="1156">
      <c r="B1156" s="50"/>
      <c r="C1156" s="16"/>
    </row>
    <row r="1157">
      <c r="B1157" s="50"/>
      <c r="C1157" s="16"/>
    </row>
    <row r="1158">
      <c r="B1158" s="50"/>
      <c r="C1158" s="16"/>
    </row>
    <row r="1159">
      <c r="B1159" s="50"/>
      <c r="C1159" s="16"/>
    </row>
    <row r="1160">
      <c r="B1160" s="50"/>
      <c r="C1160" s="16"/>
    </row>
    <row r="1161">
      <c r="B1161" s="50"/>
      <c r="C1161" s="16"/>
    </row>
    <row r="1162">
      <c r="B1162" s="50"/>
      <c r="C1162" s="16"/>
    </row>
    <row r="1163">
      <c r="B1163" s="50"/>
      <c r="C1163" s="16"/>
    </row>
    <row r="1164">
      <c r="B1164" s="50"/>
      <c r="C1164" s="16"/>
    </row>
    <row r="1165">
      <c r="B1165" s="50"/>
      <c r="C1165" s="16"/>
    </row>
    <row r="1166">
      <c r="B1166" s="50"/>
      <c r="C1166" s="16"/>
    </row>
    <row r="1167">
      <c r="B1167" s="50"/>
      <c r="C1167" s="16"/>
    </row>
    <row r="1168">
      <c r="B1168" s="50"/>
      <c r="C1168" s="16"/>
    </row>
    <row r="1169">
      <c r="B1169" s="50"/>
      <c r="C1169" s="16"/>
    </row>
    <row r="1170">
      <c r="B1170" s="50"/>
      <c r="C1170" s="16"/>
    </row>
    <row r="1171">
      <c r="B1171" s="50"/>
      <c r="C1171" s="16"/>
    </row>
    <row r="1172">
      <c r="B1172" s="50"/>
      <c r="C1172" s="16"/>
    </row>
    <row r="1173">
      <c r="B1173" s="50"/>
      <c r="C1173" s="16"/>
    </row>
    <row r="1174">
      <c r="B1174" s="50"/>
      <c r="C1174" s="16"/>
    </row>
    <row r="1175">
      <c r="B1175" s="50"/>
      <c r="C1175" s="16"/>
    </row>
    <row r="1176">
      <c r="B1176" s="50"/>
      <c r="C1176" s="16"/>
    </row>
    <row r="1177">
      <c r="B1177" s="50"/>
      <c r="C1177" s="16"/>
    </row>
    <row r="1178">
      <c r="B1178" s="50"/>
      <c r="C1178" s="16"/>
    </row>
    <row r="1179">
      <c r="B1179" s="50"/>
      <c r="C1179" s="16"/>
    </row>
    <row r="1180">
      <c r="B1180" s="50"/>
      <c r="C1180" s="16"/>
    </row>
    <row r="1181">
      <c r="B1181" s="50"/>
      <c r="C1181" s="16"/>
    </row>
    <row r="1182">
      <c r="B1182" s="50"/>
      <c r="C1182" s="16"/>
    </row>
    <row r="1183">
      <c r="B1183" s="50"/>
      <c r="C1183" s="16"/>
    </row>
    <row r="1184">
      <c r="B1184" s="50"/>
      <c r="C1184" s="16"/>
    </row>
    <row r="1185">
      <c r="B1185" s="50"/>
      <c r="C1185" s="16"/>
    </row>
    <row r="1186">
      <c r="B1186" s="50"/>
      <c r="C1186" s="16"/>
    </row>
    <row r="1187">
      <c r="B1187" s="50"/>
      <c r="C1187" s="16"/>
    </row>
    <row r="1188">
      <c r="B1188" s="50"/>
      <c r="C1188" s="16"/>
    </row>
    <row r="1189">
      <c r="B1189" s="50"/>
      <c r="C1189" s="16"/>
    </row>
    <row r="1190">
      <c r="B1190" s="50"/>
      <c r="C1190" s="16"/>
    </row>
    <row r="1191">
      <c r="B1191" s="50"/>
      <c r="C1191" s="16"/>
    </row>
    <row r="1192">
      <c r="B1192" s="50"/>
      <c r="C1192" s="16"/>
    </row>
    <row r="1193">
      <c r="B1193" s="50"/>
      <c r="C1193" s="16"/>
    </row>
    <row r="1194">
      <c r="B1194" s="50"/>
      <c r="C1194" s="16"/>
    </row>
    <row r="1195">
      <c r="B1195" s="50"/>
      <c r="C1195" s="16"/>
    </row>
    <row r="1196">
      <c r="B1196" s="50"/>
      <c r="C1196" s="16"/>
    </row>
    <row r="1197">
      <c r="B1197" s="50"/>
      <c r="C1197" s="16"/>
    </row>
    <row r="1198">
      <c r="B1198" s="50"/>
      <c r="C1198" s="16"/>
    </row>
    <row r="1199">
      <c r="B1199" s="50"/>
      <c r="C1199" s="16"/>
    </row>
    <row r="1200">
      <c r="B1200" s="50"/>
      <c r="C1200" s="16"/>
    </row>
    <row r="1201">
      <c r="B1201" s="50"/>
      <c r="C1201" s="16"/>
    </row>
    <row r="1202">
      <c r="B1202" s="50"/>
      <c r="C1202" s="16"/>
    </row>
    <row r="1203">
      <c r="B1203" s="50"/>
      <c r="C1203" s="16"/>
    </row>
    <row r="1204">
      <c r="B1204" s="50"/>
      <c r="C1204" s="16"/>
    </row>
    <row r="1205">
      <c r="B1205" s="50"/>
      <c r="C1205" s="16"/>
    </row>
    <row r="1206">
      <c r="B1206" s="50"/>
      <c r="C1206" s="16"/>
    </row>
    <row r="1207">
      <c r="B1207" s="50"/>
      <c r="C1207" s="16"/>
    </row>
    <row r="1208">
      <c r="B1208" s="50"/>
      <c r="C1208" s="16"/>
    </row>
    <row r="1209">
      <c r="B1209" s="50"/>
      <c r="C1209" s="16"/>
    </row>
    <row r="1210">
      <c r="B1210" s="50"/>
      <c r="C1210" s="16"/>
    </row>
    <row r="1211">
      <c r="B1211" s="50"/>
      <c r="C1211" s="16"/>
    </row>
    <row r="1212">
      <c r="B1212" s="50"/>
      <c r="C1212" s="16"/>
    </row>
    <row r="1213">
      <c r="B1213" s="50"/>
      <c r="C1213" s="16"/>
    </row>
    <row r="1214">
      <c r="B1214" s="50"/>
      <c r="C1214" s="16"/>
    </row>
    <row r="1215">
      <c r="B1215" s="50"/>
      <c r="C1215" s="16"/>
    </row>
    <row r="1216">
      <c r="B1216" s="50"/>
      <c r="C1216" s="16"/>
    </row>
    <row r="1217">
      <c r="B1217" s="50"/>
      <c r="C1217" s="16"/>
    </row>
    <row r="1218">
      <c r="B1218" s="50"/>
      <c r="C1218" s="16"/>
    </row>
    <row r="1219">
      <c r="B1219" s="50"/>
      <c r="C1219" s="16"/>
    </row>
    <row r="1220">
      <c r="B1220" s="50"/>
      <c r="C1220" s="16"/>
    </row>
    <row r="1221">
      <c r="B1221" s="50"/>
      <c r="C1221" s="16"/>
    </row>
    <row r="1222">
      <c r="B1222" s="50"/>
      <c r="C1222" s="16"/>
    </row>
    <row r="1223">
      <c r="B1223" s="50"/>
      <c r="C1223" s="16"/>
    </row>
    <row r="1224">
      <c r="B1224" s="50"/>
      <c r="C1224" s="16"/>
    </row>
    <row r="1225">
      <c r="B1225" s="50"/>
      <c r="C1225" s="16"/>
    </row>
    <row r="1226">
      <c r="B1226" s="50"/>
      <c r="C1226" s="16"/>
    </row>
    <row r="1227">
      <c r="B1227" s="50"/>
      <c r="C1227" s="16"/>
    </row>
    <row r="1228">
      <c r="B1228" s="50"/>
      <c r="C1228" s="16"/>
    </row>
    <row r="1229">
      <c r="B1229" s="50"/>
      <c r="C1229" s="16"/>
    </row>
    <row r="1230">
      <c r="B1230" s="50"/>
      <c r="C1230" s="16"/>
    </row>
    <row r="1231">
      <c r="B1231" s="50"/>
      <c r="C1231" s="16"/>
    </row>
    <row r="1232">
      <c r="B1232" s="50"/>
      <c r="C1232" s="16"/>
    </row>
    <row r="1233">
      <c r="B1233" s="50"/>
      <c r="C1233" s="16"/>
    </row>
    <row r="1234">
      <c r="B1234" s="50"/>
      <c r="C1234" s="16"/>
    </row>
    <row r="1235">
      <c r="B1235" s="50"/>
      <c r="C1235" s="16"/>
    </row>
    <row r="1236">
      <c r="B1236" s="50"/>
      <c r="C1236" s="16"/>
    </row>
    <row r="1237">
      <c r="B1237" s="50"/>
      <c r="C1237" s="16"/>
    </row>
    <row r="1238">
      <c r="B1238" s="50"/>
      <c r="C1238" s="16"/>
    </row>
    <row r="1239">
      <c r="B1239" s="50"/>
      <c r="C1239" s="16"/>
    </row>
    <row r="1240">
      <c r="B1240" s="50"/>
      <c r="C1240" s="16"/>
    </row>
    <row r="1241">
      <c r="B1241" s="50"/>
      <c r="C1241" s="16"/>
    </row>
    <row r="1242">
      <c r="B1242" s="50"/>
      <c r="C1242" s="16"/>
    </row>
    <row r="1243">
      <c r="B1243" s="50"/>
      <c r="C1243" s="16"/>
    </row>
    <row r="1244">
      <c r="B1244" s="50"/>
      <c r="C1244" s="16"/>
    </row>
    <row r="1245">
      <c r="B1245" s="50"/>
      <c r="C1245" s="16"/>
    </row>
    <row r="1246">
      <c r="B1246" s="50"/>
      <c r="C1246" s="16"/>
    </row>
    <row r="1247">
      <c r="B1247" s="50"/>
      <c r="C1247" s="16"/>
    </row>
    <row r="1248">
      <c r="B1248" s="50"/>
      <c r="C1248" s="16"/>
    </row>
    <row r="1249">
      <c r="B1249" s="50"/>
      <c r="C1249" s="16"/>
    </row>
    <row r="1250">
      <c r="B1250" s="50"/>
      <c r="C1250" s="16"/>
    </row>
    <row r="1251">
      <c r="B1251" s="50"/>
      <c r="C1251" s="16"/>
    </row>
    <row r="1252">
      <c r="B1252" s="50"/>
      <c r="C1252" s="16"/>
    </row>
    <row r="1253">
      <c r="B1253" s="50"/>
      <c r="C1253" s="16"/>
    </row>
    <row r="1254">
      <c r="B1254" s="50"/>
      <c r="C1254" s="16"/>
    </row>
    <row r="1255">
      <c r="B1255" s="50"/>
      <c r="C1255" s="16"/>
    </row>
    <row r="1256">
      <c r="B1256" s="50"/>
      <c r="C1256" s="16"/>
    </row>
    <row r="1257">
      <c r="B1257" s="50"/>
      <c r="C1257" s="16"/>
    </row>
    <row r="1258">
      <c r="B1258" s="50"/>
      <c r="C1258" s="16"/>
    </row>
    <row r="1259">
      <c r="B1259" s="50"/>
      <c r="C1259" s="16"/>
    </row>
    <row r="1260">
      <c r="B1260" s="50"/>
      <c r="C1260" s="16"/>
    </row>
    <row r="1261">
      <c r="B1261" s="50"/>
      <c r="C1261" s="16"/>
    </row>
    <row r="1262">
      <c r="B1262" s="50"/>
      <c r="C1262" s="16"/>
    </row>
    <row r="1263">
      <c r="B1263" s="50"/>
      <c r="C1263" s="16"/>
    </row>
    <row r="1264">
      <c r="B1264" s="50"/>
      <c r="C1264" s="16"/>
    </row>
    <row r="1265">
      <c r="B1265" s="50"/>
      <c r="C1265" s="16"/>
    </row>
    <row r="1266">
      <c r="B1266" s="50"/>
      <c r="C1266" s="16"/>
    </row>
    <row r="1267">
      <c r="B1267" s="50"/>
      <c r="C1267" s="16"/>
    </row>
    <row r="1268">
      <c r="B1268" s="50"/>
      <c r="C1268" s="16"/>
    </row>
    <row r="1269">
      <c r="B1269" s="50"/>
      <c r="C1269" s="16"/>
    </row>
    <row r="1270">
      <c r="B1270" s="50"/>
      <c r="C1270" s="16"/>
    </row>
    <row r="1271">
      <c r="B1271" s="50"/>
      <c r="C1271" s="16"/>
    </row>
    <row r="1272">
      <c r="B1272" s="50"/>
      <c r="C1272" s="16"/>
    </row>
    <row r="1273">
      <c r="B1273" s="50"/>
      <c r="C1273" s="16"/>
    </row>
    <row r="1274">
      <c r="B1274" s="50"/>
      <c r="C1274" s="16"/>
    </row>
    <row r="1275">
      <c r="B1275" s="50"/>
      <c r="C1275" s="16"/>
    </row>
    <row r="1276">
      <c r="B1276" s="50"/>
      <c r="C1276" s="16"/>
    </row>
    <row r="1277">
      <c r="B1277" s="50"/>
      <c r="C1277" s="16"/>
    </row>
    <row r="1278">
      <c r="B1278" s="50"/>
      <c r="C1278" s="16"/>
    </row>
    <row r="1279">
      <c r="B1279" s="50"/>
      <c r="C1279" s="16"/>
    </row>
    <row r="1280">
      <c r="B1280" s="50"/>
      <c r="C1280" s="16"/>
    </row>
    <row r="1281">
      <c r="B1281" s="50"/>
      <c r="C1281" s="16"/>
    </row>
    <row r="1282">
      <c r="B1282" s="50"/>
      <c r="C1282" s="16"/>
    </row>
    <row r="1283">
      <c r="B1283" s="50"/>
      <c r="C1283" s="16"/>
    </row>
    <row r="1284">
      <c r="B1284" s="50"/>
      <c r="C1284" s="16"/>
    </row>
    <row r="1285">
      <c r="B1285" s="50"/>
      <c r="C1285" s="16"/>
    </row>
    <row r="1286">
      <c r="B1286" s="50"/>
      <c r="C1286" s="16"/>
    </row>
    <row r="1287">
      <c r="B1287" s="50"/>
      <c r="C1287" s="16"/>
    </row>
    <row r="1288">
      <c r="B1288" s="50"/>
      <c r="C1288" s="16"/>
    </row>
    <row r="1289">
      <c r="B1289" s="50"/>
      <c r="C1289" s="16"/>
    </row>
    <row r="1290">
      <c r="B1290" s="50"/>
      <c r="C1290" s="16"/>
    </row>
    <row r="1291">
      <c r="B1291" s="50"/>
      <c r="C1291" s="16"/>
    </row>
    <row r="1292">
      <c r="B1292" s="50"/>
      <c r="C1292" s="16"/>
    </row>
    <row r="1293">
      <c r="B1293" s="50"/>
      <c r="C1293" s="16"/>
    </row>
    <row r="1294">
      <c r="B1294" s="50"/>
      <c r="C1294" s="16"/>
    </row>
    <row r="1295">
      <c r="B1295" s="50"/>
      <c r="C1295" s="16"/>
    </row>
    <row r="1296">
      <c r="B1296" s="50"/>
      <c r="C1296" s="16"/>
    </row>
    <row r="1297">
      <c r="B1297" s="50"/>
      <c r="C1297" s="16"/>
    </row>
    <row r="1298">
      <c r="B1298" s="50"/>
      <c r="C1298" s="16"/>
    </row>
    <row r="1299">
      <c r="B1299" s="50"/>
      <c r="C1299" s="16"/>
    </row>
    <row r="1300">
      <c r="B1300" s="50"/>
      <c r="C1300" s="16"/>
    </row>
    <row r="1301">
      <c r="B1301" s="50"/>
      <c r="C1301" s="16"/>
    </row>
    <row r="1302">
      <c r="B1302" s="50"/>
      <c r="C1302" s="16"/>
    </row>
    <row r="1303">
      <c r="B1303" s="50"/>
      <c r="C1303" s="16"/>
    </row>
    <row r="1304">
      <c r="B1304" s="50"/>
      <c r="C1304" s="16"/>
    </row>
    <row r="1305">
      <c r="B1305" s="50"/>
      <c r="C1305" s="16"/>
    </row>
    <row r="1306">
      <c r="B1306" s="50"/>
      <c r="C1306" s="16"/>
    </row>
    <row r="1307">
      <c r="B1307" s="50"/>
      <c r="C1307" s="16"/>
    </row>
    <row r="1308">
      <c r="B1308" s="50"/>
      <c r="C1308" s="16"/>
    </row>
    <row r="1309">
      <c r="B1309" s="50"/>
      <c r="C1309" s="16"/>
    </row>
    <row r="1310">
      <c r="B1310" s="50"/>
      <c r="C1310" s="16"/>
    </row>
    <row r="1311">
      <c r="B1311" s="50"/>
      <c r="C1311" s="16"/>
    </row>
    <row r="1312">
      <c r="B1312" s="50"/>
      <c r="C1312" s="16"/>
    </row>
    <row r="1313">
      <c r="B1313" s="50"/>
      <c r="C1313" s="16"/>
    </row>
    <row r="1314">
      <c r="B1314" s="50"/>
      <c r="C1314" s="16"/>
    </row>
    <row r="1315">
      <c r="B1315" s="50"/>
      <c r="C1315" s="16"/>
    </row>
    <row r="1316">
      <c r="B1316" s="50"/>
      <c r="C1316" s="16"/>
    </row>
    <row r="1317">
      <c r="B1317" s="50"/>
      <c r="C1317" s="16"/>
    </row>
    <row r="1318">
      <c r="B1318" s="50"/>
      <c r="C1318" s="16"/>
    </row>
    <row r="1319">
      <c r="B1319" s="50"/>
      <c r="C1319" s="16"/>
    </row>
    <row r="1320">
      <c r="B1320" s="50"/>
      <c r="C1320" s="16"/>
    </row>
    <row r="1321">
      <c r="B1321" s="50"/>
      <c r="C1321" s="16"/>
    </row>
    <row r="1322">
      <c r="B1322" s="50"/>
      <c r="C1322" s="16"/>
    </row>
    <row r="1323">
      <c r="B1323" s="50"/>
      <c r="C1323" s="16"/>
    </row>
    <row r="1324">
      <c r="B1324" s="50"/>
      <c r="C1324" s="16"/>
    </row>
    <row r="1325">
      <c r="B1325" s="50"/>
      <c r="C1325" s="16"/>
    </row>
    <row r="1326">
      <c r="B1326" s="50"/>
      <c r="C1326" s="16"/>
    </row>
    <row r="1327">
      <c r="B1327" s="50"/>
      <c r="C1327" s="16"/>
    </row>
    <row r="1328">
      <c r="B1328" s="50"/>
      <c r="C1328" s="16"/>
    </row>
    <row r="1329">
      <c r="B1329" s="50"/>
      <c r="C1329" s="16"/>
    </row>
    <row r="1330">
      <c r="B1330" s="50"/>
      <c r="C1330" s="16"/>
    </row>
    <row r="1331">
      <c r="B1331" s="50"/>
      <c r="C1331" s="16"/>
    </row>
    <row r="1332">
      <c r="B1332" s="50"/>
      <c r="C1332" s="16"/>
    </row>
    <row r="1333">
      <c r="B1333" s="50"/>
      <c r="C1333" s="16"/>
    </row>
    <row r="1334">
      <c r="B1334" s="50"/>
      <c r="C1334" s="16"/>
    </row>
    <row r="1335">
      <c r="B1335" s="50"/>
      <c r="C1335" s="16"/>
    </row>
    <row r="1336">
      <c r="B1336" s="50"/>
      <c r="C1336" s="16"/>
    </row>
    <row r="1337">
      <c r="B1337" s="50"/>
      <c r="C1337" s="16"/>
    </row>
    <row r="1338">
      <c r="B1338" s="50"/>
      <c r="C1338" s="16"/>
    </row>
    <row r="1339">
      <c r="B1339" s="50"/>
      <c r="C1339" s="16"/>
    </row>
    <row r="1340">
      <c r="B1340" s="50"/>
      <c r="C1340" s="16"/>
    </row>
    <row r="1341">
      <c r="B1341" s="50"/>
      <c r="C1341" s="16"/>
    </row>
    <row r="1342">
      <c r="B1342" s="50"/>
      <c r="C1342" s="16"/>
    </row>
    <row r="1343">
      <c r="B1343" s="50"/>
      <c r="C1343" s="16"/>
    </row>
    <row r="1344">
      <c r="B1344" s="50"/>
      <c r="C1344" s="16"/>
    </row>
    <row r="1345">
      <c r="B1345" s="50"/>
      <c r="C1345" s="16"/>
    </row>
    <row r="1346">
      <c r="B1346" s="50"/>
      <c r="C1346" s="16"/>
    </row>
    <row r="1347">
      <c r="B1347" s="50"/>
      <c r="C1347" s="16"/>
    </row>
    <row r="1348">
      <c r="B1348" s="50"/>
      <c r="C1348" s="16"/>
    </row>
    <row r="1349">
      <c r="B1349" s="50"/>
      <c r="C1349" s="16"/>
    </row>
    <row r="1350">
      <c r="B1350" s="50"/>
      <c r="C1350" s="16"/>
    </row>
    <row r="1351">
      <c r="B1351" s="50"/>
      <c r="C1351" s="16"/>
    </row>
    <row r="1352">
      <c r="B1352" s="50"/>
      <c r="C1352" s="16"/>
    </row>
    <row r="1353">
      <c r="B1353" s="50"/>
      <c r="C1353" s="16"/>
    </row>
    <row r="1354">
      <c r="B1354" s="50"/>
      <c r="C1354" s="16"/>
    </row>
    <row r="1355">
      <c r="B1355" s="50"/>
      <c r="C1355" s="16"/>
    </row>
    <row r="1356">
      <c r="B1356" s="50"/>
      <c r="C1356" s="16"/>
    </row>
    <row r="1357">
      <c r="B1357" s="50"/>
      <c r="C1357" s="16"/>
    </row>
    <row r="1358">
      <c r="B1358" s="50"/>
      <c r="C1358" s="16"/>
    </row>
    <row r="1359">
      <c r="B1359" s="50"/>
      <c r="C1359" s="16"/>
    </row>
    <row r="1360">
      <c r="B1360" s="50"/>
      <c r="C1360" s="16"/>
    </row>
    <row r="1361">
      <c r="B1361" s="50"/>
      <c r="C1361" s="16"/>
    </row>
    <row r="1362">
      <c r="B1362" s="50"/>
      <c r="C1362" s="16"/>
    </row>
    <row r="1363">
      <c r="B1363" s="50"/>
      <c r="C1363" s="16"/>
    </row>
    <row r="1364">
      <c r="B1364" s="50"/>
      <c r="C1364" s="16"/>
    </row>
    <row r="1365">
      <c r="B1365" s="50"/>
      <c r="C1365" s="16"/>
    </row>
    <row r="1366">
      <c r="B1366" s="50"/>
      <c r="C1366" s="16"/>
    </row>
    <row r="1367">
      <c r="B1367" s="50"/>
      <c r="C1367" s="16"/>
    </row>
    <row r="1368">
      <c r="B1368" s="50"/>
      <c r="C1368" s="16"/>
    </row>
    <row r="1369">
      <c r="B1369" s="50"/>
      <c r="C1369" s="16"/>
    </row>
    <row r="1370">
      <c r="B1370" s="50"/>
      <c r="C1370" s="16"/>
    </row>
    <row r="1371">
      <c r="B1371" s="50"/>
      <c r="C1371" s="16"/>
    </row>
    <row r="1372">
      <c r="B1372" s="50"/>
      <c r="C1372" s="16"/>
    </row>
    <row r="1373">
      <c r="B1373" s="50"/>
      <c r="C1373" s="16"/>
    </row>
    <row r="1374">
      <c r="B1374" s="50"/>
      <c r="C1374" s="16"/>
    </row>
    <row r="1375">
      <c r="B1375" s="50"/>
      <c r="C1375" s="16"/>
    </row>
    <row r="1376">
      <c r="B1376" s="50"/>
      <c r="C1376" s="16"/>
    </row>
    <row r="1377">
      <c r="B1377" s="50"/>
      <c r="C1377" s="16"/>
    </row>
    <row r="1378">
      <c r="B1378" s="50"/>
      <c r="C1378" s="16"/>
    </row>
    <row r="1379">
      <c r="B1379" s="50"/>
      <c r="C1379" s="16"/>
    </row>
    <row r="1380">
      <c r="B1380" s="50"/>
      <c r="C1380" s="16"/>
    </row>
    <row r="1381">
      <c r="B1381" s="50"/>
      <c r="C1381" s="16"/>
    </row>
    <row r="1382">
      <c r="B1382" s="50"/>
      <c r="C1382" s="16"/>
    </row>
    <row r="1383">
      <c r="B1383" s="50"/>
      <c r="C1383" s="16"/>
    </row>
    <row r="1384">
      <c r="B1384" s="50"/>
      <c r="C1384" s="16"/>
    </row>
    <row r="1385">
      <c r="B1385" s="50"/>
      <c r="C1385" s="16"/>
    </row>
    <row r="1386">
      <c r="B1386" s="50"/>
      <c r="C1386" s="16"/>
    </row>
    <row r="1387">
      <c r="B1387" s="50"/>
      <c r="C1387" s="16"/>
    </row>
    <row r="1388">
      <c r="B1388" s="50"/>
      <c r="C1388" s="16"/>
    </row>
    <row r="1389">
      <c r="B1389" s="50"/>
      <c r="C1389" s="16"/>
    </row>
    <row r="1390">
      <c r="B1390" s="50"/>
      <c r="C1390" s="16"/>
    </row>
    <row r="1391">
      <c r="B1391" s="50"/>
      <c r="C1391" s="16"/>
    </row>
    <row r="1392">
      <c r="B1392" s="50"/>
      <c r="C1392" s="16"/>
    </row>
    <row r="1393">
      <c r="B1393" s="50"/>
      <c r="C1393" s="16"/>
    </row>
    <row r="1394">
      <c r="B1394" s="50"/>
      <c r="C1394" s="16"/>
    </row>
    <row r="1395">
      <c r="B1395" s="50"/>
      <c r="C1395" s="16"/>
    </row>
    <row r="1396">
      <c r="B1396" s="50"/>
      <c r="C1396" s="16"/>
    </row>
    <row r="1397">
      <c r="B1397" s="50"/>
      <c r="C1397" s="16"/>
    </row>
    <row r="1398">
      <c r="B1398" s="50"/>
      <c r="C1398" s="16"/>
    </row>
    <row r="1399">
      <c r="B1399" s="50"/>
      <c r="C1399" s="16"/>
    </row>
    <row r="1400">
      <c r="B1400" s="50"/>
      <c r="C1400" s="16"/>
    </row>
    <row r="1401">
      <c r="B1401" s="50"/>
      <c r="C1401" s="16"/>
    </row>
    <row r="1402">
      <c r="B1402" s="50"/>
      <c r="C1402" s="16"/>
    </row>
    <row r="1403">
      <c r="B1403" s="50"/>
      <c r="C1403" s="16"/>
    </row>
    <row r="1404">
      <c r="B1404" s="50"/>
      <c r="C1404" s="16"/>
    </row>
    <row r="1405">
      <c r="B1405" s="50"/>
      <c r="C1405" s="16"/>
    </row>
    <row r="1406">
      <c r="B1406" s="50"/>
      <c r="C1406" s="16"/>
    </row>
    <row r="1407">
      <c r="B1407" s="50"/>
      <c r="C1407" s="16"/>
    </row>
    <row r="1408">
      <c r="B1408" s="50"/>
      <c r="C1408" s="16"/>
    </row>
    <row r="1409">
      <c r="B1409" s="50"/>
      <c r="C1409" s="16"/>
    </row>
    <row r="1410">
      <c r="B1410" s="50"/>
      <c r="C1410" s="16"/>
    </row>
    <row r="1411">
      <c r="B1411" s="50"/>
      <c r="C1411" s="16"/>
    </row>
    <row r="1412">
      <c r="B1412" s="50"/>
      <c r="C1412" s="16"/>
    </row>
    <row r="1413">
      <c r="B1413" s="50"/>
      <c r="C1413" s="16"/>
    </row>
    <row r="1414">
      <c r="B1414" s="50"/>
      <c r="C1414" s="16"/>
    </row>
    <row r="1415">
      <c r="B1415" s="50"/>
      <c r="C1415" s="16"/>
    </row>
    <row r="1416">
      <c r="B1416" s="50"/>
      <c r="C1416" s="16"/>
    </row>
    <row r="1417">
      <c r="B1417" s="50"/>
      <c r="C1417" s="16"/>
    </row>
    <row r="1418">
      <c r="B1418" s="50"/>
      <c r="C1418" s="16"/>
    </row>
    <row r="1419">
      <c r="B1419" s="50"/>
      <c r="C1419" s="16"/>
    </row>
    <row r="1420">
      <c r="B1420" s="50"/>
      <c r="C1420" s="16"/>
    </row>
    <row r="1421">
      <c r="B1421" s="50"/>
      <c r="C1421" s="16"/>
    </row>
    <row r="1422">
      <c r="B1422" s="50"/>
      <c r="C1422" s="16"/>
    </row>
    <row r="1423">
      <c r="B1423" s="50"/>
      <c r="C1423" s="16"/>
    </row>
    <row r="1424">
      <c r="B1424" s="50"/>
      <c r="C1424" s="16"/>
    </row>
    <row r="1425">
      <c r="B1425" s="50"/>
      <c r="C1425" s="16"/>
    </row>
    <row r="1426">
      <c r="B1426" s="50"/>
      <c r="C1426" s="16"/>
    </row>
    <row r="1427">
      <c r="B1427" s="50"/>
      <c r="C1427" s="16"/>
    </row>
    <row r="1428">
      <c r="B1428" s="50"/>
      <c r="C1428" s="16"/>
    </row>
    <row r="1429">
      <c r="B1429" s="50"/>
      <c r="C1429" s="16"/>
    </row>
    <row r="1430">
      <c r="B1430" s="50"/>
      <c r="C1430" s="16"/>
    </row>
    <row r="1431">
      <c r="B1431" s="50"/>
      <c r="C1431" s="16"/>
    </row>
    <row r="1432">
      <c r="B1432" s="50"/>
      <c r="C1432" s="16"/>
    </row>
    <row r="1433">
      <c r="B1433" s="50"/>
      <c r="C1433" s="16"/>
    </row>
    <row r="1434">
      <c r="B1434" s="50"/>
      <c r="C1434" s="16"/>
    </row>
    <row r="1435">
      <c r="B1435" s="50"/>
      <c r="C1435" s="16"/>
    </row>
    <row r="1436">
      <c r="B1436" s="50"/>
      <c r="C1436" s="16"/>
    </row>
    <row r="1437">
      <c r="B1437" s="50"/>
      <c r="C1437" s="16"/>
    </row>
    <row r="1438">
      <c r="B1438" s="50"/>
      <c r="C1438" s="16"/>
    </row>
    <row r="1439">
      <c r="B1439" s="50"/>
      <c r="C1439" s="16"/>
    </row>
    <row r="1440">
      <c r="B1440" s="50"/>
      <c r="C1440" s="16"/>
    </row>
    <row r="1441">
      <c r="B1441" s="50"/>
      <c r="C1441" s="16"/>
    </row>
    <row r="1442">
      <c r="B1442" s="50"/>
      <c r="C1442" s="16"/>
    </row>
    <row r="1443">
      <c r="B1443" s="50"/>
      <c r="C1443" s="16"/>
    </row>
    <row r="1444">
      <c r="B1444" s="50"/>
      <c r="C1444" s="16"/>
    </row>
    <row r="1445">
      <c r="B1445" s="50"/>
      <c r="C1445" s="16"/>
    </row>
    <row r="1446">
      <c r="B1446" s="50"/>
      <c r="C1446" s="16"/>
    </row>
    <row r="1447">
      <c r="B1447" s="50"/>
      <c r="C1447" s="16"/>
    </row>
    <row r="1448">
      <c r="B1448" s="50"/>
      <c r="C1448" s="16"/>
    </row>
    <row r="1449">
      <c r="B1449" s="50"/>
      <c r="C1449" s="16"/>
    </row>
    <row r="1450">
      <c r="B1450" s="50"/>
      <c r="C1450" s="16"/>
    </row>
    <row r="1451">
      <c r="B1451" s="50"/>
      <c r="C1451" s="16"/>
    </row>
    <row r="1452">
      <c r="B1452" s="50"/>
      <c r="C1452" s="16"/>
    </row>
    <row r="1453">
      <c r="B1453" s="50"/>
      <c r="C1453" s="16"/>
    </row>
    <row r="1454">
      <c r="B1454" s="50"/>
      <c r="C1454" s="16"/>
    </row>
    <row r="1455">
      <c r="B1455" s="50"/>
      <c r="C1455" s="16"/>
    </row>
    <row r="1456">
      <c r="B1456" s="50"/>
      <c r="C1456" s="16"/>
    </row>
    <row r="1457">
      <c r="B1457" s="50"/>
      <c r="C1457" s="16"/>
    </row>
    <row r="1458">
      <c r="B1458" s="50"/>
      <c r="C1458" s="16"/>
    </row>
    <row r="1459">
      <c r="B1459" s="50"/>
      <c r="C1459" s="16"/>
    </row>
    <row r="1460">
      <c r="B1460" s="50"/>
      <c r="C1460" s="16"/>
    </row>
    <row r="1461">
      <c r="B1461" s="50"/>
      <c r="C1461" s="16"/>
    </row>
    <row r="1462">
      <c r="B1462" s="50"/>
      <c r="C1462" s="16"/>
    </row>
    <row r="1463">
      <c r="B1463" s="50"/>
      <c r="C1463" s="16"/>
    </row>
    <row r="1464">
      <c r="B1464" s="50"/>
      <c r="C1464" s="16"/>
    </row>
    <row r="1465">
      <c r="B1465" s="50"/>
      <c r="C1465" s="16"/>
    </row>
    <row r="1466">
      <c r="B1466" s="50"/>
      <c r="C1466" s="16"/>
    </row>
    <row r="1467">
      <c r="B1467" s="50"/>
      <c r="C1467" s="16"/>
    </row>
    <row r="1468">
      <c r="B1468" s="50"/>
      <c r="C1468" s="16"/>
    </row>
    <row r="1469">
      <c r="B1469" s="50"/>
      <c r="C1469" s="16"/>
    </row>
    <row r="1470">
      <c r="B1470" s="50"/>
      <c r="C1470" s="16"/>
    </row>
    <row r="1471">
      <c r="B1471" s="50"/>
      <c r="C1471" s="16"/>
    </row>
    <row r="1472">
      <c r="B1472" s="50"/>
      <c r="C1472" s="16"/>
    </row>
    <row r="1473">
      <c r="B1473" s="50"/>
      <c r="C1473" s="16"/>
    </row>
    <row r="1474">
      <c r="B1474" s="50"/>
      <c r="C1474" s="16"/>
    </row>
    <row r="1475">
      <c r="B1475" s="50"/>
      <c r="C1475" s="16"/>
    </row>
    <row r="1476">
      <c r="B1476" s="50"/>
      <c r="C1476" s="16"/>
    </row>
    <row r="1477">
      <c r="B1477" s="50"/>
      <c r="C1477" s="16"/>
    </row>
    <row r="1478">
      <c r="B1478" s="50"/>
      <c r="C1478" s="16"/>
    </row>
    <row r="1479">
      <c r="B1479" s="50"/>
      <c r="C1479" s="16"/>
    </row>
    <row r="1480">
      <c r="B1480" s="50"/>
      <c r="C1480" s="16"/>
    </row>
    <row r="1481">
      <c r="B1481" s="50"/>
      <c r="C1481" s="16"/>
    </row>
    <row r="1482">
      <c r="B1482" s="50"/>
      <c r="C1482" s="16"/>
    </row>
    <row r="1483">
      <c r="B1483" s="50"/>
      <c r="C1483" s="16"/>
    </row>
    <row r="1484">
      <c r="B1484" s="50"/>
      <c r="C1484" s="16"/>
    </row>
    <row r="1485">
      <c r="B1485" s="50"/>
      <c r="C1485" s="16"/>
    </row>
    <row r="1486">
      <c r="B1486" s="50"/>
      <c r="C1486" s="16"/>
    </row>
    <row r="1487">
      <c r="B1487" s="50"/>
      <c r="C1487" s="16"/>
    </row>
    <row r="1488">
      <c r="B1488" s="50"/>
      <c r="C1488" s="16"/>
    </row>
    <row r="1489">
      <c r="B1489" s="50"/>
      <c r="C1489" s="16"/>
    </row>
    <row r="1490">
      <c r="B1490" s="50"/>
      <c r="C1490" s="16"/>
    </row>
    <row r="1491">
      <c r="B1491" s="50"/>
      <c r="C1491" s="16"/>
    </row>
    <row r="1492">
      <c r="B1492" s="50"/>
      <c r="C1492" s="16"/>
    </row>
    <row r="1493">
      <c r="B1493" s="50"/>
      <c r="C1493" s="16"/>
    </row>
    <row r="1494">
      <c r="B1494" s="50"/>
      <c r="C1494" s="16"/>
    </row>
    <row r="1495">
      <c r="B1495" s="50"/>
      <c r="C1495" s="16"/>
    </row>
    <row r="1496">
      <c r="B1496" s="50"/>
      <c r="C1496" s="16"/>
    </row>
    <row r="1497">
      <c r="B1497" s="50"/>
      <c r="C1497" s="16"/>
    </row>
    <row r="1498">
      <c r="B1498" s="50"/>
      <c r="C1498" s="16"/>
    </row>
    <row r="1499">
      <c r="B1499" s="50"/>
      <c r="C1499" s="16"/>
    </row>
    <row r="1500">
      <c r="B1500" s="50"/>
      <c r="C1500" s="16"/>
    </row>
    <row r="1501">
      <c r="B1501" s="50"/>
      <c r="C1501" s="16"/>
    </row>
    <row r="1502">
      <c r="B1502" s="50"/>
      <c r="C1502" s="16"/>
    </row>
    <row r="1503">
      <c r="B1503" s="50"/>
      <c r="C1503" s="16"/>
    </row>
    <row r="1504">
      <c r="B1504" s="50"/>
      <c r="C1504" s="16"/>
    </row>
    <row r="1505">
      <c r="B1505" s="50"/>
      <c r="C1505" s="16"/>
    </row>
    <row r="1506">
      <c r="B1506" s="50"/>
      <c r="C1506" s="16"/>
    </row>
    <row r="1507">
      <c r="B1507" s="50"/>
      <c r="C1507" s="16"/>
    </row>
    <row r="1508">
      <c r="B1508" s="50"/>
      <c r="C1508" s="16"/>
    </row>
    <row r="1509">
      <c r="B1509" s="50"/>
      <c r="C1509" s="16"/>
    </row>
    <row r="1510">
      <c r="B1510" s="50"/>
      <c r="C1510" s="16"/>
    </row>
    <row r="1511">
      <c r="B1511" s="50"/>
      <c r="C1511" s="16"/>
    </row>
    <row r="1512">
      <c r="B1512" s="50"/>
      <c r="C1512" s="16"/>
    </row>
    <row r="1513">
      <c r="B1513" s="50"/>
      <c r="C1513" s="16"/>
    </row>
    <row r="1514">
      <c r="B1514" s="50"/>
      <c r="C1514" s="16"/>
    </row>
    <row r="1515">
      <c r="B1515" s="50"/>
      <c r="C1515" s="16"/>
    </row>
    <row r="1516">
      <c r="B1516" s="50"/>
      <c r="C1516" s="16"/>
    </row>
    <row r="1517">
      <c r="B1517" s="50"/>
      <c r="C1517" s="16"/>
    </row>
    <row r="1518">
      <c r="B1518" s="50"/>
      <c r="C1518" s="16"/>
    </row>
    <row r="1519">
      <c r="B1519" s="50"/>
      <c r="C1519" s="16"/>
    </row>
    <row r="1520">
      <c r="B1520" s="50"/>
      <c r="C1520" s="16"/>
    </row>
    <row r="1521">
      <c r="B1521" s="50"/>
      <c r="C1521" s="16"/>
    </row>
    <row r="1522">
      <c r="B1522" s="50"/>
      <c r="C1522" s="16"/>
    </row>
    <row r="1523">
      <c r="B1523" s="50"/>
      <c r="C1523" s="16"/>
    </row>
    <row r="1524">
      <c r="B1524" s="50"/>
      <c r="C1524" s="16"/>
    </row>
    <row r="1525">
      <c r="B1525" s="50"/>
      <c r="C1525" s="16"/>
    </row>
    <row r="1526">
      <c r="B1526" s="50"/>
      <c r="C1526" s="16"/>
    </row>
    <row r="1527">
      <c r="B1527" s="50"/>
      <c r="C1527" s="16"/>
    </row>
    <row r="1528">
      <c r="B1528" s="50"/>
      <c r="C1528" s="16"/>
    </row>
    <row r="1529">
      <c r="B1529" s="50"/>
      <c r="C1529" s="16"/>
    </row>
    <row r="1530">
      <c r="B1530" s="50"/>
      <c r="C1530" s="16"/>
    </row>
    <row r="1531">
      <c r="B1531" s="50"/>
      <c r="C1531" s="16"/>
    </row>
    <row r="1532">
      <c r="B1532" s="50"/>
      <c r="C1532" s="16"/>
    </row>
    <row r="1533">
      <c r="B1533" s="50"/>
      <c r="C1533" s="16"/>
    </row>
    <row r="1534">
      <c r="B1534" s="50"/>
      <c r="C1534" s="16"/>
    </row>
    <row r="1535">
      <c r="B1535" s="50"/>
      <c r="C1535" s="16"/>
    </row>
    <row r="1536">
      <c r="B1536" s="50"/>
      <c r="C1536" s="16"/>
    </row>
    <row r="1537">
      <c r="B1537" s="50"/>
      <c r="C1537" s="16"/>
    </row>
    <row r="1538">
      <c r="B1538" s="50"/>
      <c r="C1538" s="16"/>
    </row>
    <row r="1539">
      <c r="B1539" s="50"/>
      <c r="C1539" s="16"/>
    </row>
    <row r="1540">
      <c r="B1540" s="50"/>
      <c r="C1540" s="16"/>
    </row>
    <row r="1541">
      <c r="B1541" s="50"/>
      <c r="C1541" s="16"/>
    </row>
    <row r="1542">
      <c r="B1542" s="50"/>
      <c r="C1542" s="16"/>
    </row>
    <row r="1543">
      <c r="B1543" s="50"/>
      <c r="C1543" s="16"/>
    </row>
    <row r="1544">
      <c r="B1544" s="50"/>
      <c r="C1544" s="16"/>
    </row>
    <row r="1545">
      <c r="B1545" s="50"/>
      <c r="C1545" s="16"/>
    </row>
    <row r="1546">
      <c r="B1546" s="50"/>
      <c r="C1546" s="16"/>
    </row>
    <row r="1547">
      <c r="B1547" s="50"/>
      <c r="C1547" s="16"/>
    </row>
    <row r="1548">
      <c r="B1548" s="50"/>
      <c r="C1548" s="16"/>
    </row>
    <row r="1549">
      <c r="B1549" s="50"/>
      <c r="C1549" s="16"/>
    </row>
    <row r="1550">
      <c r="B1550" s="50"/>
      <c r="C1550" s="16"/>
    </row>
    <row r="1551">
      <c r="B1551" s="50"/>
      <c r="C1551" s="16"/>
    </row>
    <row r="1552">
      <c r="B1552" s="50"/>
      <c r="C1552" s="16"/>
    </row>
    <row r="1553">
      <c r="B1553" s="50"/>
      <c r="C1553" s="16"/>
    </row>
    <row r="1554">
      <c r="B1554" s="50"/>
      <c r="C1554" s="16"/>
    </row>
    <row r="1555">
      <c r="B1555" s="50"/>
      <c r="C1555" s="16"/>
    </row>
    <row r="1556">
      <c r="B1556" s="50"/>
      <c r="C1556" s="16"/>
    </row>
    <row r="1557">
      <c r="B1557" s="50"/>
      <c r="C1557" s="16"/>
    </row>
    <row r="1558">
      <c r="B1558" s="50"/>
      <c r="C1558" s="16"/>
    </row>
    <row r="1559">
      <c r="B1559" s="50"/>
      <c r="C1559" s="16"/>
    </row>
    <row r="1560">
      <c r="B1560" s="50"/>
      <c r="C1560" s="16"/>
    </row>
    <row r="1561">
      <c r="B1561" s="50"/>
      <c r="C1561" s="16"/>
    </row>
    <row r="1562">
      <c r="B1562" s="50"/>
      <c r="C1562" s="16"/>
    </row>
    <row r="1563">
      <c r="B1563" s="50"/>
      <c r="C1563" s="16"/>
    </row>
    <row r="1564">
      <c r="B1564" s="50"/>
      <c r="C1564" s="16"/>
    </row>
    <row r="1565">
      <c r="B1565" s="50"/>
      <c r="C1565" s="16"/>
    </row>
    <row r="1566">
      <c r="B1566" s="50"/>
      <c r="C1566" s="16"/>
    </row>
    <row r="1567">
      <c r="B1567" s="50"/>
      <c r="C1567" s="16"/>
    </row>
    <row r="1568">
      <c r="B1568" s="50"/>
      <c r="C1568" s="16"/>
    </row>
    <row r="1569">
      <c r="B1569" s="50"/>
      <c r="C1569" s="16"/>
    </row>
    <row r="1570">
      <c r="B1570" s="50"/>
      <c r="C1570" s="16"/>
    </row>
    <row r="1571">
      <c r="B1571" s="50"/>
      <c r="C1571" s="16"/>
    </row>
    <row r="1572">
      <c r="B1572" s="50"/>
      <c r="C1572" s="16"/>
    </row>
    <row r="1573">
      <c r="B1573" s="50"/>
      <c r="C1573" s="16"/>
    </row>
    <row r="1574">
      <c r="B1574" s="50"/>
      <c r="C1574" s="16"/>
    </row>
    <row r="1575">
      <c r="B1575" s="50"/>
      <c r="C1575" s="16"/>
    </row>
    <row r="1576">
      <c r="B1576" s="50"/>
      <c r="C1576" s="16"/>
    </row>
    <row r="1577">
      <c r="B1577" s="50"/>
      <c r="C1577" s="16"/>
    </row>
    <row r="1578">
      <c r="B1578" s="50"/>
      <c r="C1578" s="16"/>
    </row>
    <row r="1579">
      <c r="B1579" s="50"/>
      <c r="C1579" s="16"/>
    </row>
    <row r="1580">
      <c r="B1580" s="50"/>
      <c r="C1580" s="16"/>
    </row>
    <row r="1581">
      <c r="B1581" s="50"/>
      <c r="C1581" s="16"/>
    </row>
    <row r="1582">
      <c r="B1582" s="50"/>
      <c r="C1582" s="16"/>
    </row>
    <row r="1583">
      <c r="B1583" s="50"/>
      <c r="C1583" s="16"/>
    </row>
    <row r="1584">
      <c r="B1584" s="50"/>
      <c r="C1584" s="16"/>
    </row>
    <row r="1585">
      <c r="B1585" s="50"/>
      <c r="C1585" s="16"/>
    </row>
    <row r="1586">
      <c r="B1586" s="50"/>
      <c r="C1586" s="16"/>
    </row>
    <row r="1587">
      <c r="B1587" s="50"/>
      <c r="C1587" s="16"/>
    </row>
    <row r="1588">
      <c r="B1588" s="50"/>
      <c r="C1588" s="16"/>
    </row>
    <row r="1589">
      <c r="B1589" s="50"/>
      <c r="C1589" s="16"/>
    </row>
    <row r="1590">
      <c r="B1590" s="50"/>
      <c r="C1590" s="16"/>
    </row>
    <row r="1591">
      <c r="B1591" s="50"/>
      <c r="C1591" s="16"/>
    </row>
    <row r="1592">
      <c r="B1592" s="50"/>
      <c r="C1592" s="16"/>
    </row>
    <row r="1593">
      <c r="B1593" s="50"/>
      <c r="C1593" s="16"/>
    </row>
    <row r="1594">
      <c r="B1594" s="50"/>
      <c r="C1594" s="16"/>
    </row>
    <row r="1595">
      <c r="B1595" s="50"/>
      <c r="C1595" s="16"/>
    </row>
    <row r="1596">
      <c r="B1596" s="50"/>
      <c r="C1596" s="16"/>
    </row>
    <row r="1597">
      <c r="B1597" s="50"/>
      <c r="C1597" s="16"/>
    </row>
    <row r="1598">
      <c r="B1598" s="50"/>
      <c r="C1598" s="16"/>
    </row>
    <row r="1599">
      <c r="B1599" s="50"/>
      <c r="C1599" s="16"/>
    </row>
    <row r="1600">
      <c r="B1600" s="50"/>
      <c r="C1600" s="16"/>
    </row>
    <row r="1601">
      <c r="B1601" s="50"/>
      <c r="C1601" s="16"/>
    </row>
    <row r="1602">
      <c r="B1602" s="50"/>
      <c r="C1602" s="16"/>
    </row>
    <row r="1603">
      <c r="B1603" s="50"/>
      <c r="C1603" s="16"/>
    </row>
    <row r="1604">
      <c r="B1604" s="50"/>
      <c r="C1604" s="16"/>
    </row>
    <row r="1605">
      <c r="B1605" s="50"/>
      <c r="C1605" s="16"/>
    </row>
    <row r="1606">
      <c r="B1606" s="50"/>
      <c r="C1606" s="16"/>
    </row>
    <row r="1607">
      <c r="B1607" s="50"/>
      <c r="C1607" s="16"/>
    </row>
    <row r="1608">
      <c r="B1608" s="50"/>
      <c r="C1608" s="16"/>
    </row>
    <row r="1609">
      <c r="B1609" s="50"/>
      <c r="C1609" s="16"/>
    </row>
    <row r="1610">
      <c r="B1610" s="50"/>
      <c r="C1610" s="16"/>
    </row>
    <row r="1611">
      <c r="B1611" s="50"/>
      <c r="C1611" s="16"/>
    </row>
    <row r="1612">
      <c r="B1612" s="50"/>
      <c r="C1612" s="16"/>
    </row>
    <row r="1613">
      <c r="B1613" s="50"/>
      <c r="C1613" s="16"/>
    </row>
    <row r="1614">
      <c r="B1614" s="50"/>
      <c r="C1614" s="16"/>
    </row>
    <row r="1615">
      <c r="B1615" s="50"/>
      <c r="C1615" s="16"/>
    </row>
    <row r="1616">
      <c r="B1616" s="50"/>
      <c r="C1616" s="16"/>
    </row>
    <row r="1617">
      <c r="B1617" s="50"/>
      <c r="C1617" s="16"/>
    </row>
    <row r="1618">
      <c r="B1618" s="50"/>
      <c r="C1618" s="16"/>
    </row>
    <row r="1619">
      <c r="B1619" s="50"/>
      <c r="C1619" s="16"/>
    </row>
    <row r="1620">
      <c r="B1620" s="50"/>
      <c r="C1620" s="16"/>
    </row>
    <row r="1621">
      <c r="B1621" s="50"/>
      <c r="C1621" s="16"/>
    </row>
    <row r="1622">
      <c r="B1622" s="50"/>
      <c r="C1622" s="16"/>
    </row>
    <row r="1623">
      <c r="B1623" s="50"/>
      <c r="C1623" s="16"/>
    </row>
    <row r="1624">
      <c r="B1624" s="50"/>
      <c r="C1624" s="16"/>
    </row>
    <row r="1625">
      <c r="B1625" s="50"/>
      <c r="C1625" s="16"/>
    </row>
    <row r="1626">
      <c r="B1626" s="50"/>
      <c r="C1626" s="16"/>
    </row>
    <row r="1627">
      <c r="B1627" s="50"/>
      <c r="C1627" s="16"/>
    </row>
    <row r="1628">
      <c r="B1628" s="50"/>
      <c r="C1628" s="16"/>
    </row>
    <row r="1629">
      <c r="B1629" s="50"/>
      <c r="C1629" s="16"/>
    </row>
    <row r="1630">
      <c r="B1630" s="50"/>
      <c r="C1630" s="16"/>
    </row>
    <row r="1631">
      <c r="B1631" s="50"/>
      <c r="C1631" s="16"/>
    </row>
    <row r="1632">
      <c r="B1632" s="50"/>
      <c r="C1632" s="16"/>
    </row>
    <row r="1633">
      <c r="B1633" s="50"/>
      <c r="C1633" s="16"/>
    </row>
    <row r="1634">
      <c r="B1634" s="50"/>
      <c r="C1634" s="16"/>
    </row>
    <row r="1635">
      <c r="B1635" s="50"/>
      <c r="C1635" s="16"/>
    </row>
    <row r="1636">
      <c r="B1636" s="50"/>
      <c r="C1636" s="16"/>
    </row>
    <row r="1637">
      <c r="B1637" s="50"/>
      <c r="C1637" s="16"/>
    </row>
    <row r="1638">
      <c r="B1638" s="50"/>
      <c r="C1638" s="16"/>
    </row>
    <row r="1639">
      <c r="B1639" s="50"/>
      <c r="C1639" s="16"/>
    </row>
    <row r="1640">
      <c r="B1640" s="50"/>
      <c r="C1640" s="16"/>
    </row>
    <row r="1641">
      <c r="B1641" s="50"/>
      <c r="C1641" s="16"/>
    </row>
    <row r="1642">
      <c r="B1642" s="50"/>
      <c r="C1642" s="16"/>
    </row>
    <row r="1643">
      <c r="B1643" s="50"/>
      <c r="C1643" s="16"/>
    </row>
    <row r="1644">
      <c r="B1644" s="50"/>
      <c r="C1644" s="16"/>
    </row>
    <row r="1645">
      <c r="B1645" s="50"/>
      <c r="C1645" s="16"/>
    </row>
    <row r="1646">
      <c r="B1646" s="50"/>
      <c r="C1646" s="16"/>
    </row>
    <row r="1647">
      <c r="B1647" s="50"/>
      <c r="C1647" s="16"/>
    </row>
    <row r="1648">
      <c r="B1648" s="50"/>
      <c r="C1648" s="16"/>
    </row>
    <row r="1649">
      <c r="B1649" s="50"/>
      <c r="C1649" s="16"/>
    </row>
    <row r="1650">
      <c r="B1650" s="50"/>
      <c r="C1650" s="16"/>
    </row>
    <row r="1651">
      <c r="B1651" s="50"/>
      <c r="C1651" s="16"/>
    </row>
    <row r="1652">
      <c r="B1652" s="50"/>
      <c r="C1652" s="16"/>
    </row>
    <row r="1653">
      <c r="B1653" s="50"/>
      <c r="C1653" s="16"/>
    </row>
    <row r="1654">
      <c r="B1654" s="50"/>
      <c r="C1654" s="16"/>
    </row>
    <row r="1655">
      <c r="B1655" s="50"/>
      <c r="C1655" s="16"/>
    </row>
    <row r="1656">
      <c r="B1656" s="50"/>
      <c r="C1656" s="16"/>
    </row>
    <row r="1657">
      <c r="B1657" s="50"/>
      <c r="C1657" s="16"/>
    </row>
    <row r="1658">
      <c r="B1658" s="50"/>
      <c r="C1658" s="16"/>
    </row>
    <row r="1659">
      <c r="B1659" s="50"/>
      <c r="C1659" s="16"/>
    </row>
    <row r="1660">
      <c r="B1660" s="50"/>
      <c r="C1660" s="16"/>
    </row>
    <row r="1661">
      <c r="B1661" s="50"/>
      <c r="C1661" s="16"/>
    </row>
    <row r="1662">
      <c r="B1662" s="50"/>
      <c r="C1662" s="16"/>
    </row>
    <row r="1663">
      <c r="B1663" s="50"/>
      <c r="C1663" s="16"/>
    </row>
    <row r="1664">
      <c r="B1664" s="50"/>
      <c r="C1664" s="16"/>
    </row>
    <row r="1665">
      <c r="B1665" s="50"/>
      <c r="C1665" s="16"/>
    </row>
    <row r="1666">
      <c r="B1666" s="50"/>
      <c r="C1666" s="16"/>
    </row>
    <row r="1667">
      <c r="B1667" s="50"/>
      <c r="C1667" s="16"/>
    </row>
    <row r="1668">
      <c r="B1668" s="50"/>
      <c r="C1668" s="16"/>
    </row>
    <row r="1669">
      <c r="B1669" s="50"/>
      <c r="C1669" s="16"/>
    </row>
    <row r="1670">
      <c r="B1670" s="50"/>
      <c r="C1670" s="16"/>
    </row>
    <row r="1671">
      <c r="B1671" s="50"/>
      <c r="C1671" s="16"/>
    </row>
    <row r="1672">
      <c r="B1672" s="50"/>
      <c r="C1672" s="16"/>
    </row>
    <row r="1673">
      <c r="B1673" s="50"/>
      <c r="C1673" s="16"/>
    </row>
    <row r="1674">
      <c r="B1674" s="50"/>
      <c r="C1674" s="16"/>
    </row>
    <row r="1675">
      <c r="B1675" s="50"/>
      <c r="C1675" s="16"/>
    </row>
    <row r="1676">
      <c r="B1676" s="50"/>
      <c r="C1676" s="16"/>
    </row>
    <row r="1677">
      <c r="B1677" s="50"/>
      <c r="C1677" s="16"/>
    </row>
    <row r="1678">
      <c r="B1678" s="50"/>
      <c r="C1678" s="16"/>
    </row>
    <row r="1679">
      <c r="B1679" s="50"/>
      <c r="C1679" s="16"/>
    </row>
    <row r="1680">
      <c r="B1680" s="50"/>
      <c r="C1680" s="16"/>
    </row>
    <row r="1681">
      <c r="B1681" s="50"/>
      <c r="C1681" s="16"/>
    </row>
    <row r="1682">
      <c r="B1682" s="50"/>
      <c r="C1682" s="16"/>
    </row>
    <row r="1683">
      <c r="B1683" s="50"/>
      <c r="C1683" s="16"/>
    </row>
    <row r="1684">
      <c r="B1684" s="50"/>
      <c r="C1684" s="16"/>
    </row>
    <row r="1685">
      <c r="B1685" s="50"/>
      <c r="C1685" s="16"/>
    </row>
    <row r="1686">
      <c r="B1686" s="50"/>
      <c r="C1686" s="16"/>
    </row>
    <row r="1687">
      <c r="B1687" s="50"/>
      <c r="C1687" s="16"/>
    </row>
    <row r="1688">
      <c r="B1688" s="50"/>
      <c r="C1688" s="16"/>
    </row>
    <row r="1689">
      <c r="B1689" s="50"/>
      <c r="C1689" s="16"/>
    </row>
    <row r="1690">
      <c r="B1690" s="50"/>
      <c r="C1690" s="16"/>
    </row>
    <row r="1691">
      <c r="B1691" s="50"/>
      <c r="C1691" s="16"/>
    </row>
    <row r="1692">
      <c r="B1692" s="50"/>
      <c r="C1692" s="16"/>
    </row>
    <row r="1693">
      <c r="B1693" s="50"/>
      <c r="C1693" s="16"/>
    </row>
    <row r="1694">
      <c r="B1694" s="50"/>
      <c r="C1694" s="16"/>
    </row>
    <row r="1695">
      <c r="B1695" s="50"/>
      <c r="C1695" s="16"/>
    </row>
    <row r="1696">
      <c r="B1696" s="50"/>
      <c r="C1696" s="16"/>
    </row>
    <row r="1697">
      <c r="B1697" s="50"/>
      <c r="C1697" s="16"/>
    </row>
    <row r="1698">
      <c r="B1698" s="50"/>
      <c r="C1698" s="16"/>
    </row>
    <row r="1699">
      <c r="B1699" s="50"/>
      <c r="C1699" s="16"/>
    </row>
    <row r="1700">
      <c r="B1700" s="50"/>
      <c r="C1700" s="16"/>
    </row>
    <row r="1701">
      <c r="B1701" s="50"/>
      <c r="C1701" s="16"/>
    </row>
    <row r="1702">
      <c r="B1702" s="50"/>
      <c r="C1702" s="16"/>
    </row>
    <row r="1703">
      <c r="B1703" s="50"/>
      <c r="C1703" s="16"/>
    </row>
    <row r="1704">
      <c r="B1704" s="50"/>
      <c r="C1704" s="16"/>
    </row>
    <row r="1705">
      <c r="B1705" s="50"/>
      <c r="C1705" s="16"/>
    </row>
    <row r="1706">
      <c r="B1706" s="50"/>
      <c r="C1706" s="16"/>
    </row>
    <row r="1707">
      <c r="B1707" s="50"/>
      <c r="C1707" s="16"/>
    </row>
    <row r="1708">
      <c r="B1708" s="50"/>
      <c r="C1708" s="16"/>
    </row>
    <row r="1709">
      <c r="B1709" s="50"/>
      <c r="C1709" s="16"/>
    </row>
    <row r="1710">
      <c r="B1710" s="50"/>
      <c r="C1710" s="16"/>
    </row>
  </sheetData>
  <customSheetViews>
    <customSheetView guid="{204942AA-9808-46A9-8407-08F89D8B8C28}" filter="1" showAutoFilter="1">
      <autoFilter ref="$A$3:$J$791">
        <filterColumn colId="2">
          <filters>
            <filter val="Noun"/>
          </filters>
        </filterColumn>
      </autoFilter>
    </customSheetView>
  </customSheetViews>
  <mergeCells count="1">
    <mergeCell ref="S1:T1"/>
  </mergeCells>
  <conditionalFormatting sqref="B23:B30">
    <cfRule type="colorScale" priority="1">
      <colorScale>
        <cfvo type="min"/>
        <cfvo type="max"/>
        <color rgb="FF57BB8A"/>
        <color rgb="FFFFFFFF"/>
      </colorScale>
    </cfRule>
  </conditionalFormatting>
  <conditionalFormatting sqref="B89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F2:F26 F28:F31 F38 F41 F57 F62 F65:F66 F68 F70 F76 F79 F82 F85 F92:F93 F98:F99 F105:F113 F116:F123 F125:F133 F135 F137:F146 F148:F150 F152 F154:F157 F161:F167 F169:F171 F173:F182 F184:F185 F187:F188 F190 F192:F193 F199:F200 F202:F203 F207:F208 F210:F212 F214 F217:F221 F225:F226 F228:F231 F234:F236 F238:F239 F243:F244 F247:F251 F253 F256 F258 F260:F261 F263 F266:F267 F269:F270 F272:F276 F279 F281:F286 F288:F289 F292:F295 F298 F300:F307 F309:F314 F319:F320 F324 F327:F328 F332:F339 F341:F343 F350:F351 F355:F359 F363:F365 F367:F370 F372:F376 F380 F383:F386 F388:F404 F406 F408 F410:F418 F420:F426 F428:F434 F436:F439 F441 F443 F445:F449 F451 F453:F462 F464:F465 F467:F469 F472 F476:F481 F483:F484 F486 F489:F494 F496 F504:F505 F507:F510 F512 F514:F529 F531 F533:F542 F544:F548 F550:F552 F555:F567 F569 F571:F574 F576:F578 F581 F583:F591 F593:F595 F597:F598 F600:F608 F610:F613 F615:F618 F621 F623:F627 F629:F633 F635 F637:F653 F655:F656 F659:F663 F665:F666 F668:F669 F671:F674 F677 F679:F681 F683 F687 F691 F694 F696 F701:F702 F704:F705 F709:F710 F713 F715:F719 F722 F724:F727 F733:F734 F737 F739 F741:F743 F745:F748 F751:F753 F757 F766 F769:F776 F778:F785 F787:F788 F790 F792 F794:F795 F798:F802 F804 F806:F807 F809:F814 F816:F818 F821:F822 F824:F832 F836 F839:F847 F852 F854 F856:F864 F867:F877 F880:F889 F891:F892 F895 F897 F899 F901:F902 F905:F906 F908:F914 F916:F918 F920:F922 F924:F926 F928:F934 F936:F940 F943:F947 F949:F950 F952:F961 F963:F964 F966:F967 F971:F974 F976 F978:F988 F990 F992:F993 F997:F1001 F1004:F1027 F1032:F1036 F1039:F1056">
      <formula1>"N/A,morning,midday,midnight,night,afternoon,evening"</formula1>
    </dataValidation>
    <dataValidation type="list" allowBlank="1" showErrorMessage="1" sqref="C2:C1710">
      <formula1>"Noun,Verb,Pronoun,Preposition,Conjunction,Adjectives,Adverbs,Articles"</formula1>
    </dataValidation>
    <dataValidation type="list" allowBlank="1" showErrorMessage="1" sqref="G2:G26 G28:G31 G38 G41 G57 G62 G65:G66 G68 G70 G76 G79 G82 G85 G92:G93 G98:G99 G105:G113 G116:G123 G125:G133 G135 G137:G146 G148:G150 G152 G154:G157 G161:G167 G169:G171 G173:G182 G184:G185 G187:G188 G190 G192:G193 G199:G200 G202:G203 G207:G208 G210:G212 G214 G217:G221 G225:G226 G228:G231 G234:G236 G238:G239 G243:G244 G247:G251 G253 G256 G258 G260:G261 G263 G266:G267 G269:G270 G272:G276 G279 G281:G286 G288:G289 G292:G295 G298 G300:G307 G309:G314 G319:G320 G324 G327:G328 G332:G339 G341:G343 G350:G351 G355:G359 G363:G365 G367:G370 G372:G376 G380 G383:G386 G388:G404 G406 G408 G410:G418 G420:G426 G428:G434 G436:G439 G441 G443 G445:G449 G451 G453:G462 G464:G465 G467:G469 G472 G476:G481 G483:G484 G486 G489:G494 G496 G504:G505 G507:G510 G512 G514:G529 G531 G533:G542 G544:G548 G550:G552 G555:G567 G569 G571:G574 G576:G578 G581 G583:G591 G593:G595 G597:G598 G600:G608 G610:G613 G615:G618 G621 G623:G627 G629:G633 G635 G637:G653 G655:G656 G659:G663 G665:G666 G668:G669 G671:G674 G677 G679:G681 G683 G687 G691 G694 G696 G701:G702 G704:G705 G709:G710 G713 G715:G719 G722 G724:G727 G733:G734 G737 G739 G741:G743 G745:G748 G751:G753 G757 G766 G769:G776 G778:G785 G787:G788 G790 G792 G794:G795 G798:G802 G806:G807 G809:G814 G816:G818 G821:G822 G824:G832 G836 G839:G847 G852 G854 G856:G864 G867:G877 G880:G889 G891:G892 G895 G897 G899 G901:G902 G905:G906 G908:G914 G916:G918 G920:G922 G924:G926 G928:G934 G936:G940 G943:G947 G949:G950 G952:G961 G963:G964 G966:G967 G971:G974 G976 G978:G988 G990 G992:G993 G997:G1001 G1004:G1027 G1032:G1036 G1039:G1056">
      <formula1>"N/A,School,Home,Outdoor,Anywhere"</formula1>
    </dataValidation>
    <dataValidation type="list" allowBlank="1" showErrorMessage="1" sqref="D2:D1056">
      <formula1>"Family,Colours,Emotions,Places,Parishes,Days,Months,Food,Animal,TBD,Object,Body Part,Action,position,thing,Time,Mathematics,Emergency,Qualities"</formula1>
    </dataValidation>
  </dataValidations>
  <hyperlinks>
    <hyperlink r:id="rId2" ref="I2"/>
    <hyperlink r:id="rId3" ref="I3"/>
    <hyperlink r:id="rId4" ref="I4"/>
    <hyperlink r:id="rId5" ref="I5"/>
    <hyperlink r:id="rId6" ref="I6"/>
    <hyperlink r:id="rId7" ref="I7"/>
    <hyperlink r:id="rId8" ref="I8"/>
    <hyperlink r:id="rId9" ref="I9"/>
    <hyperlink r:id="rId10" ref="I10"/>
    <hyperlink r:id="rId11" ref="I11"/>
    <hyperlink r:id="rId12" ref="I12"/>
    <hyperlink r:id="rId13" ref="I13"/>
    <hyperlink r:id="rId14" ref="I14"/>
    <hyperlink r:id="rId15" ref="I15"/>
    <hyperlink r:id="rId16" ref="I16"/>
    <hyperlink r:id="rId17" ref="I17"/>
    <hyperlink r:id="rId18" ref="I18"/>
    <hyperlink r:id="rId19" ref="I19"/>
    <hyperlink r:id="rId20" ref="I20"/>
    <hyperlink r:id="rId21" ref="I21"/>
    <hyperlink r:id="rId22" ref="I22"/>
    <hyperlink r:id="rId23" ref="I23"/>
    <hyperlink r:id="rId24" ref="I24"/>
    <hyperlink r:id="rId25" ref="I25"/>
    <hyperlink r:id="rId26" ref="I26"/>
    <hyperlink r:id="rId27" ref="I28"/>
    <hyperlink r:id="rId28" ref="I29"/>
    <hyperlink r:id="rId29" ref="I30"/>
    <hyperlink r:id="rId30" ref="I31"/>
    <hyperlink r:id="rId31" ref="I33"/>
    <hyperlink r:id="rId32" ref="I34"/>
    <hyperlink r:id="rId33" ref="I35"/>
    <hyperlink r:id="rId34" ref="I37"/>
    <hyperlink r:id="rId35" ref="I38"/>
    <hyperlink r:id="rId36" ref="I39"/>
    <hyperlink r:id="rId37" ref="I40"/>
    <hyperlink r:id="rId38" ref="I41"/>
    <hyperlink r:id="rId39" ref="I42"/>
    <hyperlink r:id="rId40" ref="I44"/>
    <hyperlink r:id="rId41" ref="I45"/>
    <hyperlink r:id="rId42" ref="I46"/>
    <hyperlink r:id="rId43" ref="I47"/>
    <hyperlink r:id="rId44" ref="I48"/>
    <hyperlink r:id="rId45" ref="I50"/>
    <hyperlink r:id="rId46" ref="I51"/>
    <hyperlink r:id="rId47" ref="I53"/>
    <hyperlink r:id="rId48" ref="I55"/>
    <hyperlink r:id="rId49" ref="I56"/>
    <hyperlink r:id="rId50" ref="I57"/>
    <hyperlink r:id="rId51" ref="I60"/>
    <hyperlink r:id="rId52" ref="I62"/>
    <hyperlink r:id="rId53" ref="I63"/>
    <hyperlink r:id="rId54" ref="I64"/>
    <hyperlink r:id="rId55" ref="I65"/>
    <hyperlink r:id="rId56" ref="I66"/>
    <hyperlink r:id="rId57" ref="I67"/>
    <hyperlink r:id="rId58" ref="I68"/>
    <hyperlink r:id="rId59" ref="I69"/>
    <hyperlink r:id="rId60" ref="I70"/>
    <hyperlink r:id="rId61" ref="I71"/>
    <hyperlink r:id="rId62" ref="I76"/>
    <hyperlink r:id="rId63" ref="I77"/>
    <hyperlink r:id="rId64" ref="I79"/>
    <hyperlink r:id="rId65" ref="I82"/>
    <hyperlink r:id="rId66" ref="I85"/>
    <hyperlink r:id="rId67" ref="I87"/>
    <hyperlink r:id="rId68" ref="I88"/>
    <hyperlink r:id="rId69" ref="I90"/>
    <hyperlink r:id="rId70" ref="I91"/>
    <hyperlink r:id="rId71" ref="I92"/>
    <hyperlink r:id="rId72" ref="I93"/>
    <hyperlink r:id="rId73" ref="I94"/>
    <hyperlink r:id="rId74" ref="I96"/>
    <hyperlink r:id="rId75" ref="I97"/>
    <hyperlink r:id="rId76" ref="I98"/>
    <hyperlink r:id="rId77" ref="I99"/>
    <hyperlink r:id="rId78" ref="I100"/>
    <hyperlink r:id="rId79" ref="I101"/>
    <hyperlink r:id="rId80" ref="I105"/>
    <hyperlink r:id="rId81" ref="I106"/>
    <hyperlink r:id="rId82" ref="I107"/>
    <hyperlink r:id="rId83" ref="I108"/>
    <hyperlink r:id="rId84" ref="I109"/>
    <hyperlink r:id="rId85" ref="I110"/>
    <hyperlink r:id="rId86" ref="I111"/>
    <hyperlink r:id="rId87" ref="I112"/>
    <hyperlink r:id="rId88" ref="I113"/>
    <hyperlink r:id="rId89" ref="I114"/>
    <hyperlink r:id="rId90" ref="I115"/>
    <hyperlink r:id="rId91" ref="I116"/>
    <hyperlink r:id="rId92" ref="I117"/>
    <hyperlink r:id="rId93" ref="I118"/>
    <hyperlink r:id="rId94" ref="I119"/>
    <hyperlink r:id="rId95" ref="I120"/>
    <hyperlink r:id="rId96" ref="I121"/>
    <hyperlink r:id="rId97" ref="I122"/>
    <hyperlink r:id="rId98" ref="I123"/>
    <hyperlink r:id="rId99" ref="I124"/>
    <hyperlink r:id="rId100" ref="I125"/>
    <hyperlink r:id="rId101" ref="I126"/>
    <hyperlink r:id="rId102" ref="I127"/>
    <hyperlink r:id="rId103" ref="I128"/>
    <hyperlink r:id="rId104" ref="I129"/>
    <hyperlink r:id="rId105" ref="I130"/>
    <hyperlink r:id="rId106" ref="I131"/>
    <hyperlink r:id="rId107" ref="I132"/>
    <hyperlink r:id="rId108" ref="I133"/>
    <hyperlink r:id="rId109" ref="I134"/>
    <hyperlink r:id="rId110" ref="I135"/>
    <hyperlink r:id="rId111" ref="I136"/>
    <hyperlink r:id="rId112" ref="I137"/>
    <hyperlink r:id="rId113" ref="I138"/>
    <hyperlink r:id="rId114" ref="I139"/>
    <hyperlink r:id="rId115" ref="I140"/>
    <hyperlink r:id="rId116" ref="I141"/>
    <hyperlink r:id="rId117" ref="I142"/>
    <hyperlink r:id="rId118" ref="I143"/>
    <hyperlink r:id="rId119" ref="I144"/>
    <hyperlink r:id="rId120" ref="I145"/>
    <hyperlink r:id="rId121" ref="I146"/>
    <hyperlink r:id="rId122" ref="I147"/>
    <hyperlink r:id="rId123" ref="I148"/>
    <hyperlink r:id="rId124" ref="I149"/>
    <hyperlink r:id="rId125" ref="I150"/>
    <hyperlink r:id="rId126" ref="I151"/>
    <hyperlink r:id="rId127" ref="I152"/>
    <hyperlink r:id="rId128" ref="I153"/>
    <hyperlink r:id="rId129" ref="I154"/>
    <hyperlink r:id="rId130" ref="I155"/>
    <hyperlink r:id="rId131" ref="I156"/>
    <hyperlink r:id="rId132" ref="I157"/>
    <hyperlink r:id="rId133" ref="I158"/>
    <hyperlink r:id="rId134" ref="I159"/>
    <hyperlink r:id="rId135" ref="I160"/>
    <hyperlink r:id="rId136" ref="I161"/>
    <hyperlink r:id="rId137" ref="I163"/>
    <hyperlink r:id="rId138" ref="I164"/>
    <hyperlink r:id="rId139" ref="I165"/>
    <hyperlink r:id="rId140" ref="I166"/>
    <hyperlink r:id="rId141" ref="I167"/>
    <hyperlink r:id="rId142" ref="I168"/>
    <hyperlink r:id="rId143" ref="I169"/>
    <hyperlink r:id="rId144" ref="I170"/>
    <hyperlink r:id="rId145" ref="I171"/>
    <hyperlink r:id="rId146" ref="I172"/>
    <hyperlink r:id="rId147" ref="I173"/>
    <hyperlink r:id="rId148" ref="I174"/>
    <hyperlink r:id="rId149" ref="I175"/>
    <hyperlink r:id="rId150" ref="I176"/>
    <hyperlink r:id="rId151" ref="I177"/>
    <hyperlink r:id="rId152" ref="I178"/>
    <hyperlink r:id="rId153" ref="I179"/>
    <hyperlink r:id="rId154" ref="I180"/>
    <hyperlink r:id="rId155" ref="I181"/>
    <hyperlink r:id="rId156" ref="I182"/>
    <hyperlink r:id="rId157" ref="I183"/>
    <hyperlink r:id="rId158" ref="I184"/>
    <hyperlink r:id="rId159" ref="I185"/>
    <hyperlink r:id="rId160" ref="I186"/>
    <hyperlink r:id="rId161" ref="I187"/>
    <hyperlink r:id="rId162" ref="I188"/>
    <hyperlink r:id="rId163" ref="I189"/>
    <hyperlink r:id="rId164" ref="I190"/>
    <hyperlink r:id="rId165" ref="I191"/>
    <hyperlink r:id="rId166" ref="I192"/>
    <hyperlink r:id="rId167" ref="I193"/>
    <hyperlink r:id="rId168" ref="I194"/>
    <hyperlink r:id="rId169" ref="I195"/>
    <hyperlink r:id="rId170" ref="I197"/>
    <hyperlink r:id="rId171" ref="I198"/>
    <hyperlink r:id="rId172" ref="I199"/>
    <hyperlink r:id="rId173" ref="I200"/>
    <hyperlink r:id="rId174" ref="I201"/>
    <hyperlink r:id="rId175" ref="I202"/>
    <hyperlink r:id="rId176" ref="I203"/>
    <hyperlink r:id="rId177" ref="I204"/>
    <hyperlink r:id="rId178" ref="I206"/>
    <hyperlink r:id="rId179" ref="I207"/>
    <hyperlink r:id="rId180" ref="I210"/>
    <hyperlink r:id="rId181" ref="I211"/>
    <hyperlink r:id="rId182" ref="I212"/>
    <hyperlink r:id="rId183" ref="I213"/>
    <hyperlink r:id="rId184" ref="I214"/>
    <hyperlink r:id="rId185" ref="I215"/>
    <hyperlink r:id="rId186" ref="I217"/>
    <hyperlink r:id="rId187" ref="I218"/>
    <hyperlink r:id="rId188" ref="I219"/>
    <hyperlink r:id="rId189" ref="I220"/>
    <hyperlink r:id="rId190" ref="I222"/>
    <hyperlink r:id="rId191" ref="I224"/>
    <hyperlink r:id="rId192" ref="I225"/>
    <hyperlink r:id="rId193" ref="I226"/>
    <hyperlink r:id="rId194" ref="I227"/>
    <hyperlink r:id="rId195" ref="I228"/>
    <hyperlink r:id="rId196" ref="I229"/>
    <hyperlink r:id="rId197" ref="I230"/>
    <hyperlink r:id="rId198" ref="I231"/>
    <hyperlink r:id="rId199" ref="I232"/>
    <hyperlink r:id="rId200" ref="I233"/>
    <hyperlink r:id="rId201" ref="I234"/>
    <hyperlink r:id="rId202" ref="I235"/>
    <hyperlink r:id="rId203" ref="I236"/>
    <hyperlink r:id="rId204" ref="I237"/>
    <hyperlink r:id="rId205" ref="I238"/>
    <hyperlink r:id="rId206" ref="I239"/>
    <hyperlink r:id="rId207" ref="I240"/>
    <hyperlink r:id="rId208" ref="I241"/>
    <hyperlink r:id="rId209" ref="I242"/>
    <hyperlink r:id="rId210" ref="I243"/>
    <hyperlink r:id="rId211" ref="I244"/>
    <hyperlink r:id="rId212" ref="I245"/>
    <hyperlink r:id="rId213" ref="I247"/>
    <hyperlink r:id="rId214" ref="I248"/>
    <hyperlink r:id="rId215" ref="I249"/>
    <hyperlink r:id="rId216" ref="I250"/>
    <hyperlink r:id="rId217" ref="I251"/>
    <hyperlink r:id="rId218" ref="I252"/>
    <hyperlink r:id="rId219" ref="I253"/>
    <hyperlink r:id="rId220" ref="I254"/>
    <hyperlink r:id="rId221" ref="I256"/>
    <hyperlink r:id="rId222" ref="I257"/>
    <hyperlink r:id="rId223" ref="I258"/>
    <hyperlink r:id="rId224" ref="I259"/>
    <hyperlink r:id="rId225" ref="I260"/>
    <hyperlink r:id="rId226" ref="I261"/>
    <hyperlink r:id="rId227" ref="I263"/>
    <hyperlink r:id="rId228" ref="I264"/>
    <hyperlink r:id="rId229" ref="I266"/>
    <hyperlink r:id="rId230" ref="I267"/>
    <hyperlink r:id="rId231" ref="I268"/>
    <hyperlink r:id="rId232" ref="I269"/>
    <hyperlink r:id="rId233" ref="I270"/>
    <hyperlink r:id="rId234" ref="I271"/>
    <hyperlink r:id="rId235" ref="I272"/>
    <hyperlink r:id="rId236" ref="I273"/>
    <hyperlink r:id="rId237" ref="I274"/>
    <hyperlink r:id="rId238" ref="I275"/>
    <hyperlink r:id="rId239" ref="I277"/>
    <hyperlink r:id="rId240" ref="I278"/>
    <hyperlink r:id="rId241" ref="I279"/>
    <hyperlink r:id="rId242" ref="I280"/>
    <hyperlink r:id="rId243" ref="I282"/>
    <hyperlink r:id="rId244" ref="I283"/>
    <hyperlink r:id="rId245" ref="I284"/>
    <hyperlink r:id="rId246" ref="I285"/>
    <hyperlink r:id="rId247" ref="I286"/>
    <hyperlink r:id="rId248" ref="I288"/>
    <hyperlink r:id="rId249" ref="I289"/>
    <hyperlink r:id="rId250" ref="I292"/>
    <hyperlink r:id="rId251" ref="I293"/>
    <hyperlink r:id="rId252" ref="I294"/>
    <hyperlink r:id="rId253" ref="I295"/>
    <hyperlink r:id="rId254" ref="I297"/>
    <hyperlink r:id="rId255" ref="I298"/>
    <hyperlink r:id="rId256" ref="I299"/>
    <hyperlink r:id="rId257" ref="I300"/>
    <hyperlink r:id="rId258" ref="I301"/>
    <hyperlink r:id="rId259" ref="I302"/>
    <hyperlink r:id="rId260" ref="I303"/>
    <hyperlink r:id="rId261" ref="I304"/>
    <hyperlink r:id="rId262" ref="I305"/>
    <hyperlink r:id="rId263" ref="I306"/>
    <hyperlink r:id="rId264" ref="I307"/>
    <hyperlink r:id="rId265" ref="I308"/>
    <hyperlink r:id="rId266" ref="I309"/>
    <hyperlink r:id="rId267" ref="I310"/>
    <hyperlink r:id="rId268" ref="I311"/>
    <hyperlink r:id="rId269" ref="I312"/>
    <hyperlink r:id="rId270" ref="I313"/>
    <hyperlink r:id="rId271" ref="I314"/>
    <hyperlink r:id="rId272" ref="I315"/>
    <hyperlink r:id="rId273" ref="I316"/>
    <hyperlink r:id="rId274" ref="I317"/>
    <hyperlink r:id="rId275" ref="I318"/>
    <hyperlink r:id="rId276" ref="I319"/>
    <hyperlink r:id="rId277" ref="I320"/>
    <hyperlink r:id="rId278" ref="I321"/>
    <hyperlink r:id="rId279" ref="I323"/>
    <hyperlink r:id="rId280" ref="I324"/>
    <hyperlink r:id="rId281" ref="I325"/>
    <hyperlink r:id="rId282" ref="I327"/>
    <hyperlink r:id="rId283" ref="I328"/>
    <hyperlink r:id="rId284" ref="I329"/>
    <hyperlink r:id="rId285" ref="I332"/>
    <hyperlink r:id="rId286" ref="I333"/>
    <hyperlink r:id="rId287" ref="I334"/>
    <hyperlink r:id="rId288" ref="I335"/>
    <hyperlink r:id="rId289" ref="I336"/>
    <hyperlink r:id="rId290" ref="I337"/>
    <hyperlink r:id="rId291" ref="I338"/>
    <hyperlink r:id="rId292" ref="I339"/>
    <hyperlink r:id="rId293" ref="I340"/>
    <hyperlink r:id="rId294" ref="I341"/>
    <hyperlink r:id="rId295" ref="I342"/>
    <hyperlink r:id="rId296" ref="I343"/>
    <hyperlink r:id="rId297" ref="I344"/>
    <hyperlink r:id="rId298" ref="I345"/>
    <hyperlink r:id="rId299" ref="I346"/>
    <hyperlink r:id="rId300" ref="I347"/>
    <hyperlink r:id="rId301" ref="I350"/>
    <hyperlink r:id="rId302" ref="I352"/>
    <hyperlink r:id="rId303" ref="I353"/>
    <hyperlink r:id="rId304" ref="I354"/>
    <hyperlink r:id="rId305" ref="I355"/>
    <hyperlink r:id="rId306" ref="I356"/>
    <hyperlink r:id="rId307" ref="I357"/>
    <hyperlink r:id="rId308" ref="I358"/>
    <hyperlink r:id="rId309" ref="I359"/>
    <hyperlink r:id="rId310" ref="I360"/>
    <hyperlink r:id="rId311" ref="I361"/>
    <hyperlink r:id="rId312" ref="I362"/>
    <hyperlink r:id="rId313" ref="I363"/>
    <hyperlink r:id="rId314" ref="I364"/>
    <hyperlink r:id="rId315" ref="I365"/>
    <hyperlink r:id="rId316" ref="I367"/>
    <hyperlink r:id="rId317" ref="I368"/>
    <hyperlink r:id="rId318" ref="I369"/>
    <hyperlink r:id="rId319" ref="I370"/>
    <hyperlink r:id="rId320" ref="I371"/>
    <hyperlink r:id="rId321" ref="I372"/>
    <hyperlink r:id="rId322" ref="I373"/>
    <hyperlink r:id="rId323" ref="I374"/>
    <hyperlink r:id="rId324" ref="I375"/>
    <hyperlink r:id="rId325" ref="I376"/>
    <hyperlink r:id="rId326" ref="I377"/>
    <hyperlink r:id="rId327" ref="I378"/>
    <hyperlink r:id="rId328" ref="I379"/>
    <hyperlink r:id="rId329" ref="I380"/>
    <hyperlink r:id="rId330" ref="I381"/>
    <hyperlink r:id="rId331" ref="I382"/>
    <hyperlink r:id="rId332" ref="I383"/>
    <hyperlink r:id="rId333" ref="I384"/>
    <hyperlink r:id="rId334" ref="I385"/>
    <hyperlink r:id="rId335" ref="I386"/>
    <hyperlink r:id="rId336" ref="I387"/>
    <hyperlink r:id="rId337" ref="I388"/>
    <hyperlink r:id="rId338" ref="I389"/>
    <hyperlink r:id="rId339" ref="I390"/>
    <hyperlink r:id="rId340" ref="I391"/>
    <hyperlink r:id="rId341" ref="I392"/>
    <hyperlink r:id="rId342" ref="I393"/>
    <hyperlink r:id="rId343" ref="I394"/>
    <hyperlink r:id="rId344" ref="I395"/>
    <hyperlink r:id="rId345" ref="I396"/>
    <hyperlink r:id="rId346" ref="I397"/>
    <hyperlink r:id="rId347" ref="I398"/>
    <hyperlink r:id="rId348" ref="I399"/>
    <hyperlink r:id="rId349" ref="I400"/>
    <hyperlink r:id="rId350" ref="I401"/>
    <hyperlink r:id="rId351" ref="I402"/>
    <hyperlink r:id="rId352" ref="I403"/>
    <hyperlink r:id="rId353" ref="I404"/>
    <hyperlink r:id="rId354" ref="I405"/>
    <hyperlink r:id="rId355" ref="I406"/>
    <hyperlink r:id="rId356" ref="I407"/>
    <hyperlink r:id="rId357" ref="I408"/>
    <hyperlink r:id="rId358" ref="I409"/>
    <hyperlink r:id="rId359" ref="I410"/>
    <hyperlink r:id="rId360" ref="I411"/>
    <hyperlink r:id="rId361" ref="I412"/>
    <hyperlink r:id="rId362" ref="I413"/>
    <hyperlink r:id="rId363" ref="I414"/>
    <hyperlink r:id="rId364" ref="I415"/>
    <hyperlink r:id="rId365" ref="I416"/>
    <hyperlink r:id="rId366" ref="I417"/>
    <hyperlink r:id="rId367" ref="I418"/>
    <hyperlink r:id="rId368" ref="I420"/>
    <hyperlink r:id="rId369" ref="I421"/>
    <hyperlink r:id="rId370" ref="I422"/>
    <hyperlink r:id="rId371" ref="I423"/>
    <hyperlink r:id="rId372" ref="I424"/>
    <hyperlink r:id="rId373" ref="I425"/>
    <hyperlink r:id="rId374" ref="I426"/>
    <hyperlink r:id="rId375" ref="I428"/>
    <hyperlink r:id="rId376" ref="I429"/>
    <hyperlink r:id="rId377" ref="I430"/>
    <hyperlink r:id="rId378" ref="I431"/>
    <hyperlink r:id="rId379" ref="I432"/>
    <hyperlink r:id="rId380" ref="I433"/>
    <hyperlink r:id="rId381" ref="I434"/>
    <hyperlink r:id="rId382" ref="I435"/>
    <hyperlink r:id="rId383" ref="I436"/>
    <hyperlink r:id="rId384" ref="I437"/>
    <hyperlink r:id="rId385" ref="I438"/>
    <hyperlink r:id="rId386" ref="I439"/>
    <hyperlink r:id="rId387" ref="I441"/>
    <hyperlink r:id="rId388" ref="I442"/>
    <hyperlink r:id="rId389" ref="I443"/>
    <hyperlink r:id="rId390" ref="I444"/>
    <hyperlink r:id="rId391" ref="I445"/>
    <hyperlink r:id="rId392" ref="I446"/>
    <hyperlink r:id="rId393" ref="I447"/>
    <hyperlink r:id="rId394" ref="I448"/>
    <hyperlink r:id="rId395" ref="I449"/>
    <hyperlink r:id="rId396" ref="I450"/>
    <hyperlink r:id="rId397" ref="I451"/>
    <hyperlink r:id="rId398" ref="I452"/>
    <hyperlink r:id="rId399" ref="I453"/>
    <hyperlink r:id="rId400" ref="I454"/>
    <hyperlink r:id="rId401" ref="I455"/>
    <hyperlink r:id="rId402" ref="I456"/>
    <hyperlink r:id="rId403" ref="I457"/>
    <hyperlink r:id="rId404" ref="I458"/>
    <hyperlink r:id="rId405" ref="I459"/>
    <hyperlink r:id="rId406" ref="I460"/>
    <hyperlink r:id="rId407" ref="I461"/>
    <hyperlink r:id="rId408" ref="I462"/>
    <hyperlink r:id="rId409" ref="I463"/>
    <hyperlink r:id="rId410" ref="I464"/>
    <hyperlink r:id="rId411" ref="I465"/>
    <hyperlink r:id="rId412" ref="I466"/>
    <hyperlink r:id="rId413" ref="I467"/>
    <hyperlink r:id="rId414" ref="I468"/>
    <hyperlink r:id="rId415" ref="I469"/>
    <hyperlink r:id="rId416" ref="I470"/>
    <hyperlink r:id="rId417" ref="I471"/>
    <hyperlink r:id="rId418" ref="I472"/>
    <hyperlink r:id="rId419" ref="I473"/>
    <hyperlink r:id="rId420" ref="I474"/>
    <hyperlink r:id="rId421" ref="I475"/>
    <hyperlink r:id="rId422" ref="I476"/>
    <hyperlink r:id="rId423" ref="I477"/>
    <hyperlink r:id="rId424" ref="I478"/>
    <hyperlink r:id="rId425" ref="I479"/>
    <hyperlink r:id="rId426" ref="I480"/>
    <hyperlink r:id="rId427" ref="I481"/>
    <hyperlink r:id="rId428" ref="I482"/>
    <hyperlink r:id="rId429" ref="I483"/>
    <hyperlink r:id="rId430" ref="I484"/>
    <hyperlink r:id="rId431" ref="I485"/>
    <hyperlink r:id="rId432" ref="I486"/>
    <hyperlink r:id="rId433" ref="I487"/>
    <hyperlink r:id="rId434" ref="I489"/>
    <hyperlink r:id="rId435" ref="I490"/>
    <hyperlink r:id="rId436" ref="I491"/>
    <hyperlink r:id="rId437" ref="I492"/>
    <hyperlink r:id="rId438" ref="I493"/>
    <hyperlink r:id="rId439" ref="I494"/>
    <hyperlink r:id="rId440" ref="K494"/>
    <hyperlink r:id="rId441" ref="I495"/>
    <hyperlink r:id="rId442" ref="I496"/>
    <hyperlink r:id="rId443" ref="I497"/>
    <hyperlink r:id="rId444" ref="I498"/>
    <hyperlink r:id="rId445" ref="I500"/>
    <hyperlink r:id="rId446" ref="I502"/>
    <hyperlink r:id="rId447" ref="I503"/>
    <hyperlink r:id="rId448" ref="I504"/>
    <hyperlink r:id="rId449" ref="I505"/>
    <hyperlink r:id="rId450" ref="I506"/>
    <hyperlink r:id="rId451" ref="I507"/>
    <hyperlink r:id="rId452" ref="I508"/>
    <hyperlink r:id="rId453" ref="I509"/>
    <hyperlink r:id="rId454" ref="I510"/>
    <hyperlink r:id="rId455" ref="I511"/>
    <hyperlink r:id="rId456" ref="I512"/>
    <hyperlink r:id="rId457" ref="I513"/>
    <hyperlink r:id="rId458" ref="I514"/>
    <hyperlink r:id="rId459" ref="I515"/>
    <hyperlink r:id="rId460" ref="I516"/>
    <hyperlink r:id="rId461" ref="I517"/>
    <hyperlink r:id="rId462" ref="I518"/>
    <hyperlink r:id="rId463" ref="I519"/>
    <hyperlink r:id="rId464" ref="I520"/>
    <hyperlink r:id="rId465" ref="I521"/>
    <hyperlink r:id="rId466" ref="I522"/>
    <hyperlink r:id="rId467" ref="I523"/>
    <hyperlink r:id="rId468" ref="I524"/>
    <hyperlink r:id="rId469" ref="I525"/>
    <hyperlink r:id="rId470" ref="I526"/>
    <hyperlink r:id="rId471" ref="I527"/>
    <hyperlink r:id="rId472" ref="I528"/>
    <hyperlink r:id="rId473" ref="I529"/>
    <hyperlink r:id="rId474" ref="I530"/>
    <hyperlink r:id="rId475" ref="I531"/>
    <hyperlink r:id="rId476" ref="I532"/>
    <hyperlink r:id="rId477" ref="I533"/>
    <hyperlink r:id="rId478" ref="I534"/>
    <hyperlink r:id="rId479" ref="I535"/>
    <hyperlink r:id="rId480" ref="I536"/>
    <hyperlink r:id="rId481" ref="I537"/>
    <hyperlink r:id="rId482" ref="I538"/>
    <hyperlink r:id="rId483" ref="I539"/>
    <hyperlink r:id="rId484" ref="I540"/>
    <hyperlink r:id="rId485" ref="I541"/>
    <hyperlink r:id="rId486" ref="I542"/>
    <hyperlink r:id="rId487" ref="I543"/>
    <hyperlink r:id="rId488" ref="I544"/>
    <hyperlink r:id="rId489" ref="I545"/>
    <hyperlink r:id="rId490" ref="I546"/>
    <hyperlink r:id="rId491" ref="I547"/>
    <hyperlink r:id="rId492" ref="I548"/>
    <hyperlink r:id="rId493" ref="I549"/>
    <hyperlink r:id="rId494" ref="I550"/>
    <hyperlink r:id="rId495" ref="I551"/>
    <hyperlink r:id="rId496" ref="I552"/>
    <hyperlink r:id="rId497" ref="I553"/>
    <hyperlink r:id="rId498" ref="I554"/>
    <hyperlink r:id="rId499" ref="I555"/>
    <hyperlink r:id="rId500" ref="I556"/>
    <hyperlink r:id="rId501" ref="I557"/>
    <hyperlink r:id="rId502" ref="I558"/>
    <hyperlink r:id="rId503" ref="I559"/>
    <hyperlink r:id="rId504" ref="I560"/>
    <hyperlink r:id="rId505" ref="I561"/>
    <hyperlink r:id="rId506" ref="I562"/>
    <hyperlink r:id="rId507" ref="I563"/>
    <hyperlink r:id="rId508" ref="I564"/>
    <hyperlink r:id="rId509" ref="I565"/>
    <hyperlink r:id="rId510" ref="I566"/>
    <hyperlink r:id="rId511" ref="I567"/>
    <hyperlink r:id="rId512" ref="I568"/>
    <hyperlink r:id="rId513" ref="I569"/>
    <hyperlink r:id="rId514" ref="I570"/>
    <hyperlink r:id="rId515" ref="I571"/>
    <hyperlink r:id="rId516" ref="I572"/>
    <hyperlink r:id="rId517" ref="I573"/>
    <hyperlink r:id="rId518" ref="I574"/>
    <hyperlink r:id="rId519" ref="I575"/>
    <hyperlink r:id="rId520" ref="I576"/>
    <hyperlink r:id="rId521" ref="I577"/>
    <hyperlink r:id="rId522" ref="I578"/>
    <hyperlink r:id="rId523" ref="I579"/>
    <hyperlink r:id="rId524" ref="I581"/>
    <hyperlink r:id="rId525" ref="I582"/>
    <hyperlink r:id="rId526" ref="I583"/>
    <hyperlink r:id="rId527" ref="I584"/>
    <hyperlink r:id="rId528" ref="I585"/>
    <hyperlink r:id="rId529" ref="I586"/>
    <hyperlink r:id="rId530" ref="I587"/>
    <hyperlink r:id="rId531" ref="I588"/>
    <hyperlink r:id="rId532" ref="I589"/>
    <hyperlink r:id="rId533" ref="I590"/>
    <hyperlink r:id="rId534" ref="I591"/>
    <hyperlink r:id="rId535" ref="I592"/>
    <hyperlink r:id="rId536" ref="I593"/>
    <hyperlink r:id="rId537" ref="I594"/>
    <hyperlink r:id="rId538" ref="I595"/>
    <hyperlink r:id="rId539" ref="I596"/>
    <hyperlink r:id="rId540" ref="I597"/>
    <hyperlink r:id="rId541" ref="I598"/>
    <hyperlink r:id="rId542" ref="I599"/>
    <hyperlink r:id="rId543" ref="I600"/>
    <hyperlink r:id="rId544" ref="I601"/>
    <hyperlink r:id="rId545" ref="I602"/>
    <hyperlink r:id="rId546" ref="I603"/>
    <hyperlink r:id="rId547" ref="I604"/>
    <hyperlink r:id="rId548" ref="I606"/>
    <hyperlink r:id="rId549" ref="I607"/>
    <hyperlink r:id="rId550" ref="I608"/>
    <hyperlink r:id="rId551" ref="I609"/>
    <hyperlink r:id="rId552" ref="I610"/>
    <hyperlink r:id="rId553" ref="I611"/>
    <hyperlink r:id="rId554" ref="I612"/>
    <hyperlink r:id="rId555" ref="I613"/>
    <hyperlink r:id="rId556" ref="I614"/>
    <hyperlink r:id="rId557" ref="I615"/>
    <hyperlink r:id="rId558" ref="I616"/>
    <hyperlink r:id="rId559" ref="I617"/>
    <hyperlink r:id="rId560" ref="I618"/>
    <hyperlink r:id="rId561" ref="I619"/>
    <hyperlink r:id="rId562" ref="I620"/>
    <hyperlink r:id="rId563" ref="I621"/>
    <hyperlink r:id="rId564" ref="I622"/>
    <hyperlink r:id="rId565" ref="I623"/>
    <hyperlink r:id="rId566" ref="I624"/>
    <hyperlink r:id="rId567" ref="I625"/>
    <hyperlink r:id="rId568" ref="I626"/>
    <hyperlink r:id="rId569" ref="I627"/>
    <hyperlink r:id="rId570" ref="I628"/>
    <hyperlink r:id="rId571" ref="I629"/>
    <hyperlink r:id="rId572" ref="I630"/>
    <hyperlink r:id="rId573" ref="I631"/>
    <hyperlink r:id="rId574" ref="I632"/>
    <hyperlink r:id="rId575" ref="I633"/>
    <hyperlink r:id="rId576" ref="I635"/>
    <hyperlink r:id="rId577" ref="I636"/>
    <hyperlink r:id="rId578" ref="I637"/>
    <hyperlink r:id="rId579" ref="I638"/>
    <hyperlink r:id="rId580" ref="I639"/>
    <hyperlink r:id="rId581" ref="I640"/>
    <hyperlink r:id="rId582" ref="I641"/>
    <hyperlink r:id="rId583" ref="I642"/>
    <hyperlink r:id="rId584" ref="I643"/>
    <hyperlink r:id="rId585" ref="I644"/>
    <hyperlink r:id="rId586" ref="I645"/>
    <hyperlink r:id="rId587" ref="I646"/>
    <hyperlink r:id="rId588" ref="I647"/>
    <hyperlink r:id="rId589" ref="I648"/>
    <hyperlink r:id="rId590" ref="I649"/>
    <hyperlink r:id="rId591" ref="I650"/>
    <hyperlink r:id="rId592" ref="I651"/>
    <hyperlink r:id="rId593" ref="I652"/>
    <hyperlink r:id="rId594" ref="I653"/>
    <hyperlink r:id="rId595" ref="I654"/>
    <hyperlink r:id="rId596" ref="I655"/>
    <hyperlink r:id="rId597" ref="I656"/>
    <hyperlink r:id="rId598" ref="I658"/>
    <hyperlink r:id="rId599" ref="I659"/>
    <hyperlink r:id="rId600" ref="I660"/>
    <hyperlink r:id="rId601" ref="I661"/>
    <hyperlink r:id="rId602" ref="I662"/>
    <hyperlink r:id="rId603" ref="I663"/>
    <hyperlink r:id="rId604" ref="I664"/>
    <hyperlink r:id="rId605" ref="I665"/>
    <hyperlink r:id="rId606" ref="I667"/>
    <hyperlink r:id="rId607" ref="I668"/>
    <hyperlink r:id="rId608" ref="I669"/>
    <hyperlink r:id="rId609" ref="I670"/>
    <hyperlink r:id="rId610" ref="I671"/>
    <hyperlink r:id="rId611" ref="I672"/>
    <hyperlink r:id="rId612" ref="I673"/>
    <hyperlink r:id="rId613" ref="I674"/>
    <hyperlink r:id="rId614" ref="I675"/>
    <hyperlink r:id="rId615" ref="I677"/>
    <hyperlink r:id="rId616" ref="I678"/>
    <hyperlink r:id="rId617" ref="I679"/>
    <hyperlink r:id="rId618" ref="I680"/>
    <hyperlink r:id="rId619" ref="I681"/>
    <hyperlink r:id="rId620" ref="I682"/>
    <hyperlink r:id="rId621" ref="I683"/>
    <hyperlink r:id="rId622" ref="I684"/>
    <hyperlink r:id="rId623" ref="I685"/>
    <hyperlink r:id="rId624" ref="I686"/>
    <hyperlink r:id="rId625" ref="I687"/>
    <hyperlink r:id="rId626" ref="I688"/>
    <hyperlink r:id="rId627" ref="I689"/>
    <hyperlink r:id="rId628" ref="I690"/>
    <hyperlink r:id="rId629" ref="I691"/>
    <hyperlink r:id="rId630" ref="I692"/>
    <hyperlink r:id="rId631" ref="I693"/>
    <hyperlink r:id="rId632" ref="I694"/>
    <hyperlink r:id="rId633" ref="I695"/>
    <hyperlink r:id="rId634" ref="I696"/>
    <hyperlink r:id="rId635" ref="I697"/>
    <hyperlink r:id="rId636" ref="I698"/>
    <hyperlink r:id="rId637" ref="I699"/>
    <hyperlink r:id="rId638" ref="I700"/>
    <hyperlink r:id="rId639" ref="I701"/>
    <hyperlink r:id="rId640" ref="I702"/>
    <hyperlink r:id="rId641" ref="I703"/>
    <hyperlink r:id="rId642" ref="I704"/>
    <hyperlink r:id="rId643" ref="I705"/>
    <hyperlink r:id="rId644" ref="I706"/>
    <hyperlink r:id="rId645" ref="I707"/>
    <hyperlink r:id="rId646" ref="I708"/>
    <hyperlink r:id="rId647" ref="I709"/>
    <hyperlink r:id="rId648" ref="I710"/>
    <hyperlink r:id="rId649" ref="I711"/>
    <hyperlink r:id="rId650" ref="I712"/>
    <hyperlink r:id="rId651" ref="I713"/>
    <hyperlink r:id="rId652" ref="I714"/>
    <hyperlink r:id="rId653" ref="I715"/>
    <hyperlink r:id="rId654" ref="I716"/>
    <hyperlink r:id="rId655" ref="I717"/>
    <hyperlink r:id="rId656" ref="I718"/>
    <hyperlink r:id="rId657" ref="I719"/>
    <hyperlink r:id="rId658" ref="I721"/>
    <hyperlink r:id="rId659" ref="I722"/>
    <hyperlink r:id="rId660" ref="I723"/>
    <hyperlink r:id="rId661" ref="I724"/>
    <hyperlink r:id="rId662" ref="I725"/>
    <hyperlink r:id="rId663" ref="I726"/>
    <hyperlink r:id="rId664" ref="I727"/>
    <hyperlink r:id="rId665" ref="I728"/>
    <hyperlink r:id="rId666" ref="I729"/>
    <hyperlink r:id="rId667" ref="I730"/>
    <hyperlink r:id="rId668" ref="I731"/>
    <hyperlink r:id="rId669" ref="I732"/>
    <hyperlink r:id="rId670" ref="I733"/>
    <hyperlink r:id="rId671" ref="I734"/>
    <hyperlink r:id="rId672" ref="I736"/>
    <hyperlink r:id="rId673" ref="I737"/>
    <hyperlink r:id="rId674" ref="I738"/>
    <hyperlink r:id="rId675" ref="I739"/>
    <hyperlink r:id="rId676" ref="I740"/>
    <hyperlink r:id="rId677" ref="I741"/>
    <hyperlink r:id="rId678" ref="I742"/>
    <hyperlink r:id="rId679" ref="I743"/>
    <hyperlink r:id="rId680" ref="I744"/>
    <hyperlink r:id="rId681" ref="I745"/>
    <hyperlink r:id="rId682" ref="I746"/>
    <hyperlink r:id="rId683" ref="I747"/>
    <hyperlink r:id="rId684" ref="I748"/>
    <hyperlink r:id="rId685" ref="I749"/>
    <hyperlink r:id="rId686" ref="I751"/>
    <hyperlink r:id="rId687" ref="I752"/>
    <hyperlink r:id="rId688" ref="I753"/>
    <hyperlink r:id="rId689" ref="I754"/>
    <hyperlink r:id="rId690" ref="I755"/>
    <hyperlink r:id="rId691" ref="I756"/>
    <hyperlink r:id="rId692" ref="I757"/>
    <hyperlink r:id="rId693" ref="I758"/>
    <hyperlink r:id="rId694" ref="I759"/>
    <hyperlink r:id="rId695" ref="I760"/>
    <hyperlink r:id="rId696" ref="I761"/>
    <hyperlink r:id="rId697" ref="I762"/>
    <hyperlink r:id="rId698" ref="I763"/>
    <hyperlink r:id="rId699" ref="I764"/>
    <hyperlink r:id="rId700" ref="I765"/>
    <hyperlink r:id="rId701" ref="I766"/>
    <hyperlink r:id="rId702" ref="I767"/>
    <hyperlink r:id="rId703" ref="I768"/>
    <hyperlink r:id="rId704" ref="I769"/>
    <hyperlink r:id="rId705" ref="I770"/>
    <hyperlink r:id="rId706" ref="I771"/>
    <hyperlink r:id="rId707" ref="I772"/>
    <hyperlink r:id="rId708" ref="I773"/>
    <hyperlink r:id="rId709" ref="I774"/>
    <hyperlink r:id="rId710" ref="I775"/>
    <hyperlink r:id="rId711" ref="I776"/>
    <hyperlink r:id="rId712" ref="I777"/>
    <hyperlink r:id="rId713" ref="I778"/>
    <hyperlink r:id="rId714" ref="I779"/>
    <hyperlink r:id="rId715" ref="I780"/>
    <hyperlink r:id="rId716" ref="I781"/>
    <hyperlink r:id="rId717" ref="I782"/>
    <hyperlink r:id="rId718" ref="I783"/>
    <hyperlink r:id="rId719" ref="I784"/>
    <hyperlink r:id="rId720" ref="I785"/>
    <hyperlink r:id="rId721" ref="I786"/>
    <hyperlink r:id="rId722" ref="I787"/>
    <hyperlink r:id="rId723" ref="I788"/>
    <hyperlink r:id="rId724" ref="I789"/>
    <hyperlink r:id="rId725" ref="I790"/>
    <hyperlink r:id="rId726" ref="I791"/>
    <hyperlink r:id="rId727" ref="I792"/>
    <hyperlink r:id="rId728" ref="I793"/>
    <hyperlink r:id="rId729" ref="I794"/>
    <hyperlink r:id="rId730" ref="I795"/>
    <hyperlink r:id="rId731" ref="I796"/>
    <hyperlink r:id="rId732" ref="I797"/>
    <hyperlink r:id="rId733" ref="I798"/>
    <hyperlink r:id="rId734" ref="I799"/>
    <hyperlink r:id="rId735" ref="I800"/>
    <hyperlink r:id="rId736" ref="I801"/>
    <hyperlink r:id="rId737" ref="I802"/>
    <hyperlink r:id="rId738" ref="I803"/>
    <hyperlink r:id="rId739" ref="I804"/>
    <hyperlink r:id="rId740" ref="I805"/>
    <hyperlink r:id="rId741" ref="I806"/>
    <hyperlink r:id="rId742" ref="I807"/>
    <hyperlink r:id="rId743" ref="I808"/>
    <hyperlink r:id="rId744" ref="I809"/>
    <hyperlink r:id="rId745" ref="I810"/>
    <hyperlink r:id="rId746" ref="I811"/>
    <hyperlink r:id="rId747" ref="I812"/>
    <hyperlink r:id="rId748" ref="I813"/>
    <hyperlink r:id="rId749" ref="I814"/>
    <hyperlink r:id="rId750" ref="I815"/>
    <hyperlink r:id="rId751" ref="I816"/>
    <hyperlink r:id="rId752" ref="I817"/>
    <hyperlink r:id="rId753" ref="I818"/>
    <hyperlink r:id="rId754" ref="I819"/>
    <hyperlink r:id="rId755" ref="I820"/>
    <hyperlink r:id="rId756" ref="I821"/>
    <hyperlink r:id="rId757" ref="I822"/>
    <hyperlink r:id="rId758" ref="I823"/>
    <hyperlink r:id="rId759" ref="I824"/>
    <hyperlink r:id="rId760" ref="I825"/>
    <hyperlink r:id="rId761" ref="I826"/>
    <hyperlink r:id="rId762" ref="I827"/>
    <hyperlink r:id="rId763" ref="I828"/>
    <hyperlink r:id="rId764" ref="I829"/>
    <hyperlink r:id="rId765" ref="I830"/>
    <hyperlink r:id="rId766" ref="I831"/>
    <hyperlink r:id="rId767" ref="I832"/>
    <hyperlink r:id="rId768" ref="I833"/>
    <hyperlink r:id="rId769" ref="I834"/>
    <hyperlink r:id="rId770" ref="I835"/>
    <hyperlink r:id="rId771" ref="I836"/>
    <hyperlink r:id="rId772" ref="I837"/>
    <hyperlink r:id="rId773" ref="I839"/>
    <hyperlink r:id="rId774" ref="I840"/>
    <hyperlink r:id="rId775" ref="I841"/>
    <hyperlink r:id="rId776" ref="I842"/>
    <hyperlink r:id="rId777" ref="I843"/>
    <hyperlink r:id="rId778" ref="I844"/>
    <hyperlink r:id="rId779" ref="I845"/>
    <hyperlink r:id="rId780" ref="I846"/>
    <hyperlink r:id="rId781" ref="I847"/>
    <hyperlink r:id="rId782" ref="I848"/>
    <hyperlink r:id="rId783" ref="I849"/>
    <hyperlink r:id="rId784" ref="I850"/>
    <hyperlink r:id="rId785" ref="I851"/>
    <hyperlink r:id="rId786" ref="I852"/>
    <hyperlink r:id="rId787" ref="I854"/>
    <hyperlink r:id="rId788" ref="I855"/>
    <hyperlink r:id="rId789" ref="I856"/>
    <hyperlink r:id="rId790" ref="I857"/>
    <hyperlink r:id="rId791" ref="I858"/>
    <hyperlink r:id="rId792" ref="I859"/>
    <hyperlink r:id="rId793" ref="I861"/>
    <hyperlink r:id="rId794" ref="I862"/>
    <hyperlink r:id="rId795" ref="I863"/>
    <hyperlink r:id="rId796" ref="I864"/>
    <hyperlink r:id="rId797" ref="I865"/>
    <hyperlink r:id="rId798" ref="I866"/>
    <hyperlink r:id="rId799" ref="I867"/>
    <hyperlink r:id="rId800" ref="I868"/>
    <hyperlink r:id="rId801" ref="I869"/>
    <hyperlink r:id="rId802" ref="I870"/>
    <hyperlink r:id="rId803" ref="I871"/>
    <hyperlink r:id="rId804" ref="I872"/>
    <hyperlink r:id="rId805" ref="I873"/>
    <hyperlink r:id="rId806" ref="I874"/>
    <hyperlink r:id="rId807" ref="I875"/>
    <hyperlink r:id="rId808" ref="I876"/>
    <hyperlink r:id="rId809" ref="I877"/>
    <hyperlink r:id="rId810" ref="I878"/>
    <hyperlink r:id="rId811" ref="I879"/>
    <hyperlink r:id="rId812" ref="I880"/>
    <hyperlink r:id="rId813" ref="I881"/>
    <hyperlink r:id="rId814" ref="I882"/>
    <hyperlink r:id="rId815" ref="I883"/>
    <hyperlink r:id="rId816" ref="I884"/>
    <hyperlink r:id="rId817" ref="I885"/>
    <hyperlink r:id="rId818" ref="I886"/>
    <hyperlink r:id="rId819" ref="I887"/>
    <hyperlink r:id="rId820" ref="I888"/>
    <hyperlink r:id="rId821" ref="I889"/>
    <hyperlink r:id="rId822" ref="I891"/>
    <hyperlink r:id="rId823" ref="I892"/>
    <hyperlink r:id="rId824" ref="I894"/>
    <hyperlink r:id="rId825" ref="I895"/>
    <hyperlink r:id="rId826" ref="I897"/>
    <hyperlink r:id="rId827" ref="I898"/>
    <hyperlink r:id="rId828" ref="I899"/>
    <hyperlink r:id="rId829" ref="I900"/>
    <hyperlink r:id="rId830" ref="I901"/>
    <hyperlink r:id="rId831" ref="I902"/>
    <hyperlink r:id="rId832" ref="I903"/>
    <hyperlink r:id="rId833" ref="I904"/>
    <hyperlink r:id="rId834" ref="I905"/>
    <hyperlink r:id="rId835" ref="I906"/>
    <hyperlink r:id="rId836" ref="I907"/>
    <hyperlink r:id="rId837" ref="I908"/>
    <hyperlink r:id="rId838" ref="I909"/>
    <hyperlink r:id="rId839" ref="I910"/>
    <hyperlink r:id="rId840" ref="I911"/>
    <hyperlink r:id="rId841" ref="I912"/>
    <hyperlink r:id="rId842" ref="I913"/>
    <hyperlink r:id="rId843" ref="I914"/>
    <hyperlink r:id="rId844" ref="I915"/>
    <hyperlink r:id="rId845" ref="I916"/>
    <hyperlink r:id="rId846" ref="I917"/>
    <hyperlink r:id="rId847" ref="I918"/>
    <hyperlink r:id="rId848" ref="I919"/>
    <hyperlink r:id="rId849" ref="I920"/>
    <hyperlink r:id="rId850" ref="I921"/>
    <hyperlink r:id="rId851" ref="I922"/>
    <hyperlink r:id="rId852" ref="I923"/>
    <hyperlink r:id="rId853" ref="I924"/>
    <hyperlink r:id="rId854" ref="I925"/>
    <hyperlink r:id="rId855" ref="I926"/>
    <hyperlink r:id="rId856" ref="I927"/>
    <hyperlink r:id="rId857" ref="I928"/>
    <hyperlink r:id="rId858" ref="I929"/>
    <hyperlink r:id="rId859" ref="I930"/>
    <hyperlink r:id="rId860" ref="I931"/>
    <hyperlink r:id="rId861" ref="I932"/>
    <hyperlink r:id="rId862" ref="I933"/>
    <hyperlink r:id="rId863" ref="I934"/>
    <hyperlink r:id="rId864" ref="I935"/>
    <hyperlink r:id="rId865" ref="I936"/>
    <hyperlink r:id="rId866" ref="I937"/>
    <hyperlink r:id="rId867" ref="I938"/>
    <hyperlink r:id="rId868" ref="I939"/>
    <hyperlink r:id="rId869" ref="I940"/>
    <hyperlink r:id="rId870" ref="I941"/>
    <hyperlink r:id="rId871" ref="I942"/>
    <hyperlink r:id="rId872" ref="I943"/>
    <hyperlink r:id="rId873" ref="I944"/>
    <hyperlink r:id="rId874" ref="I945"/>
    <hyperlink r:id="rId875" ref="I946"/>
    <hyperlink r:id="rId876" ref="I947"/>
    <hyperlink r:id="rId877" ref="I948"/>
    <hyperlink r:id="rId878" ref="I949"/>
    <hyperlink r:id="rId879" ref="I950"/>
    <hyperlink r:id="rId880" ref="I951"/>
    <hyperlink r:id="rId881" ref="I952"/>
    <hyperlink r:id="rId882" ref="I953"/>
    <hyperlink r:id="rId883" ref="I954"/>
    <hyperlink r:id="rId884" ref="I955"/>
    <hyperlink r:id="rId885" ref="I956"/>
    <hyperlink r:id="rId886" ref="I957"/>
    <hyperlink r:id="rId887" ref="I958"/>
    <hyperlink r:id="rId888" ref="I959"/>
    <hyperlink r:id="rId889" ref="I960"/>
    <hyperlink r:id="rId890" ref="I961"/>
    <hyperlink r:id="rId891" ref="I963"/>
    <hyperlink r:id="rId892" ref="I965"/>
    <hyperlink r:id="rId893" ref="I966"/>
    <hyperlink r:id="rId894" ref="I967"/>
    <hyperlink r:id="rId895" ref="I969"/>
    <hyperlink r:id="rId896" ref="I971"/>
    <hyperlink r:id="rId897" ref="I972"/>
    <hyperlink r:id="rId898" ref="I973"/>
    <hyperlink r:id="rId899" ref="I974"/>
    <hyperlink r:id="rId900" ref="I975"/>
    <hyperlink r:id="rId901" ref="I976"/>
    <hyperlink r:id="rId902" ref="I977"/>
    <hyperlink r:id="rId903" ref="I978"/>
    <hyperlink r:id="rId904" ref="I979"/>
    <hyperlink r:id="rId905" ref="I980"/>
    <hyperlink r:id="rId906" ref="I981"/>
    <hyperlink r:id="rId907" ref="I982"/>
    <hyperlink r:id="rId908" ref="I983"/>
    <hyperlink r:id="rId909" ref="I984"/>
    <hyperlink r:id="rId910" ref="I985"/>
    <hyperlink r:id="rId911" ref="I986"/>
    <hyperlink r:id="rId912" ref="I987"/>
    <hyperlink r:id="rId913" ref="I988"/>
    <hyperlink r:id="rId914" ref="I990"/>
    <hyperlink r:id="rId915" ref="I991"/>
    <hyperlink r:id="rId916" ref="I992"/>
    <hyperlink r:id="rId917" ref="I993"/>
    <hyperlink r:id="rId918" ref="I995"/>
    <hyperlink r:id="rId919" ref="I996"/>
    <hyperlink r:id="rId920" ref="I997"/>
    <hyperlink r:id="rId921" ref="I998"/>
    <hyperlink r:id="rId922" ref="I999"/>
    <hyperlink r:id="rId923" ref="I1000"/>
    <hyperlink r:id="rId924" ref="I1001"/>
    <hyperlink r:id="rId925" ref="I1002"/>
    <hyperlink r:id="rId926" ref="I1003"/>
    <hyperlink r:id="rId927" ref="I1004"/>
    <hyperlink r:id="rId928" ref="I1005"/>
    <hyperlink r:id="rId929" ref="I1006"/>
    <hyperlink r:id="rId930" ref="I1007"/>
    <hyperlink r:id="rId931" ref="I1008"/>
    <hyperlink r:id="rId932" ref="I1009"/>
    <hyperlink r:id="rId933" ref="I1010"/>
    <hyperlink r:id="rId934" ref="I1011"/>
    <hyperlink r:id="rId935" ref="I1012"/>
    <hyperlink r:id="rId936" ref="I1013"/>
    <hyperlink r:id="rId937" ref="I1014"/>
    <hyperlink r:id="rId938" ref="I1015"/>
    <hyperlink r:id="rId939" ref="I1016"/>
    <hyperlink r:id="rId940" ref="I1017"/>
    <hyperlink r:id="rId941" ref="I1018"/>
    <hyperlink r:id="rId942" ref="I1019"/>
    <hyperlink r:id="rId943" ref="I1020"/>
    <hyperlink r:id="rId944" ref="I1021"/>
    <hyperlink r:id="rId945" ref="I1022"/>
    <hyperlink r:id="rId946" ref="I1023"/>
    <hyperlink r:id="rId947" ref="I1024"/>
    <hyperlink r:id="rId948" ref="I1025"/>
    <hyperlink r:id="rId949" ref="I1026"/>
    <hyperlink r:id="rId950" ref="I1027"/>
    <hyperlink r:id="rId951" ref="I1028"/>
    <hyperlink r:id="rId952" ref="I1031"/>
    <hyperlink r:id="rId953" ref="I1032"/>
    <hyperlink r:id="rId954" ref="I1033"/>
    <hyperlink r:id="rId955" ref="I1035"/>
    <hyperlink r:id="rId956" ref="I1036"/>
    <hyperlink r:id="rId957" ref="I1039"/>
    <hyperlink r:id="rId958" ref="I1040"/>
    <hyperlink r:id="rId959" ref="I1041"/>
    <hyperlink r:id="rId960" ref="I1042"/>
    <hyperlink r:id="rId961" ref="I1043"/>
    <hyperlink r:id="rId962" ref="I1044"/>
    <hyperlink r:id="rId963" ref="I1045"/>
    <hyperlink r:id="rId964" ref="I1046"/>
    <hyperlink r:id="rId965" ref="I1047"/>
    <hyperlink r:id="rId966" ref="I1048"/>
    <hyperlink r:id="rId967" ref="I1049"/>
    <hyperlink r:id="rId968" ref="I1050"/>
    <hyperlink r:id="rId969" ref="I1051"/>
    <hyperlink r:id="rId970" ref="I1052"/>
    <hyperlink r:id="rId971" ref="I1053"/>
    <hyperlink r:id="rId972" ref="I1054"/>
    <hyperlink r:id="rId973" ref="I1055"/>
    <hyperlink r:id="rId974" ref="I1056"/>
  </hyperlinks>
  <drawing r:id="rId975"/>
  <legacyDrawing r:id="rId97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3088</v>
      </c>
      <c r="B1" s="51" t="s">
        <v>0</v>
      </c>
    </row>
    <row r="2">
      <c r="A2" s="60">
        <f>IFERROR(__xludf.DUMMYFUNCTION("FILTER(Words!A:B,Words!C:C=""Articles"")"),25.0)</f>
        <v>25</v>
      </c>
      <c r="B2" s="16" t="str">
        <f>IFERROR(__xludf.DUMMYFUNCTION("""COMPUTED_VALUE"""),"a")</f>
        <v>a</v>
      </c>
    </row>
    <row r="3">
      <c r="A3" s="59">
        <f>IFERROR(__xludf.DUMMYFUNCTION("""COMPUTED_VALUE"""),61.0)</f>
        <v>61</v>
      </c>
      <c r="B3" s="16" t="str">
        <f>IFERROR(__xludf.DUMMYFUNCTION("""COMPUTED_VALUE"""),"an")</f>
        <v>an</v>
      </c>
    </row>
    <row r="4">
      <c r="A4" s="59">
        <f>IFERROR(__xludf.DUMMYFUNCTION("""COMPUTED_VALUE"""),64.0)</f>
        <v>64</v>
      </c>
      <c r="B4" s="16" t="str">
        <f>IFERROR(__xludf.DUMMYFUNCTION("""COMPUTED_VALUE"""),"and")</f>
        <v>and</v>
      </c>
    </row>
    <row r="5">
      <c r="A5" s="59">
        <f>IFERROR(__xludf.DUMMYFUNCTION("""COMPUTED_VALUE"""),506.0)</f>
        <v>506</v>
      </c>
      <c r="B5" s="16" t="str">
        <f>IFERROR(__xludf.DUMMYFUNCTION("""COMPUTED_VALUE"""),"is")</f>
        <v>is</v>
      </c>
    </row>
    <row r="6">
      <c r="A6" s="59">
        <f>IFERROR(__xludf.DUMMYFUNCTION("""COMPUTED_VALUE"""),563.0)</f>
        <v>563</v>
      </c>
      <c r="B6" s="16" t="str">
        <f>IFERROR(__xludf.DUMMYFUNCTION("""COMPUTED_VALUE"""),"like")</f>
        <v>like</v>
      </c>
    </row>
    <row r="7">
      <c r="A7" s="59">
        <f>IFERROR(__xludf.DUMMYFUNCTION("""COMPUTED_VALUE"""),927.0)</f>
        <v>927</v>
      </c>
      <c r="B7" s="16" t="str">
        <f>IFERROR(__xludf.DUMMYFUNCTION("""COMPUTED_VALUE"""),"that")</f>
        <v>that</v>
      </c>
    </row>
    <row r="8">
      <c r="A8" s="59">
        <f>IFERROR(__xludf.DUMMYFUNCTION("""COMPUTED_VALUE"""),929.0)</f>
        <v>929</v>
      </c>
      <c r="B8" s="16" t="str">
        <f>IFERROR(__xludf.DUMMYFUNCTION("""COMPUTED_VALUE"""),"the")</f>
        <v>the</v>
      </c>
    </row>
    <row r="9">
      <c r="A9" s="59">
        <f>IFERROR(__xludf.DUMMYFUNCTION("""COMPUTED_VALUE"""),955.0)</f>
        <v>955</v>
      </c>
      <c r="B9" s="16" t="str">
        <f>IFERROR(__xludf.DUMMYFUNCTION("""COMPUTED_VALUE"""),"to")</f>
        <v>to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16.88"/>
  </cols>
  <sheetData>
    <row r="1">
      <c r="A1" s="51"/>
      <c r="B1" s="61" t="s">
        <v>3884</v>
      </c>
      <c r="C1" s="61" t="s">
        <v>3885</v>
      </c>
      <c r="D1" s="61" t="s">
        <v>3886</v>
      </c>
      <c r="E1" s="61" t="s">
        <v>3291</v>
      </c>
      <c r="F1" s="61" t="s">
        <v>3887</v>
      </c>
      <c r="G1" s="61" t="s">
        <v>2</v>
      </c>
      <c r="H1" s="61" t="s">
        <v>4</v>
      </c>
      <c r="I1" s="61" t="s">
        <v>5</v>
      </c>
      <c r="J1" s="61" t="s">
        <v>3888</v>
      </c>
      <c r="K1" s="9"/>
      <c r="O1" s="51" t="s">
        <v>8</v>
      </c>
      <c r="Q1" s="51" t="s">
        <v>9</v>
      </c>
    </row>
    <row r="2">
      <c r="A2" s="9"/>
      <c r="B2" s="9" t="s">
        <v>1244</v>
      </c>
      <c r="D2" s="9"/>
      <c r="F2" s="9" t="s">
        <v>3889</v>
      </c>
      <c r="G2" s="9" t="s">
        <v>3890</v>
      </c>
      <c r="O2" s="9" t="s">
        <v>16</v>
      </c>
      <c r="Q2" s="9" t="s">
        <v>17</v>
      </c>
    </row>
    <row r="3">
      <c r="A3" s="9"/>
      <c r="B3" s="9" t="s">
        <v>272</v>
      </c>
      <c r="C3" s="9"/>
      <c r="D3" s="9"/>
      <c r="F3" s="9" t="s">
        <v>3889</v>
      </c>
      <c r="G3" s="9" t="s">
        <v>3890</v>
      </c>
      <c r="O3" s="9" t="s">
        <v>20</v>
      </c>
      <c r="Q3" s="9" t="s">
        <v>21</v>
      </c>
    </row>
    <row r="4">
      <c r="A4" s="9"/>
      <c r="B4" s="9" t="s">
        <v>1689</v>
      </c>
      <c r="C4" s="9"/>
      <c r="D4" s="9"/>
      <c r="F4" s="9" t="s">
        <v>3889</v>
      </c>
      <c r="G4" s="9" t="s">
        <v>3890</v>
      </c>
      <c r="O4" s="9" t="s">
        <v>23</v>
      </c>
      <c r="Q4" s="9" t="s">
        <v>24</v>
      </c>
    </row>
    <row r="5">
      <c r="A5" s="9"/>
      <c r="B5" s="9" t="s">
        <v>304</v>
      </c>
      <c r="C5" s="9"/>
      <c r="D5" s="9"/>
      <c r="F5" s="9" t="s">
        <v>3889</v>
      </c>
      <c r="G5" s="9" t="s">
        <v>3890</v>
      </c>
      <c r="O5" s="9" t="s">
        <v>3891</v>
      </c>
      <c r="Q5" s="9" t="s">
        <v>27</v>
      </c>
    </row>
    <row r="6">
      <c r="A6" s="9"/>
      <c r="B6" s="9" t="s">
        <v>264</v>
      </c>
      <c r="C6" s="9"/>
      <c r="D6" s="9"/>
      <c r="F6" s="9" t="s">
        <v>3889</v>
      </c>
      <c r="G6" s="9" t="s">
        <v>3890</v>
      </c>
      <c r="O6" s="9" t="s">
        <v>3892</v>
      </c>
      <c r="Q6" s="9" t="s">
        <v>30</v>
      </c>
    </row>
    <row r="7">
      <c r="A7" s="9"/>
      <c r="B7" s="9" t="s">
        <v>1101</v>
      </c>
      <c r="C7" s="9"/>
      <c r="D7" s="9"/>
      <c r="F7" s="9" t="s">
        <v>3889</v>
      </c>
      <c r="G7" s="9" t="s">
        <v>3890</v>
      </c>
      <c r="O7" s="9" t="s">
        <v>32</v>
      </c>
      <c r="P7" s="9" t="s">
        <v>33</v>
      </c>
    </row>
    <row r="8">
      <c r="A8" s="9"/>
      <c r="B8" s="9" t="s">
        <v>1149</v>
      </c>
      <c r="C8" s="9"/>
      <c r="D8" s="9"/>
      <c r="F8" s="9" t="s">
        <v>3889</v>
      </c>
      <c r="G8" s="9" t="s">
        <v>3890</v>
      </c>
      <c r="O8" s="9" t="s">
        <v>35</v>
      </c>
    </row>
    <row r="9">
      <c r="A9" s="9"/>
      <c r="B9" s="9" t="s">
        <v>728</v>
      </c>
      <c r="C9" s="9"/>
      <c r="D9" s="9"/>
      <c r="F9" s="9" t="s">
        <v>3889</v>
      </c>
      <c r="G9" s="9" t="s">
        <v>3890</v>
      </c>
      <c r="O9" s="9" t="s">
        <v>37</v>
      </c>
    </row>
    <row r="10">
      <c r="A10" s="9"/>
      <c r="B10" s="9" t="s">
        <v>1664</v>
      </c>
      <c r="C10" s="9"/>
      <c r="D10" s="9"/>
      <c r="F10" s="9" t="s">
        <v>3889</v>
      </c>
      <c r="G10" s="9" t="s">
        <v>3890</v>
      </c>
      <c r="I10" s="9" t="s">
        <v>1311</v>
      </c>
    </row>
    <row r="11">
      <c r="A11" s="9"/>
      <c r="B11" s="9" t="s">
        <v>750</v>
      </c>
      <c r="C11" s="9"/>
      <c r="D11" s="9"/>
      <c r="F11" s="9" t="s">
        <v>3889</v>
      </c>
      <c r="G11" s="9" t="s">
        <v>3893</v>
      </c>
    </row>
    <row r="12">
      <c r="A12" s="9"/>
      <c r="B12" s="9" t="s">
        <v>1291</v>
      </c>
      <c r="C12" s="9"/>
      <c r="D12" s="9"/>
      <c r="F12" s="9" t="s">
        <v>3889</v>
      </c>
      <c r="G12" s="9" t="s">
        <v>3893</v>
      </c>
    </row>
    <row r="13">
      <c r="A13" s="9"/>
      <c r="B13" s="9" t="s">
        <v>128</v>
      </c>
      <c r="C13" s="9"/>
      <c r="D13" s="9"/>
      <c r="F13" s="9" t="s">
        <v>3889</v>
      </c>
      <c r="G13" s="9" t="s">
        <v>3893</v>
      </c>
    </row>
    <row r="14">
      <c r="A14" s="9"/>
      <c r="B14" s="9" t="s">
        <v>3894</v>
      </c>
      <c r="C14" s="9"/>
      <c r="D14" s="9"/>
      <c r="F14" s="9" t="s">
        <v>3889</v>
      </c>
      <c r="G14" s="9" t="s">
        <v>3893</v>
      </c>
    </row>
    <row r="15">
      <c r="A15" s="9"/>
      <c r="B15" s="9" t="s">
        <v>3895</v>
      </c>
      <c r="C15" s="9"/>
      <c r="D15" s="9"/>
      <c r="F15" s="9" t="s">
        <v>3889</v>
      </c>
      <c r="G15" s="9" t="s">
        <v>3893</v>
      </c>
    </row>
    <row r="16">
      <c r="A16" s="9"/>
      <c r="B16" s="9" t="s">
        <v>3896</v>
      </c>
      <c r="C16" s="9"/>
      <c r="D16" s="9"/>
      <c r="F16" s="9" t="s">
        <v>3889</v>
      </c>
      <c r="G16" s="9" t="s">
        <v>3893</v>
      </c>
      <c r="Q16" s="17" t="s">
        <v>3897</v>
      </c>
    </row>
    <row r="17">
      <c r="A17" s="9"/>
      <c r="B17" s="9" t="s">
        <v>3898</v>
      </c>
      <c r="C17" s="9"/>
      <c r="D17" s="9"/>
      <c r="F17" s="9" t="s">
        <v>3889</v>
      </c>
      <c r="G17" s="9" t="s">
        <v>3893</v>
      </c>
      <c r="Q17" s="17" t="s">
        <v>3897</v>
      </c>
    </row>
    <row r="18">
      <c r="A18" s="9"/>
      <c r="B18" s="9" t="s">
        <v>3899</v>
      </c>
      <c r="C18" s="9"/>
      <c r="D18" s="9"/>
      <c r="F18" s="9" t="s">
        <v>3889</v>
      </c>
      <c r="G18" s="9" t="s">
        <v>3893</v>
      </c>
    </row>
    <row r="19">
      <c r="A19" s="9"/>
      <c r="B19" s="9" t="s">
        <v>3900</v>
      </c>
      <c r="C19" s="9"/>
      <c r="D19" s="9"/>
      <c r="F19" s="9" t="s">
        <v>3889</v>
      </c>
      <c r="G19" s="9" t="s">
        <v>3893</v>
      </c>
    </row>
    <row r="20">
      <c r="A20" s="9"/>
      <c r="B20" s="9" t="s">
        <v>681</v>
      </c>
      <c r="C20" s="9"/>
      <c r="D20" s="9"/>
      <c r="F20" s="9" t="s">
        <v>3889</v>
      </c>
      <c r="G20" s="9" t="s">
        <v>3893</v>
      </c>
    </row>
    <row r="21">
      <c r="A21" s="9"/>
      <c r="B21" s="9" t="s">
        <v>3901</v>
      </c>
      <c r="C21" s="9"/>
      <c r="D21" s="9"/>
      <c r="F21" s="9" t="s">
        <v>3889</v>
      </c>
      <c r="G21" s="9" t="s">
        <v>3893</v>
      </c>
    </row>
    <row r="22">
      <c r="A22" s="9"/>
      <c r="B22" s="9" t="s">
        <v>3902</v>
      </c>
      <c r="C22" s="9"/>
      <c r="D22" s="9"/>
      <c r="F22" s="9" t="s">
        <v>3889</v>
      </c>
      <c r="G22" s="9" t="s">
        <v>3893</v>
      </c>
    </row>
    <row r="23">
      <c r="A23" s="9"/>
      <c r="B23" s="9" t="s">
        <v>3903</v>
      </c>
      <c r="C23" s="9"/>
      <c r="D23" s="9"/>
      <c r="F23" s="9" t="s">
        <v>3889</v>
      </c>
      <c r="G23" s="9" t="s">
        <v>3893</v>
      </c>
    </row>
    <row r="24">
      <c r="A24" s="9"/>
      <c r="B24" s="9" t="s">
        <v>3904</v>
      </c>
      <c r="C24" s="9"/>
      <c r="D24" s="9"/>
      <c r="F24" s="9" t="s">
        <v>3889</v>
      </c>
      <c r="G24" s="9" t="s">
        <v>3893</v>
      </c>
    </row>
    <row r="25">
      <c r="A25" s="9"/>
      <c r="B25" s="9" t="s">
        <v>3905</v>
      </c>
      <c r="C25" s="9"/>
      <c r="D25" s="9"/>
      <c r="F25" s="9" t="s">
        <v>3889</v>
      </c>
      <c r="G25" s="9" t="s">
        <v>3893</v>
      </c>
    </row>
    <row r="26">
      <c r="A26" s="9"/>
      <c r="B26" s="9" t="s">
        <v>3906</v>
      </c>
      <c r="C26" s="9"/>
      <c r="D26" s="9"/>
      <c r="F26" s="9" t="s">
        <v>3889</v>
      </c>
      <c r="G26" s="9" t="s">
        <v>3893</v>
      </c>
    </row>
    <row r="27">
      <c r="A27" s="9"/>
      <c r="B27" s="9" t="s">
        <v>3901</v>
      </c>
      <c r="C27" s="9"/>
      <c r="D27" s="9"/>
      <c r="F27" s="9" t="s">
        <v>3889</v>
      </c>
      <c r="G27" s="9" t="s">
        <v>3893</v>
      </c>
    </row>
    <row r="28">
      <c r="A28" s="9"/>
      <c r="B28" s="9" t="s">
        <v>3907</v>
      </c>
      <c r="C28" s="9"/>
      <c r="D28" s="9"/>
      <c r="F28" s="9" t="s">
        <v>3889</v>
      </c>
      <c r="G28" s="9" t="s">
        <v>3893</v>
      </c>
    </row>
    <row r="29">
      <c r="A29" s="9"/>
      <c r="B29" s="9" t="s">
        <v>907</v>
      </c>
      <c r="C29" s="9"/>
      <c r="D29" s="9"/>
      <c r="F29" s="9" t="s">
        <v>3889</v>
      </c>
      <c r="G29" s="9" t="s">
        <v>3908</v>
      </c>
    </row>
    <row r="30">
      <c r="A30" s="9"/>
      <c r="B30" s="9" t="s">
        <v>254</v>
      </c>
      <c r="C30" s="9"/>
      <c r="D30" s="9"/>
      <c r="F30" s="9" t="s">
        <v>3889</v>
      </c>
      <c r="G30" s="9" t="s">
        <v>3908</v>
      </c>
    </row>
    <row r="31">
      <c r="A31" s="9"/>
      <c r="B31" s="9" t="s">
        <v>1566</v>
      </c>
      <c r="C31" s="9"/>
      <c r="D31" s="9"/>
      <c r="F31" s="9" t="s">
        <v>3889</v>
      </c>
      <c r="G31" s="9" t="s">
        <v>3908</v>
      </c>
    </row>
    <row r="32">
      <c r="A32" s="9"/>
      <c r="B32" s="9" t="s">
        <v>1199</v>
      </c>
      <c r="C32" s="9"/>
      <c r="D32" s="9"/>
      <c r="F32" s="9" t="s">
        <v>3889</v>
      </c>
      <c r="G32" s="9" t="s">
        <v>3909</v>
      </c>
    </row>
    <row r="33">
      <c r="A33" s="9"/>
      <c r="B33" s="9" t="s">
        <v>1073</v>
      </c>
      <c r="C33" s="9"/>
      <c r="D33" s="9"/>
      <c r="F33" s="9" t="s">
        <v>3889</v>
      </c>
      <c r="G33" s="9" t="s">
        <v>3909</v>
      </c>
    </row>
    <row r="34">
      <c r="A34" s="9"/>
      <c r="B34" s="9" t="s">
        <v>1223</v>
      </c>
      <c r="C34" s="9"/>
      <c r="D34" s="9"/>
      <c r="F34" s="9" t="s">
        <v>3889</v>
      </c>
      <c r="G34" s="9" t="s">
        <v>3909</v>
      </c>
    </row>
    <row r="35">
      <c r="A35" s="9"/>
      <c r="B35" s="9" t="s">
        <v>1365</v>
      </c>
      <c r="C35" s="9"/>
      <c r="D35" s="9"/>
      <c r="F35" s="9" t="s">
        <v>3889</v>
      </c>
      <c r="G35" s="9" t="s">
        <v>3909</v>
      </c>
    </row>
    <row r="36">
      <c r="A36" s="9"/>
      <c r="B36" s="9" t="s">
        <v>971</v>
      </c>
      <c r="C36" s="9"/>
      <c r="D36" s="9"/>
      <c r="F36" s="9" t="s">
        <v>3889</v>
      </c>
      <c r="G36" s="9" t="s">
        <v>3909</v>
      </c>
    </row>
    <row r="37">
      <c r="A37" s="9"/>
      <c r="B37" s="9" t="s">
        <v>1078</v>
      </c>
      <c r="C37" s="9"/>
      <c r="D37" s="9"/>
      <c r="F37" s="9" t="s">
        <v>3889</v>
      </c>
      <c r="G37" s="9" t="s">
        <v>3909</v>
      </c>
    </row>
    <row r="38">
      <c r="A38" s="9"/>
      <c r="B38" s="9" t="s">
        <v>822</v>
      </c>
      <c r="C38" s="9"/>
      <c r="D38" s="9"/>
      <c r="F38" s="9" t="s">
        <v>3889</v>
      </c>
      <c r="G38" s="9" t="s">
        <v>3909</v>
      </c>
    </row>
    <row r="39">
      <c r="A39" s="9"/>
      <c r="B39" s="9" t="s">
        <v>516</v>
      </c>
      <c r="C39" s="9"/>
      <c r="D39" s="9"/>
      <c r="F39" s="9" t="s">
        <v>10</v>
      </c>
      <c r="G39" s="9" t="s">
        <v>37</v>
      </c>
    </row>
    <row r="40">
      <c r="A40" s="9"/>
      <c r="B40" s="9" t="s">
        <v>1145</v>
      </c>
      <c r="C40" s="9"/>
      <c r="D40" s="9"/>
      <c r="F40" s="9" t="s">
        <v>10</v>
      </c>
      <c r="G40" s="9" t="s">
        <v>37</v>
      </c>
    </row>
    <row r="41">
      <c r="A41" s="9"/>
      <c r="B41" s="9" t="s">
        <v>342</v>
      </c>
      <c r="C41" s="9"/>
      <c r="D41" s="9"/>
      <c r="F41" s="9" t="s">
        <v>10</v>
      </c>
      <c r="G41" s="9" t="s">
        <v>37</v>
      </c>
    </row>
    <row r="42">
      <c r="A42" s="9"/>
      <c r="B42" s="9" t="s">
        <v>215</v>
      </c>
      <c r="C42" s="9"/>
      <c r="D42" s="9"/>
      <c r="F42" s="9" t="s">
        <v>10</v>
      </c>
      <c r="G42" s="9" t="s">
        <v>37</v>
      </c>
    </row>
    <row r="43">
      <c r="A43" s="9"/>
      <c r="B43" s="9" t="s">
        <v>437</v>
      </c>
      <c r="C43" s="9"/>
      <c r="D43" s="9"/>
      <c r="F43" s="9" t="s">
        <v>10</v>
      </c>
      <c r="G43" s="9" t="s">
        <v>37</v>
      </c>
    </row>
    <row r="44">
      <c r="A44" s="9"/>
      <c r="B44" s="9" t="s">
        <v>1230</v>
      </c>
      <c r="C44" s="9"/>
      <c r="D44" s="9"/>
      <c r="F44" s="9" t="s">
        <v>10</v>
      </c>
      <c r="G44" s="9" t="s">
        <v>37</v>
      </c>
    </row>
    <row r="45">
      <c r="A45" s="9"/>
      <c r="B45" s="9" t="s">
        <v>703</v>
      </c>
      <c r="C45" s="9"/>
      <c r="D45" s="9"/>
      <c r="F45" s="9" t="s">
        <v>10</v>
      </c>
      <c r="G45" s="9" t="s">
        <v>37</v>
      </c>
    </row>
    <row r="46">
      <c r="A46" s="9"/>
      <c r="B46" s="9" t="s">
        <v>371</v>
      </c>
      <c r="C46" s="9"/>
      <c r="D46" s="9"/>
      <c r="F46" s="9" t="s">
        <v>10</v>
      </c>
      <c r="G46" s="9" t="s">
        <v>37</v>
      </c>
    </row>
    <row r="47">
      <c r="A47" s="9"/>
      <c r="B47" s="9" t="s">
        <v>642</v>
      </c>
      <c r="C47" s="9"/>
      <c r="D47" s="9"/>
      <c r="F47" s="9" t="s">
        <v>10</v>
      </c>
      <c r="G47" s="9" t="s">
        <v>37</v>
      </c>
    </row>
    <row r="48">
      <c r="A48" s="9"/>
      <c r="B48" s="9" t="s">
        <v>679</v>
      </c>
      <c r="C48" s="9"/>
      <c r="D48" s="9"/>
      <c r="F48" s="9" t="s">
        <v>10</v>
      </c>
      <c r="G48" s="9" t="s">
        <v>37</v>
      </c>
    </row>
    <row r="49">
      <c r="A49" s="9"/>
      <c r="B49" s="9" t="s">
        <v>663</v>
      </c>
      <c r="C49" s="9"/>
      <c r="D49" s="9"/>
      <c r="F49" s="9" t="s">
        <v>10</v>
      </c>
      <c r="G49" s="9" t="s">
        <v>37</v>
      </c>
    </row>
    <row r="50">
      <c r="A50" s="9"/>
      <c r="B50" s="9" t="s">
        <v>774</v>
      </c>
      <c r="C50" s="9"/>
      <c r="D50" s="9"/>
      <c r="F50" s="9" t="s">
        <v>10</v>
      </c>
      <c r="G50" s="9" t="s">
        <v>37</v>
      </c>
    </row>
    <row r="51">
      <c r="A51" s="9"/>
      <c r="B51" s="9" t="s">
        <v>883</v>
      </c>
      <c r="C51" s="9"/>
      <c r="D51" s="9"/>
      <c r="F51" s="9" t="s">
        <v>10</v>
      </c>
      <c r="G51" s="9" t="s">
        <v>37</v>
      </c>
    </row>
    <row r="52">
      <c r="A52" s="9"/>
      <c r="B52" s="9" t="s">
        <v>518</v>
      </c>
      <c r="C52" s="9"/>
      <c r="D52" s="9"/>
      <c r="F52" s="9" t="s">
        <v>10</v>
      </c>
      <c r="G52" s="9" t="s">
        <v>37</v>
      </c>
    </row>
    <row r="53">
      <c r="A53" s="9"/>
      <c r="B53" s="9" t="s">
        <v>1347</v>
      </c>
      <c r="C53" s="9"/>
      <c r="D53" s="9"/>
      <c r="F53" s="9" t="s">
        <v>10</v>
      </c>
      <c r="G53" s="9" t="s">
        <v>37</v>
      </c>
    </row>
    <row r="54">
      <c r="A54" s="9"/>
      <c r="B54" s="9" t="s">
        <v>1016</v>
      </c>
      <c r="C54" s="9"/>
      <c r="D54" s="9"/>
      <c r="F54" s="9" t="s">
        <v>10</v>
      </c>
      <c r="G54" s="9" t="s">
        <v>37</v>
      </c>
    </row>
    <row r="55">
      <c r="A55" s="9"/>
      <c r="B55" s="9" t="s">
        <v>3910</v>
      </c>
      <c r="C55" s="9"/>
      <c r="D55" s="9"/>
      <c r="F55" s="9" t="s">
        <v>10</v>
      </c>
      <c r="G55" s="9" t="s">
        <v>37</v>
      </c>
    </row>
    <row r="56">
      <c r="A56" s="9"/>
      <c r="B56" s="9" t="s">
        <v>1641</v>
      </c>
      <c r="C56" s="9"/>
      <c r="D56" s="9"/>
      <c r="F56" s="9" t="s">
        <v>10</v>
      </c>
      <c r="G56" s="9" t="s">
        <v>37</v>
      </c>
    </row>
    <row r="57">
      <c r="A57" s="9"/>
      <c r="B57" s="9" t="s">
        <v>230</v>
      </c>
      <c r="C57" s="9"/>
      <c r="D57" s="9"/>
      <c r="F57" s="9" t="s">
        <v>10</v>
      </c>
      <c r="G57" s="9" t="s">
        <v>37</v>
      </c>
    </row>
    <row r="58">
      <c r="A58" s="9"/>
      <c r="B58" s="9" t="s">
        <v>527</v>
      </c>
      <c r="C58" s="9"/>
      <c r="D58" s="9"/>
      <c r="F58" s="9" t="s">
        <v>10</v>
      </c>
      <c r="G58" s="9" t="s">
        <v>37</v>
      </c>
    </row>
    <row r="59">
      <c r="A59" s="9"/>
      <c r="B59" s="9" t="s">
        <v>258</v>
      </c>
      <c r="C59" s="9"/>
      <c r="D59" s="9"/>
      <c r="F59" s="9" t="s">
        <v>10</v>
      </c>
      <c r="G59" s="9" t="s">
        <v>37</v>
      </c>
    </row>
    <row r="60">
      <c r="A60" s="9"/>
      <c r="B60" s="9" t="s">
        <v>441</v>
      </c>
      <c r="C60" s="9"/>
      <c r="D60" s="9"/>
      <c r="F60" s="9" t="s">
        <v>10</v>
      </c>
      <c r="G60" s="9" t="s">
        <v>37</v>
      </c>
    </row>
    <row r="61">
      <c r="A61" s="9"/>
      <c r="B61" s="9" t="s">
        <v>810</v>
      </c>
      <c r="C61" s="9"/>
      <c r="D61" s="9"/>
      <c r="F61" s="9" t="s">
        <v>10</v>
      </c>
      <c r="G61" s="9" t="s">
        <v>37</v>
      </c>
    </row>
    <row r="62">
      <c r="A62" s="9"/>
      <c r="B62" s="9" t="s">
        <v>1606</v>
      </c>
      <c r="C62" s="9"/>
      <c r="D62" s="9"/>
      <c r="F62" s="9" t="s">
        <v>10</v>
      </c>
      <c r="G62" s="9" t="s">
        <v>37</v>
      </c>
    </row>
    <row r="63">
      <c r="A63" s="9"/>
      <c r="B63" s="9" t="s">
        <v>455</v>
      </c>
      <c r="C63" s="9"/>
      <c r="D63" s="9"/>
      <c r="F63" s="9" t="s">
        <v>10</v>
      </c>
      <c r="G63" s="9" t="s">
        <v>37</v>
      </c>
    </row>
    <row r="64">
      <c r="A64" s="9"/>
      <c r="B64" s="9" t="s">
        <v>1395</v>
      </c>
      <c r="C64" s="9"/>
      <c r="D64" s="9"/>
      <c r="F64" s="9" t="s">
        <v>10</v>
      </c>
      <c r="G64" s="9" t="s">
        <v>37</v>
      </c>
    </row>
    <row r="65">
      <c r="A65" s="9"/>
      <c r="B65" s="9" t="s">
        <v>820</v>
      </c>
      <c r="C65" s="9"/>
      <c r="D65" s="9"/>
      <c r="F65" s="9" t="s">
        <v>10</v>
      </c>
      <c r="G65" s="9" t="s">
        <v>37</v>
      </c>
    </row>
    <row r="66">
      <c r="A66" s="9"/>
      <c r="B66" s="9" t="s">
        <v>948</v>
      </c>
      <c r="C66" s="9"/>
      <c r="D66" s="9"/>
      <c r="F66" s="9" t="s">
        <v>10</v>
      </c>
      <c r="G66" s="9" t="s">
        <v>37</v>
      </c>
    </row>
    <row r="67">
      <c r="A67" s="9"/>
      <c r="B67" s="9" t="s">
        <v>300</v>
      </c>
      <c r="C67" s="9"/>
      <c r="D67" s="9"/>
      <c r="F67" s="9" t="s">
        <v>10</v>
      </c>
      <c r="G67" s="9" t="s">
        <v>37</v>
      </c>
    </row>
    <row r="68">
      <c r="A68" s="9"/>
      <c r="B68" s="9" t="s">
        <v>1495</v>
      </c>
      <c r="C68" s="9"/>
      <c r="D68" s="9"/>
      <c r="F68" s="9" t="s">
        <v>10</v>
      </c>
      <c r="G68" s="9" t="s">
        <v>37</v>
      </c>
    </row>
    <row r="69">
      <c r="A69" s="9"/>
      <c r="B69" s="9" t="s">
        <v>282</v>
      </c>
      <c r="C69" s="9"/>
      <c r="D69" s="9"/>
      <c r="F69" s="9" t="s">
        <v>10</v>
      </c>
      <c r="G69" s="9" t="s">
        <v>37</v>
      </c>
    </row>
    <row r="70">
      <c r="A70" s="9"/>
      <c r="B70" s="9" t="s">
        <v>215</v>
      </c>
      <c r="C70" s="9"/>
      <c r="D70" s="9"/>
      <c r="F70" s="9" t="s">
        <v>10</v>
      </c>
      <c r="G70" s="9" t="s">
        <v>37</v>
      </c>
    </row>
    <row r="71">
      <c r="A71" s="9"/>
      <c r="B71" s="9" t="s">
        <v>371</v>
      </c>
      <c r="C71" s="9"/>
      <c r="D71" s="9"/>
      <c r="F71" s="9" t="s">
        <v>10</v>
      </c>
      <c r="G71" s="9" t="s">
        <v>37</v>
      </c>
    </row>
    <row r="72">
      <c r="A72" s="9"/>
      <c r="B72" s="9" t="s">
        <v>745</v>
      </c>
      <c r="C72" s="9"/>
      <c r="D72" s="9"/>
      <c r="F72" s="9" t="s">
        <v>10</v>
      </c>
      <c r="G72" s="9" t="s">
        <v>132</v>
      </c>
    </row>
    <row r="73">
      <c r="A73" s="54"/>
      <c r="B73" s="54" t="s">
        <v>762</v>
      </c>
      <c r="C73" s="9"/>
      <c r="D73" s="9"/>
      <c r="F73" s="9" t="s">
        <v>10</v>
      </c>
      <c r="G73" s="9" t="s">
        <v>132</v>
      </c>
    </row>
    <row r="74">
      <c r="A74" s="54"/>
      <c r="B74" s="54" t="s">
        <v>741</v>
      </c>
      <c r="C74" s="9"/>
      <c r="D74" s="9"/>
      <c r="F74" s="9" t="s">
        <v>10</v>
      </c>
      <c r="G74" s="9" t="s">
        <v>132</v>
      </c>
    </row>
    <row r="75">
      <c r="A75" s="54"/>
      <c r="B75" s="54" t="s">
        <v>611</v>
      </c>
      <c r="C75" s="9"/>
      <c r="D75" s="9"/>
      <c r="F75" s="9" t="s">
        <v>10</v>
      </c>
      <c r="G75" s="9" t="s">
        <v>132</v>
      </c>
    </row>
    <row r="76">
      <c r="A76" s="54"/>
      <c r="B76" s="54" t="s">
        <v>546</v>
      </c>
      <c r="C76" s="9"/>
      <c r="D76" s="9"/>
      <c r="F76" s="9" t="s">
        <v>10</v>
      </c>
      <c r="G76" s="9" t="s">
        <v>132</v>
      </c>
    </row>
    <row r="77">
      <c r="A77" s="54"/>
      <c r="B77" s="54" t="s">
        <v>1082</v>
      </c>
      <c r="C77" s="9"/>
      <c r="D77" s="9"/>
      <c r="F77" s="9" t="s">
        <v>10</v>
      </c>
      <c r="G77" s="9" t="s">
        <v>132</v>
      </c>
    </row>
    <row r="78">
      <c r="A78" s="54"/>
      <c r="B78" s="54" t="s">
        <v>1027</v>
      </c>
      <c r="C78" s="9"/>
      <c r="D78" s="9"/>
      <c r="F78" s="9" t="s">
        <v>10</v>
      </c>
      <c r="G78" s="9" t="s">
        <v>132</v>
      </c>
    </row>
    <row r="79">
      <c r="A79" s="54"/>
      <c r="B79" s="54" t="s">
        <v>1512</v>
      </c>
      <c r="C79" s="9"/>
      <c r="D79" s="9"/>
      <c r="F79" s="9" t="s">
        <v>10</v>
      </c>
      <c r="G79" s="9" t="s">
        <v>132</v>
      </c>
    </row>
    <row r="80">
      <c r="A80" s="54"/>
      <c r="B80" s="54" t="s">
        <v>1581</v>
      </c>
      <c r="C80" s="9"/>
      <c r="D80" s="9"/>
      <c r="F80" s="9" t="s">
        <v>10</v>
      </c>
      <c r="G80" s="9" t="s">
        <v>132</v>
      </c>
    </row>
    <row r="81">
      <c r="A81" s="54"/>
      <c r="B81" s="54" t="s">
        <v>1055</v>
      </c>
      <c r="C81" s="9"/>
      <c r="D81" s="9"/>
      <c r="F81" s="9" t="s">
        <v>10</v>
      </c>
      <c r="G81" s="9" t="s">
        <v>132</v>
      </c>
    </row>
    <row r="82">
      <c r="A82" s="54"/>
      <c r="B82" s="54" t="s">
        <v>1361</v>
      </c>
      <c r="C82" s="9"/>
      <c r="D82" s="9"/>
      <c r="F82" s="9" t="s">
        <v>10</v>
      </c>
      <c r="G82" s="9" t="s">
        <v>132</v>
      </c>
    </row>
    <row r="83">
      <c r="A83" s="54"/>
      <c r="B83" s="54" t="s">
        <v>153</v>
      </c>
      <c r="C83" s="9"/>
      <c r="D83" s="9"/>
      <c r="F83" s="9" t="s">
        <v>10</v>
      </c>
      <c r="G83" s="9" t="s">
        <v>132</v>
      </c>
    </row>
    <row r="84">
      <c r="A84" s="54"/>
      <c r="B84" s="54" t="s">
        <v>561</v>
      </c>
      <c r="C84" s="9"/>
      <c r="D84" s="9"/>
      <c r="F84" s="9" t="s">
        <v>10</v>
      </c>
      <c r="G84" s="9" t="s">
        <v>132</v>
      </c>
    </row>
    <row r="85">
      <c r="A85" s="54"/>
      <c r="B85" s="54" t="s">
        <v>1681</v>
      </c>
      <c r="C85" s="9"/>
      <c r="D85" s="9"/>
      <c r="F85" s="9" t="s">
        <v>10</v>
      </c>
      <c r="G85" s="9" t="s">
        <v>132</v>
      </c>
    </row>
    <row r="86">
      <c r="A86" s="54"/>
      <c r="B86" s="54" t="s">
        <v>743</v>
      </c>
      <c r="C86" s="9"/>
      <c r="D86" s="9"/>
      <c r="F86" s="9" t="s">
        <v>10</v>
      </c>
      <c r="G86" s="9" t="s">
        <v>132</v>
      </c>
    </row>
    <row r="87">
      <c r="A87" s="54"/>
      <c r="B87" s="54" t="s">
        <v>634</v>
      </c>
      <c r="C87" s="9"/>
      <c r="D87" s="9"/>
      <c r="F87" s="9" t="s">
        <v>10</v>
      </c>
      <c r="G87" s="9" t="s">
        <v>132</v>
      </c>
    </row>
    <row r="88">
      <c r="A88" s="54"/>
      <c r="B88" s="54" t="s">
        <v>369</v>
      </c>
      <c r="C88" s="9"/>
      <c r="D88" s="9"/>
      <c r="F88" s="9" t="s">
        <v>10</v>
      </c>
      <c r="G88" s="9" t="s">
        <v>132</v>
      </c>
    </row>
    <row r="89">
      <c r="A89" s="54"/>
      <c r="B89" s="54" t="s">
        <v>1459</v>
      </c>
      <c r="C89" s="9"/>
      <c r="D89" s="9"/>
      <c r="F89" s="9" t="s">
        <v>10</v>
      </c>
      <c r="G89" s="9" t="s">
        <v>132</v>
      </c>
    </row>
    <row r="90">
      <c r="A90" s="54"/>
      <c r="B90" s="54" t="s">
        <v>190</v>
      </c>
      <c r="C90" s="9"/>
      <c r="D90" s="9"/>
      <c r="F90" s="9" t="s">
        <v>10</v>
      </c>
      <c r="G90" s="9" t="s">
        <v>132</v>
      </c>
    </row>
    <row r="91">
      <c r="A91" s="54"/>
      <c r="B91" s="54" t="s">
        <v>788</v>
      </c>
      <c r="C91" s="9"/>
      <c r="D91" s="9"/>
      <c r="F91" s="9" t="s">
        <v>10</v>
      </c>
      <c r="G91" s="9" t="s">
        <v>132</v>
      </c>
    </row>
    <row r="92">
      <c r="A92" s="54"/>
      <c r="B92" s="54" t="s">
        <v>922</v>
      </c>
      <c r="C92" s="9"/>
      <c r="D92" s="9"/>
      <c r="F92" s="9" t="s">
        <v>10</v>
      </c>
      <c r="G92" s="9" t="s">
        <v>132</v>
      </c>
    </row>
    <row r="93">
      <c r="A93" s="54"/>
      <c r="B93" s="54" t="s">
        <v>903</v>
      </c>
      <c r="C93" s="9"/>
      <c r="D93" s="9"/>
      <c r="F93" s="9" t="s">
        <v>10</v>
      </c>
      <c r="G93" s="9" t="s">
        <v>132</v>
      </c>
    </row>
    <row r="94">
      <c r="A94" s="54"/>
      <c r="B94" s="54" t="s">
        <v>3911</v>
      </c>
      <c r="C94" s="9"/>
      <c r="D94" s="9"/>
      <c r="F94" s="9" t="s">
        <v>10</v>
      </c>
      <c r="G94" s="9" t="s">
        <v>132</v>
      </c>
    </row>
    <row r="95">
      <c r="A95" s="54"/>
      <c r="B95" s="54" t="s">
        <v>653</v>
      </c>
      <c r="C95" s="9"/>
      <c r="D95" s="9"/>
      <c r="F95" s="9" t="s">
        <v>10</v>
      </c>
      <c r="G95" s="9" t="s">
        <v>132</v>
      </c>
    </row>
    <row r="96">
      <c r="A96" s="54"/>
      <c r="B96" s="54" t="s">
        <v>3425</v>
      </c>
      <c r="C96" s="9"/>
      <c r="D96" s="9"/>
      <c r="F96" s="9" t="s">
        <v>10</v>
      </c>
      <c r="G96" s="9" t="s">
        <v>132</v>
      </c>
    </row>
    <row r="97">
      <c r="A97" s="54"/>
      <c r="B97" s="54" t="s">
        <v>1014</v>
      </c>
      <c r="C97" s="9"/>
      <c r="D97" s="9"/>
      <c r="F97" s="9" t="s">
        <v>10</v>
      </c>
      <c r="G97" s="9" t="s">
        <v>3912</v>
      </c>
    </row>
    <row r="98">
      <c r="A98" s="54"/>
      <c r="B98" s="54" t="s">
        <v>1602</v>
      </c>
      <c r="C98" s="9"/>
      <c r="D98" s="9"/>
      <c r="F98" s="9" t="s">
        <v>10</v>
      </c>
      <c r="G98" s="9" t="s">
        <v>3912</v>
      </c>
    </row>
    <row r="99">
      <c r="A99" s="54"/>
      <c r="B99" s="54" t="s">
        <v>1650</v>
      </c>
      <c r="C99" s="9"/>
      <c r="D99" s="9"/>
      <c r="F99" s="9" t="s">
        <v>10</v>
      </c>
      <c r="G99" s="9" t="s">
        <v>3912</v>
      </c>
    </row>
    <row r="100">
      <c r="A100" s="54"/>
      <c r="B100" s="54" t="s">
        <v>1562</v>
      </c>
      <c r="C100" s="9"/>
      <c r="D100" s="9"/>
      <c r="F100" s="9" t="s">
        <v>10</v>
      </c>
      <c r="G100" s="9" t="s">
        <v>3912</v>
      </c>
    </row>
    <row r="101">
      <c r="A101" s="54"/>
      <c r="B101" s="54" t="s">
        <v>666</v>
      </c>
      <c r="C101" s="9"/>
      <c r="D101" s="9"/>
      <c r="F101" s="9" t="s">
        <v>10</v>
      </c>
      <c r="G101" s="9" t="s">
        <v>3912</v>
      </c>
    </row>
    <row r="102">
      <c r="A102" s="54"/>
      <c r="B102" s="54" t="s">
        <v>1301</v>
      </c>
      <c r="C102" s="9"/>
      <c r="D102" s="9"/>
      <c r="F102" s="9" t="s">
        <v>10</v>
      </c>
      <c r="G102" s="9" t="s">
        <v>3912</v>
      </c>
    </row>
    <row r="103">
      <c r="A103" s="54"/>
      <c r="B103" s="54" t="s">
        <v>1477</v>
      </c>
      <c r="C103" s="9"/>
      <c r="D103" s="9"/>
      <c r="F103" s="9" t="s">
        <v>10</v>
      </c>
      <c r="G103" s="9" t="s">
        <v>3912</v>
      </c>
    </row>
    <row r="104">
      <c r="A104" s="9"/>
      <c r="B104" s="9" t="s">
        <v>1003</v>
      </c>
      <c r="C104" s="9"/>
      <c r="D104" s="9"/>
      <c r="F104" s="9" t="s">
        <v>10</v>
      </c>
      <c r="G104" s="9" t="s">
        <v>3913</v>
      </c>
    </row>
    <row r="105">
      <c r="A105" s="9"/>
      <c r="B105" s="9" t="s">
        <v>615</v>
      </c>
      <c r="C105" s="9"/>
      <c r="D105" s="9"/>
      <c r="F105" s="9" t="s">
        <v>10</v>
      </c>
      <c r="G105" s="9" t="s">
        <v>16</v>
      </c>
    </row>
    <row r="106">
      <c r="A106" s="9"/>
      <c r="B106" s="9" t="s">
        <v>1024</v>
      </c>
      <c r="C106" s="9"/>
      <c r="D106" s="9"/>
      <c r="F106" s="9" t="s">
        <v>10</v>
      </c>
      <c r="G106" s="9" t="s">
        <v>16</v>
      </c>
    </row>
    <row r="107">
      <c r="A107" s="9"/>
      <c r="B107" s="9" t="s">
        <v>622</v>
      </c>
      <c r="C107" s="9"/>
      <c r="D107" s="9"/>
      <c r="F107" s="9" t="s">
        <v>10</v>
      </c>
      <c r="G107" s="9" t="s">
        <v>16</v>
      </c>
    </row>
    <row r="108">
      <c r="A108" s="9"/>
      <c r="B108" s="9" t="s">
        <v>302</v>
      </c>
      <c r="C108" s="9"/>
      <c r="D108" s="9"/>
      <c r="F108" s="9" t="s">
        <v>10</v>
      </c>
      <c r="G108" s="9" t="s">
        <v>16</v>
      </c>
    </row>
    <row r="109">
      <c r="A109" s="9"/>
      <c r="B109" s="9" t="s">
        <v>1376</v>
      </c>
      <c r="C109" s="9"/>
      <c r="D109" s="9"/>
      <c r="F109" s="9" t="s">
        <v>10</v>
      </c>
      <c r="G109" s="9" t="s">
        <v>16</v>
      </c>
    </row>
    <row r="110">
      <c r="A110" s="9"/>
      <c r="B110" s="9" t="s">
        <v>176</v>
      </c>
      <c r="C110" s="9"/>
      <c r="D110" s="9"/>
      <c r="F110" s="9" t="s">
        <v>10</v>
      </c>
      <c r="G110" s="9" t="s">
        <v>16</v>
      </c>
    </row>
    <row r="111">
      <c r="A111" s="9"/>
      <c r="B111" s="9" t="s">
        <v>1611</v>
      </c>
      <c r="C111" s="9"/>
      <c r="D111" s="9"/>
      <c r="F111" s="9" t="s">
        <v>10</v>
      </c>
      <c r="G111" s="9" t="s">
        <v>16</v>
      </c>
    </row>
    <row r="112">
      <c r="A112" s="9"/>
      <c r="B112" s="9" t="s">
        <v>717</v>
      </c>
      <c r="C112" s="9"/>
      <c r="D112" s="9"/>
      <c r="F112" s="9" t="s">
        <v>10</v>
      </c>
      <c r="G112" s="9" t="s">
        <v>16</v>
      </c>
    </row>
    <row r="113">
      <c r="A113" s="9"/>
      <c r="B113" s="9" t="s">
        <v>715</v>
      </c>
      <c r="C113" s="9"/>
      <c r="D113" s="9"/>
      <c r="F113" s="9" t="s">
        <v>10</v>
      </c>
      <c r="G113" s="9" t="s">
        <v>16</v>
      </c>
    </row>
    <row r="114">
      <c r="A114" s="9"/>
      <c r="B114" s="9" t="s">
        <v>3914</v>
      </c>
      <c r="C114" s="9"/>
      <c r="D114" s="9"/>
      <c r="F114" s="9" t="s">
        <v>10</v>
      </c>
      <c r="G114" s="9" t="s">
        <v>16</v>
      </c>
    </row>
    <row r="115">
      <c r="A115" s="9"/>
      <c r="B115" s="9" t="s">
        <v>1075</v>
      </c>
      <c r="C115" s="9"/>
      <c r="D115" s="9"/>
      <c r="F115" s="9" t="s">
        <v>10</v>
      </c>
      <c r="G115" s="9" t="s">
        <v>16</v>
      </c>
    </row>
    <row r="116">
      <c r="A116" s="9"/>
      <c r="B116" s="9" t="s">
        <v>1059</v>
      </c>
      <c r="C116" s="9"/>
      <c r="D116" s="9"/>
      <c r="F116" s="9" t="s">
        <v>10</v>
      </c>
      <c r="G116" s="9" t="s">
        <v>16</v>
      </c>
    </row>
    <row r="117">
      <c r="A117" s="9"/>
      <c r="B117" s="9" t="s">
        <v>1455</v>
      </c>
      <c r="C117" s="9"/>
      <c r="D117" s="9"/>
      <c r="F117" s="9" t="s">
        <v>10</v>
      </c>
      <c r="G117" s="9" t="s">
        <v>16</v>
      </c>
    </row>
    <row r="118">
      <c r="A118" s="9"/>
      <c r="B118" s="9" t="s">
        <v>1453</v>
      </c>
      <c r="C118" s="9"/>
      <c r="D118" s="9"/>
      <c r="F118" s="9" t="s">
        <v>10</v>
      </c>
      <c r="G118" s="9" t="s">
        <v>16</v>
      </c>
    </row>
    <row r="119">
      <c r="A119" s="9"/>
      <c r="B119" s="9" t="s">
        <v>1451</v>
      </c>
      <c r="C119" s="9"/>
      <c r="D119" s="9"/>
      <c r="F119" s="9" t="s">
        <v>10</v>
      </c>
      <c r="G119" s="9" t="s">
        <v>16</v>
      </c>
    </row>
    <row r="120">
      <c r="A120" s="9"/>
      <c r="B120" s="9" t="s">
        <v>1457</v>
      </c>
      <c r="C120" s="9"/>
      <c r="D120" s="9"/>
      <c r="F120" s="9" t="s">
        <v>10</v>
      </c>
      <c r="G120" s="9" t="s">
        <v>16</v>
      </c>
    </row>
    <row r="121">
      <c r="A121" s="9"/>
      <c r="B121" s="9" t="s">
        <v>1122</v>
      </c>
      <c r="C121" s="9"/>
      <c r="D121" s="9"/>
      <c r="F121" s="9" t="s">
        <v>10</v>
      </c>
      <c r="G121" s="9" t="s">
        <v>16</v>
      </c>
    </row>
    <row r="122">
      <c r="A122" s="9"/>
      <c r="B122" s="9" t="s">
        <v>719</v>
      </c>
      <c r="C122" s="9"/>
      <c r="D122" s="9"/>
      <c r="F122" s="9" t="s">
        <v>10</v>
      </c>
      <c r="G122" s="9" t="s">
        <v>16</v>
      </c>
    </row>
    <row r="123">
      <c r="A123" s="9"/>
      <c r="B123" s="9" t="s">
        <v>1683</v>
      </c>
      <c r="C123" s="9"/>
      <c r="D123" s="9"/>
      <c r="F123" s="9" t="s">
        <v>10</v>
      </c>
      <c r="G123" s="9" t="s">
        <v>74</v>
      </c>
    </row>
    <row r="124">
      <c r="A124" s="9"/>
      <c r="B124" s="9" t="s">
        <v>1272</v>
      </c>
      <c r="C124" s="9"/>
      <c r="D124" s="9"/>
      <c r="F124" s="9" t="s">
        <v>10</v>
      </c>
      <c r="G124" s="9" t="s">
        <v>74</v>
      </c>
    </row>
    <row r="125">
      <c r="A125" s="9"/>
      <c r="B125" s="9" t="s">
        <v>317</v>
      </c>
      <c r="C125" s="9"/>
      <c r="D125" s="9"/>
      <c r="F125" s="9" t="s">
        <v>10</v>
      </c>
      <c r="G125" s="9" t="s">
        <v>74</v>
      </c>
    </row>
    <row r="126">
      <c r="A126" s="9"/>
      <c r="B126" s="9" t="s">
        <v>977</v>
      </c>
      <c r="C126" s="9"/>
      <c r="D126" s="9"/>
      <c r="F126" s="9" t="s">
        <v>10</v>
      </c>
      <c r="G126" s="9" t="s">
        <v>74</v>
      </c>
    </row>
    <row r="127">
      <c r="A127" s="54"/>
      <c r="B127" s="54" t="s">
        <v>873</v>
      </c>
      <c r="C127" s="9"/>
      <c r="D127" s="9"/>
      <c r="F127" s="9" t="s">
        <v>10</v>
      </c>
      <c r="G127" s="9" t="s">
        <v>3915</v>
      </c>
    </row>
    <row r="128">
      <c r="A128" s="54"/>
      <c r="B128" s="54" t="s">
        <v>626</v>
      </c>
      <c r="C128" s="9"/>
      <c r="D128" s="9"/>
      <c r="F128" s="9" t="s">
        <v>10</v>
      </c>
      <c r="G128" s="9" t="s">
        <v>3915</v>
      </c>
    </row>
    <row r="129">
      <c r="A129" s="54"/>
      <c r="B129" s="54" t="s">
        <v>979</v>
      </c>
      <c r="C129" s="9"/>
      <c r="D129" s="9"/>
      <c r="F129" s="9" t="s">
        <v>10</v>
      </c>
      <c r="G129" s="9" t="s">
        <v>3915</v>
      </c>
    </row>
    <row r="130">
      <c r="A130" s="54"/>
      <c r="B130" s="54" t="s">
        <v>148</v>
      </c>
      <c r="C130" s="9"/>
      <c r="D130" s="9"/>
      <c r="F130" s="9" t="s">
        <v>10</v>
      </c>
      <c r="G130" s="9" t="s">
        <v>3915</v>
      </c>
    </row>
    <row r="131">
      <c r="A131" s="54"/>
      <c r="B131" s="54" t="s">
        <v>985</v>
      </c>
      <c r="C131" s="9"/>
      <c r="D131" s="9"/>
      <c r="F131" s="9" t="s">
        <v>10</v>
      </c>
      <c r="G131" s="9" t="s">
        <v>3915</v>
      </c>
    </row>
    <row r="132">
      <c r="A132" s="54"/>
      <c r="B132" s="54" t="s">
        <v>892</v>
      </c>
      <c r="C132" s="9"/>
      <c r="D132" s="9"/>
      <c r="F132" s="9" t="s">
        <v>10</v>
      </c>
      <c r="G132" s="9" t="s">
        <v>3915</v>
      </c>
    </row>
    <row r="133">
      <c r="A133" s="54"/>
      <c r="B133" s="54" t="s">
        <v>887</v>
      </c>
      <c r="C133" s="9"/>
      <c r="D133" s="9"/>
      <c r="F133" s="9" t="s">
        <v>10</v>
      </c>
      <c r="G133" s="9" t="s">
        <v>3915</v>
      </c>
    </row>
    <row r="134">
      <c r="A134" s="54"/>
      <c r="B134" s="54" t="s">
        <v>174</v>
      </c>
      <c r="C134" s="9"/>
      <c r="D134" s="9"/>
      <c r="F134" s="9" t="s">
        <v>10</v>
      </c>
      <c r="G134" s="9" t="s">
        <v>3915</v>
      </c>
    </row>
    <row r="135">
      <c r="A135" s="54"/>
      <c r="B135" s="54" t="s">
        <v>1336</v>
      </c>
      <c r="C135" s="9"/>
      <c r="D135" s="9"/>
      <c r="F135" s="9" t="s">
        <v>10</v>
      </c>
      <c r="G135" s="9" t="s">
        <v>3915</v>
      </c>
    </row>
    <row r="136">
      <c r="A136" s="54"/>
      <c r="B136" s="54" t="s">
        <v>1095</v>
      </c>
      <c r="C136" s="9"/>
      <c r="D136" s="9"/>
      <c r="F136" s="9" t="s">
        <v>10</v>
      </c>
      <c r="G136" s="9" t="s">
        <v>3915</v>
      </c>
    </row>
    <row r="137">
      <c r="A137" s="54"/>
      <c r="B137" s="54" t="s">
        <v>1089</v>
      </c>
      <c r="C137" s="9"/>
      <c r="D137" s="9"/>
      <c r="F137" s="9" t="s">
        <v>10</v>
      </c>
      <c r="G137" s="9" t="s">
        <v>3915</v>
      </c>
    </row>
    <row r="138">
      <c r="A138" s="54"/>
      <c r="B138" s="54" t="s">
        <v>478</v>
      </c>
      <c r="C138" s="9"/>
      <c r="D138" s="9"/>
      <c r="F138" s="9" t="s">
        <v>10</v>
      </c>
      <c r="G138" s="9" t="s">
        <v>3915</v>
      </c>
    </row>
    <row r="139">
      <c r="A139" s="54"/>
      <c r="B139" s="54" t="s">
        <v>899</v>
      </c>
      <c r="C139" s="9"/>
      <c r="D139" s="9"/>
      <c r="F139" s="9" t="s">
        <v>10</v>
      </c>
      <c r="G139" s="9" t="s">
        <v>3916</v>
      </c>
    </row>
    <row r="140">
      <c r="A140" s="9"/>
      <c r="B140" s="9" t="s">
        <v>1433</v>
      </c>
      <c r="C140" s="9"/>
      <c r="D140" s="9"/>
      <c r="F140" s="9" t="s">
        <v>10</v>
      </c>
      <c r="G140" s="9" t="s">
        <v>3916</v>
      </c>
    </row>
    <row r="141">
      <c r="A141" s="9"/>
      <c r="B141" s="9" t="s">
        <v>1437</v>
      </c>
      <c r="C141" s="9"/>
      <c r="D141" s="9"/>
      <c r="F141" s="9" t="s">
        <v>10</v>
      </c>
      <c r="G141" s="9" t="s">
        <v>3916</v>
      </c>
    </row>
    <row r="142">
      <c r="A142" s="54"/>
      <c r="B142" s="54" t="s">
        <v>391</v>
      </c>
      <c r="C142" s="9"/>
      <c r="D142" s="9"/>
      <c r="F142" s="9" t="s">
        <v>10</v>
      </c>
      <c r="G142" s="9" t="s">
        <v>3916</v>
      </c>
    </row>
    <row r="143">
      <c r="A143" s="54"/>
      <c r="B143" s="54" t="s">
        <v>975</v>
      </c>
      <c r="C143" s="9"/>
      <c r="D143" s="9"/>
      <c r="F143" s="9" t="s">
        <v>10</v>
      </c>
      <c r="G143" s="9" t="s">
        <v>3916</v>
      </c>
    </row>
    <row r="144">
      <c r="A144" s="9"/>
      <c r="B144" s="9" t="s">
        <v>1439</v>
      </c>
      <c r="C144" s="9"/>
      <c r="D144" s="9"/>
      <c r="F144" s="9" t="s">
        <v>10</v>
      </c>
      <c r="G144" s="9" t="s">
        <v>3916</v>
      </c>
    </row>
    <row r="145">
      <c r="A145" s="54"/>
      <c r="B145" s="54" t="s">
        <v>1652</v>
      </c>
      <c r="C145" s="9"/>
      <c r="D145" s="9"/>
      <c r="F145" s="9" t="s">
        <v>10</v>
      </c>
      <c r="G145" s="9" t="s">
        <v>3916</v>
      </c>
    </row>
    <row r="146">
      <c r="A146" s="54"/>
      <c r="B146" s="54" t="s">
        <v>747</v>
      </c>
      <c r="C146" s="9"/>
      <c r="D146" s="9"/>
      <c r="F146" s="9" t="s">
        <v>10</v>
      </c>
      <c r="G146" s="9" t="s">
        <v>3916</v>
      </c>
    </row>
    <row r="147">
      <c r="A147" s="9"/>
      <c r="B147" s="9" t="s">
        <v>1441</v>
      </c>
      <c r="C147" s="9"/>
      <c r="D147" s="9"/>
      <c r="F147" s="9" t="s">
        <v>10</v>
      </c>
      <c r="G147" s="9" t="s">
        <v>3916</v>
      </c>
    </row>
    <row r="148">
      <c r="A148" s="54"/>
      <c r="B148" s="54" t="s">
        <v>1594</v>
      </c>
      <c r="C148" s="9"/>
      <c r="D148" s="9"/>
      <c r="F148" s="9" t="s">
        <v>10</v>
      </c>
      <c r="G148" s="9" t="s">
        <v>3916</v>
      </c>
    </row>
    <row r="149">
      <c r="A149" s="9"/>
      <c r="B149" s="9" t="s">
        <v>1435</v>
      </c>
      <c r="C149" s="9"/>
      <c r="D149" s="9"/>
      <c r="F149" s="9" t="s">
        <v>10</v>
      </c>
      <c r="G149" s="9" t="s">
        <v>3916</v>
      </c>
    </row>
    <row r="150">
      <c r="A150" s="9"/>
      <c r="B150" s="9" t="s">
        <v>1443</v>
      </c>
      <c r="C150" s="9"/>
      <c r="D150" s="9"/>
      <c r="F150" s="9" t="s">
        <v>10</v>
      </c>
      <c r="G150" s="9" t="s">
        <v>3916</v>
      </c>
    </row>
    <row r="151">
      <c r="A151" s="54"/>
      <c r="B151" s="54" t="s">
        <v>1180</v>
      </c>
      <c r="C151" s="9"/>
      <c r="D151" s="9"/>
      <c r="F151" s="9" t="s">
        <v>10</v>
      </c>
      <c r="G151" s="9" t="s">
        <v>3916</v>
      </c>
    </row>
    <row r="152">
      <c r="A152" s="9"/>
      <c r="B152" s="9" t="s">
        <v>1445</v>
      </c>
      <c r="C152" s="9"/>
      <c r="D152" s="9"/>
      <c r="F152" s="9" t="s">
        <v>10</v>
      </c>
      <c r="G152" s="9" t="s">
        <v>3916</v>
      </c>
    </row>
    <row r="153">
      <c r="A153" s="9"/>
      <c r="B153" s="9" t="s">
        <v>692</v>
      </c>
      <c r="C153" s="9"/>
      <c r="D153" s="9"/>
      <c r="F153" s="9" t="s">
        <v>10</v>
      </c>
      <c r="G153" s="9" t="s">
        <v>3917</v>
      </c>
    </row>
    <row r="154">
      <c r="A154" s="9"/>
      <c r="B154" s="9" t="s">
        <v>3918</v>
      </c>
      <c r="C154" s="9"/>
      <c r="D154" s="9"/>
      <c r="F154" s="9" t="s">
        <v>10</v>
      </c>
      <c r="G154" s="9" t="s">
        <v>3919</v>
      </c>
      <c r="I154" s="9" t="s">
        <v>1311</v>
      </c>
    </row>
    <row r="155">
      <c r="A155" s="9"/>
      <c r="B155" s="9" t="s">
        <v>1161</v>
      </c>
      <c r="C155" s="9"/>
      <c r="D155" s="9"/>
      <c r="F155" s="9" t="s">
        <v>10</v>
      </c>
      <c r="G155" s="9" t="s">
        <v>3919</v>
      </c>
    </row>
    <row r="156">
      <c r="A156" s="9"/>
      <c r="B156" s="9" t="s">
        <v>384</v>
      </c>
      <c r="C156" s="9"/>
      <c r="D156" s="9"/>
      <c r="F156" s="9" t="s">
        <v>10</v>
      </c>
      <c r="G156" s="9" t="s">
        <v>3919</v>
      </c>
    </row>
    <row r="157">
      <c r="A157" s="9"/>
      <c r="B157" s="9" t="s">
        <v>1311</v>
      </c>
      <c r="C157" s="9"/>
      <c r="D157" s="9"/>
      <c r="F157" s="9" t="s">
        <v>10</v>
      </c>
      <c r="G157" s="9" t="s">
        <v>3919</v>
      </c>
    </row>
    <row r="158">
      <c r="A158" s="9"/>
      <c r="B158" s="9" t="s">
        <v>901</v>
      </c>
      <c r="C158" s="9"/>
      <c r="D158" s="9"/>
      <c r="F158" s="9" t="s">
        <v>10</v>
      </c>
      <c r="G158" s="9" t="s">
        <v>3919</v>
      </c>
    </row>
    <row r="159">
      <c r="A159" s="9"/>
      <c r="B159" s="9" t="s">
        <v>1684</v>
      </c>
      <c r="C159" s="9"/>
      <c r="D159" s="9"/>
      <c r="F159" s="9" t="s">
        <v>10</v>
      </c>
      <c r="G159" s="9" t="s">
        <v>3919</v>
      </c>
    </row>
    <row r="160">
      <c r="A160" s="9"/>
      <c r="B160" s="9" t="s">
        <v>1126</v>
      </c>
      <c r="C160" s="9"/>
      <c r="D160" s="9"/>
      <c r="F160" s="9" t="s">
        <v>10</v>
      </c>
      <c r="G160" s="9" t="s">
        <v>3909</v>
      </c>
    </row>
    <row r="161">
      <c r="A161" s="9"/>
      <c r="B161" s="9" t="s">
        <v>359</v>
      </c>
      <c r="C161" s="9"/>
      <c r="D161" s="9"/>
      <c r="F161" s="9" t="s">
        <v>10</v>
      </c>
      <c r="G161" s="9" t="s">
        <v>3909</v>
      </c>
    </row>
    <row r="162">
      <c r="A162" s="9"/>
      <c r="B162" s="9" t="s">
        <v>205</v>
      </c>
      <c r="C162" s="9"/>
      <c r="D162" s="9"/>
      <c r="F162" s="9" t="s">
        <v>10</v>
      </c>
      <c r="G162" s="9" t="s">
        <v>3909</v>
      </c>
    </row>
    <row r="163">
      <c r="A163" s="9"/>
      <c r="B163" s="9" t="s">
        <v>1288</v>
      </c>
      <c r="C163" s="9"/>
      <c r="D163" s="9"/>
      <c r="F163" s="9" t="s">
        <v>10</v>
      </c>
      <c r="G163" s="9" t="s">
        <v>3909</v>
      </c>
    </row>
    <row r="164">
      <c r="A164" s="9"/>
      <c r="B164" s="9" t="s">
        <v>327</v>
      </c>
      <c r="C164" s="9"/>
      <c r="D164" s="9"/>
      <c r="F164" s="9" t="s">
        <v>10</v>
      </c>
      <c r="G164" s="9" t="s">
        <v>3920</v>
      </c>
    </row>
    <row r="165">
      <c r="A165" s="9"/>
      <c r="B165" s="9" t="s">
        <v>1615</v>
      </c>
      <c r="C165" s="9"/>
      <c r="D165" s="9"/>
      <c r="F165" s="9" t="s">
        <v>53</v>
      </c>
      <c r="G165" s="9" t="s">
        <v>3921</v>
      </c>
    </row>
    <row r="166">
      <c r="A166" s="9"/>
      <c r="B166" s="9" t="s">
        <v>3922</v>
      </c>
      <c r="C166" s="9"/>
      <c r="D166" s="9"/>
      <c r="F166" s="9" t="s">
        <v>53</v>
      </c>
      <c r="G166" s="9" t="s">
        <v>3921</v>
      </c>
    </row>
    <row r="167">
      <c r="A167" s="9"/>
      <c r="B167" s="9" t="s">
        <v>1613</v>
      </c>
      <c r="C167" s="9"/>
      <c r="D167" s="9"/>
      <c r="F167" s="9" t="s">
        <v>53</v>
      </c>
      <c r="G167" s="9" t="s">
        <v>3921</v>
      </c>
    </row>
    <row r="168">
      <c r="A168" s="9"/>
      <c r="B168" s="9" t="s">
        <v>236</v>
      </c>
      <c r="C168" s="9"/>
      <c r="D168" s="9"/>
      <c r="F168" s="9" t="s">
        <v>53</v>
      </c>
      <c r="G168" s="9" t="s">
        <v>3921</v>
      </c>
    </row>
    <row r="169">
      <c r="A169" s="9"/>
      <c r="B169" s="9" t="s">
        <v>839</v>
      </c>
      <c r="C169" s="9"/>
      <c r="D169" s="9"/>
      <c r="F169" s="9" t="s">
        <v>53</v>
      </c>
      <c r="G169" s="9" t="s">
        <v>3921</v>
      </c>
    </row>
    <row r="170">
      <c r="A170" s="9"/>
      <c r="B170" s="9" t="s">
        <v>1111</v>
      </c>
      <c r="C170" s="9"/>
      <c r="D170" s="9"/>
      <c r="F170" s="9" t="s">
        <v>53</v>
      </c>
      <c r="G170" s="9" t="s">
        <v>3921</v>
      </c>
    </row>
    <row r="171">
      <c r="A171" s="9"/>
      <c r="B171" s="9" t="s">
        <v>841</v>
      </c>
      <c r="C171" s="9"/>
      <c r="D171" s="9"/>
      <c r="F171" s="9" t="s">
        <v>53</v>
      </c>
      <c r="G171" s="9" t="s">
        <v>3921</v>
      </c>
    </row>
    <row r="172">
      <c r="A172" s="9"/>
      <c r="B172" s="9" t="s">
        <v>250</v>
      </c>
      <c r="C172" s="9"/>
      <c r="D172" s="9"/>
      <c r="F172" s="9" t="s">
        <v>53</v>
      </c>
      <c r="G172" s="9" t="s">
        <v>3921</v>
      </c>
    </row>
    <row r="173">
      <c r="A173" s="9"/>
      <c r="B173" s="9" t="s">
        <v>54</v>
      </c>
      <c r="C173" s="9"/>
      <c r="D173" s="9"/>
      <c r="F173" s="9" t="s">
        <v>53</v>
      </c>
      <c r="G173" s="9" t="s">
        <v>3921</v>
      </c>
    </row>
    <row r="174">
      <c r="A174" s="9"/>
      <c r="B174" s="9" t="s">
        <v>242</v>
      </c>
      <c r="C174" s="9"/>
      <c r="D174" s="9"/>
      <c r="F174" s="9" t="s">
        <v>53</v>
      </c>
      <c r="G174" s="9" t="s">
        <v>3921</v>
      </c>
    </row>
    <row r="175">
      <c r="A175" s="9"/>
      <c r="B175" s="9" t="s">
        <v>192</v>
      </c>
      <c r="C175" s="9"/>
      <c r="D175" s="9"/>
      <c r="F175" s="9" t="s">
        <v>53</v>
      </c>
      <c r="G175" s="9" t="s">
        <v>3921</v>
      </c>
    </row>
    <row r="176">
      <c r="A176" s="9"/>
      <c r="B176" s="9" t="s">
        <v>1065</v>
      </c>
      <c r="C176" s="9"/>
      <c r="D176" s="9"/>
      <c r="F176" s="9" t="s">
        <v>53</v>
      </c>
      <c r="G176" s="9" t="s">
        <v>3921</v>
      </c>
    </row>
    <row r="177">
      <c r="A177" s="9"/>
      <c r="B177" s="9" t="s">
        <v>659</v>
      </c>
      <c r="F177" s="9" t="s">
        <v>3909</v>
      </c>
      <c r="G177" s="9" t="s">
        <v>3909</v>
      </c>
    </row>
    <row r="178">
      <c r="A178" s="9"/>
      <c r="B178" s="9" t="s">
        <v>630</v>
      </c>
      <c r="F178" s="9" t="s">
        <v>3909</v>
      </c>
      <c r="G178" s="9" t="s">
        <v>3909</v>
      </c>
    </row>
    <row r="179">
      <c r="A179" s="9"/>
      <c r="B179" s="9" t="s">
        <v>1219</v>
      </c>
      <c r="F179" s="9" t="s">
        <v>3909</v>
      </c>
      <c r="G179" s="9" t="s">
        <v>3909</v>
      </c>
    </row>
    <row r="180">
      <c r="A180" s="9"/>
      <c r="B180" s="9" t="s">
        <v>323</v>
      </c>
      <c r="F180" s="9" t="s">
        <v>3909</v>
      </c>
      <c r="G180" s="9" t="s">
        <v>3909</v>
      </c>
    </row>
    <row r="181">
      <c r="A181" s="9"/>
      <c r="B181" s="9" t="s">
        <v>551</v>
      </c>
      <c r="F181" s="9" t="s">
        <v>3909</v>
      </c>
      <c r="G181" s="9" t="s">
        <v>3909</v>
      </c>
    </row>
    <row r="182">
      <c r="A182" s="9"/>
      <c r="B182" s="9" t="s">
        <v>3923</v>
      </c>
      <c r="F182" s="9" t="s">
        <v>3909</v>
      </c>
      <c r="G182" s="9" t="s">
        <v>3909</v>
      </c>
    </row>
    <row r="183">
      <c r="A183" s="9"/>
      <c r="B183" s="9" t="s">
        <v>1569</v>
      </c>
      <c r="F183" s="9" t="s">
        <v>3909</v>
      </c>
      <c r="G183" s="9" t="s">
        <v>3909</v>
      </c>
    </row>
    <row r="184">
      <c r="A184" s="9"/>
      <c r="B184" s="9" t="s">
        <v>1524</v>
      </c>
      <c r="F184" s="9" t="s">
        <v>3909</v>
      </c>
      <c r="G184" s="9" t="s">
        <v>3909</v>
      </c>
    </row>
    <row r="185">
      <c r="A185" s="9"/>
      <c r="B185" s="9" t="s">
        <v>1516</v>
      </c>
      <c r="F185" s="9" t="s">
        <v>3909</v>
      </c>
      <c r="G185" s="9" t="s">
        <v>3909</v>
      </c>
    </row>
    <row r="186">
      <c r="A186" s="9"/>
      <c r="B186" s="9" t="s">
        <v>3540</v>
      </c>
      <c r="F186" s="9" t="s">
        <v>3909</v>
      </c>
      <c r="G186" s="9" t="s">
        <v>3909</v>
      </c>
    </row>
    <row r="187">
      <c r="A187" s="9"/>
      <c r="B187" s="9" t="s">
        <v>672</v>
      </c>
      <c r="F187" s="9" t="s">
        <v>3909</v>
      </c>
      <c r="G187" s="9" t="s">
        <v>3909</v>
      </c>
    </row>
    <row r="188">
      <c r="A188" s="9"/>
      <c r="B188" s="9" t="s">
        <v>1631</v>
      </c>
      <c r="F188" s="9" t="s">
        <v>3909</v>
      </c>
      <c r="G188" s="9" t="s">
        <v>3909</v>
      </c>
    </row>
    <row r="189">
      <c r="A189" s="9"/>
      <c r="B189" s="9" t="s">
        <v>1233</v>
      </c>
      <c r="F189" s="9" t="s">
        <v>3909</v>
      </c>
      <c r="G189" s="9" t="s">
        <v>3909</v>
      </c>
    </row>
    <row r="190">
      <c r="A190" s="9"/>
      <c r="B190" s="9" t="s">
        <v>1461</v>
      </c>
      <c r="F190" s="9" t="s">
        <v>3909</v>
      </c>
      <c r="G190" s="9" t="s">
        <v>3909</v>
      </c>
    </row>
    <row r="191">
      <c r="A191" s="9"/>
      <c r="B191" s="9" t="s">
        <v>18</v>
      </c>
      <c r="F191" s="9" t="s">
        <v>3909</v>
      </c>
      <c r="G191" s="9" t="s">
        <v>3909</v>
      </c>
    </row>
    <row r="192">
      <c r="A192" s="9"/>
      <c r="B192" s="9" t="s">
        <v>47</v>
      </c>
      <c r="F192" s="9" t="s">
        <v>3909</v>
      </c>
      <c r="G192" s="9" t="s">
        <v>3909</v>
      </c>
    </row>
    <row r="193">
      <c r="A193" s="9"/>
      <c r="B193" s="9" t="s">
        <v>46</v>
      </c>
      <c r="F193" s="9" t="s">
        <v>3909</v>
      </c>
      <c r="G193" s="9" t="s">
        <v>3909</v>
      </c>
    </row>
    <row r="194">
      <c r="A194" s="9"/>
      <c r="B194" s="9" t="s">
        <v>683</v>
      </c>
      <c r="F194" s="9" t="s">
        <v>3909</v>
      </c>
      <c r="G194" s="9" t="s">
        <v>3909</v>
      </c>
    </row>
    <row r="195">
      <c r="A195" s="9"/>
      <c r="B195" s="9" t="s">
        <v>826</v>
      </c>
      <c r="F195" s="9" t="s">
        <v>3909</v>
      </c>
      <c r="G195" s="9" t="s">
        <v>3909</v>
      </c>
    </row>
    <row r="196">
      <c r="A196" s="9"/>
      <c r="B196" s="9" t="s">
        <v>1116</v>
      </c>
      <c r="F196" s="9" t="s">
        <v>3909</v>
      </c>
      <c r="G196" s="9" t="s">
        <v>3909</v>
      </c>
    </row>
    <row r="197">
      <c r="A197" s="9"/>
      <c r="B197" s="9" t="s">
        <v>802</v>
      </c>
      <c r="F197" s="9" t="s">
        <v>3909</v>
      </c>
      <c r="G197" s="9" t="s">
        <v>3909</v>
      </c>
    </row>
    <row r="198">
      <c r="A198" s="9"/>
      <c r="B198" s="9" t="s">
        <v>1383</v>
      </c>
      <c r="F198" s="9" t="s">
        <v>3909</v>
      </c>
      <c r="G198" s="9" t="s">
        <v>3909</v>
      </c>
    </row>
    <row r="199">
      <c r="A199" s="9"/>
      <c r="B199" s="9" t="s">
        <v>1560</v>
      </c>
      <c r="F199" s="9" t="s">
        <v>3909</v>
      </c>
      <c r="G199" s="9" t="s">
        <v>3909</v>
      </c>
    </row>
    <row r="200">
      <c r="A200" s="9"/>
      <c r="B200" s="9" t="s">
        <v>1041</v>
      </c>
      <c r="F200" s="9" t="s">
        <v>3909</v>
      </c>
      <c r="G200" s="9" t="s">
        <v>3909</v>
      </c>
    </row>
    <row r="201">
      <c r="A201" s="9"/>
      <c r="B201" s="9" t="s">
        <v>1018</v>
      </c>
      <c r="F201" s="9" t="s">
        <v>3909</v>
      </c>
      <c r="G201" s="9" t="s">
        <v>3909</v>
      </c>
    </row>
    <row r="202">
      <c r="A202" s="9"/>
      <c r="B202" s="9" t="s">
        <v>406</v>
      </c>
      <c r="F202" s="9" t="s">
        <v>3909</v>
      </c>
      <c r="G202" s="9" t="s">
        <v>3909</v>
      </c>
    </row>
    <row r="203">
      <c r="A203" s="9"/>
      <c r="B203" s="9" t="s">
        <v>428</v>
      </c>
      <c r="F203" s="9" t="s">
        <v>3909</v>
      </c>
      <c r="G203" s="9" t="s">
        <v>3909</v>
      </c>
    </row>
    <row r="204">
      <c r="A204" s="9"/>
      <c r="B204" s="9" t="s">
        <v>3924</v>
      </c>
      <c r="F204" s="9" t="s">
        <v>3909</v>
      </c>
      <c r="G204" s="9" t="s">
        <v>3909</v>
      </c>
    </row>
    <row r="205">
      <c r="A205" s="9"/>
      <c r="B205" s="9" t="s">
        <v>1321</v>
      </c>
      <c r="F205" s="9" t="s">
        <v>3909</v>
      </c>
      <c r="G205" s="9" t="s">
        <v>3909</v>
      </c>
    </row>
    <row r="206">
      <c r="A206" s="9"/>
      <c r="B206" s="9" t="s">
        <v>3720</v>
      </c>
      <c r="F206" s="9" t="s">
        <v>3909</v>
      </c>
      <c r="G206" s="9" t="s">
        <v>3909</v>
      </c>
    </row>
    <row r="207">
      <c r="A207" s="9"/>
      <c r="B207" s="9" t="s">
        <v>361</v>
      </c>
      <c r="F207" s="9" t="s">
        <v>3909</v>
      </c>
      <c r="G207" s="9" t="s">
        <v>3909</v>
      </c>
    </row>
    <row r="208">
      <c r="A208" s="9"/>
      <c r="B208" s="9" t="s">
        <v>1666</v>
      </c>
      <c r="F208" s="9" t="s">
        <v>3909</v>
      </c>
      <c r="G208" s="9" t="s">
        <v>3909</v>
      </c>
    </row>
    <row r="209">
      <c r="A209" s="9"/>
      <c r="B209" s="9" t="s">
        <v>3925</v>
      </c>
      <c r="F209" s="9" t="s">
        <v>3909</v>
      </c>
      <c r="G209" s="9" t="s">
        <v>3909</v>
      </c>
    </row>
    <row r="210">
      <c r="A210" s="9"/>
      <c r="B210" s="9" t="s">
        <v>3734</v>
      </c>
      <c r="F210" s="9" t="s">
        <v>3909</v>
      </c>
      <c r="G210" s="9" t="s">
        <v>3909</v>
      </c>
    </row>
    <row r="211">
      <c r="F211" s="16"/>
      <c r="G211" s="16"/>
    </row>
    <row r="212">
      <c r="F212" s="16"/>
      <c r="G212" s="16"/>
    </row>
    <row r="213">
      <c r="F213" s="16"/>
      <c r="G213" s="16"/>
    </row>
    <row r="214">
      <c r="F214" s="16"/>
      <c r="G214" s="16"/>
    </row>
    <row r="215">
      <c r="F215" s="16"/>
      <c r="G215" s="16"/>
    </row>
    <row r="216">
      <c r="F216" s="16"/>
      <c r="G216" s="16"/>
    </row>
    <row r="217">
      <c r="F217" s="16"/>
      <c r="G217" s="16"/>
    </row>
    <row r="218">
      <c r="F218" s="16"/>
      <c r="G218" s="16"/>
    </row>
    <row r="219">
      <c r="F219" s="16"/>
      <c r="G219" s="16"/>
    </row>
    <row r="220">
      <c r="F220" s="16"/>
      <c r="G220" s="16"/>
    </row>
    <row r="221">
      <c r="F221" s="16"/>
      <c r="G221" s="16"/>
    </row>
    <row r="222">
      <c r="F222" s="16"/>
      <c r="G222" s="16"/>
    </row>
    <row r="223">
      <c r="F223" s="16"/>
      <c r="G223" s="16"/>
    </row>
    <row r="224">
      <c r="F224" s="16"/>
      <c r="G224" s="16"/>
    </row>
    <row r="225">
      <c r="F225" s="16"/>
      <c r="G225" s="16"/>
    </row>
    <row r="226">
      <c r="F226" s="16"/>
      <c r="G226" s="16"/>
    </row>
    <row r="227">
      <c r="F227" s="16"/>
      <c r="G227" s="16"/>
    </row>
    <row r="228">
      <c r="F228" s="16"/>
      <c r="G228" s="16"/>
    </row>
    <row r="229">
      <c r="F229" s="16"/>
      <c r="G229" s="16"/>
    </row>
    <row r="230">
      <c r="F230" s="16"/>
      <c r="G230" s="16"/>
    </row>
    <row r="231">
      <c r="F231" s="16"/>
      <c r="G231" s="16"/>
    </row>
    <row r="232">
      <c r="F232" s="16"/>
      <c r="G232" s="16"/>
    </row>
    <row r="233">
      <c r="F233" s="16"/>
      <c r="G233" s="16"/>
    </row>
    <row r="234">
      <c r="F234" s="16"/>
      <c r="G234" s="16"/>
    </row>
    <row r="235">
      <c r="F235" s="16"/>
      <c r="G235" s="16"/>
    </row>
    <row r="236">
      <c r="F236" s="16"/>
      <c r="G236" s="16"/>
    </row>
    <row r="237">
      <c r="F237" s="16"/>
      <c r="G237" s="16"/>
    </row>
    <row r="238">
      <c r="F238" s="16"/>
      <c r="G238" s="16"/>
    </row>
    <row r="239">
      <c r="F239" s="16"/>
      <c r="G239" s="16"/>
    </row>
    <row r="240">
      <c r="F240" s="16"/>
      <c r="G240" s="16"/>
    </row>
    <row r="241">
      <c r="F241" s="16"/>
      <c r="G241" s="16"/>
    </row>
    <row r="242">
      <c r="F242" s="16"/>
      <c r="G242" s="16"/>
    </row>
    <row r="243">
      <c r="F243" s="16"/>
      <c r="G243" s="16"/>
    </row>
    <row r="244">
      <c r="F244" s="16"/>
      <c r="G244" s="16"/>
    </row>
    <row r="245">
      <c r="F245" s="16"/>
      <c r="G245" s="16"/>
    </row>
    <row r="246">
      <c r="F246" s="16"/>
      <c r="G246" s="16"/>
    </row>
    <row r="247">
      <c r="F247" s="16"/>
      <c r="G247" s="16"/>
    </row>
    <row r="248">
      <c r="F248" s="16"/>
      <c r="G248" s="16"/>
    </row>
    <row r="249">
      <c r="F249" s="16"/>
      <c r="G249" s="16"/>
    </row>
    <row r="250">
      <c r="F250" s="16"/>
      <c r="G250" s="16"/>
    </row>
    <row r="251">
      <c r="F251" s="16"/>
      <c r="G251" s="16"/>
    </row>
    <row r="252">
      <c r="F252" s="16"/>
      <c r="G252" s="16"/>
    </row>
    <row r="253">
      <c r="F253" s="16"/>
      <c r="G253" s="16"/>
    </row>
    <row r="254">
      <c r="F254" s="16"/>
      <c r="G254" s="16"/>
    </row>
    <row r="255">
      <c r="F255" s="16"/>
      <c r="G255" s="16"/>
    </row>
    <row r="256">
      <c r="F256" s="16"/>
      <c r="G256" s="16"/>
    </row>
    <row r="257">
      <c r="F257" s="16"/>
      <c r="G257" s="16"/>
    </row>
    <row r="258">
      <c r="F258" s="16"/>
      <c r="G258" s="16"/>
    </row>
    <row r="259">
      <c r="F259" s="16"/>
      <c r="G259" s="16"/>
    </row>
    <row r="260">
      <c r="F260" s="16"/>
      <c r="G260" s="16"/>
    </row>
    <row r="261">
      <c r="F261" s="16"/>
      <c r="G261" s="16"/>
    </row>
    <row r="262">
      <c r="F262" s="16"/>
      <c r="G262" s="16"/>
    </row>
    <row r="263">
      <c r="F263" s="16"/>
      <c r="G263" s="16"/>
    </row>
    <row r="264">
      <c r="F264" s="16"/>
      <c r="G264" s="16"/>
    </row>
    <row r="265">
      <c r="F265" s="16"/>
      <c r="G265" s="16"/>
    </row>
    <row r="266">
      <c r="F266" s="16"/>
      <c r="G266" s="16"/>
    </row>
    <row r="267">
      <c r="F267" s="16"/>
      <c r="G267" s="16"/>
    </row>
    <row r="268">
      <c r="F268" s="16"/>
      <c r="G268" s="16"/>
    </row>
    <row r="269">
      <c r="F269" s="16"/>
      <c r="G269" s="16"/>
    </row>
    <row r="270">
      <c r="F270" s="16"/>
      <c r="G270" s="16"/>
    </row>
    <row r="271">
      <c r="F271" s="16"/>
      <c r="G271" s="16"/>
    </row>
    <row r="272">
      <c r="F272" s="16"/>
      <c r="G272" s="16"/>
    </row>
    <row r="273">
      <c r="F273" s="16"/>
      <c r="G273" s="16"/>
    </row>
    <row r="274">
      <c r="F274" s="16"/>
      <c r="G274" s="16"/>
    </row>
    <row r="275">
      <c r="F275" s="16"/>
      <c r="G275" s="16"/>
    </row>
    <row r="276">
      <c r="F276" s="16"/>
      <c r="G276" s="16"/>
    </row>
    <row r="277">
      <c r="F277" s="16"/>
      <c r="G277" s="16"/>
    </row>
    <row r="278">
      <c r="F278" s="16"/>
      <c r="G278" s="16"/>
    </row>
    <row r="279">
      <c r="F279" s="16"/>
      <c r="G279" s="16"/>
    </row>
    <row r="280">
      <c r="F280" s="16"/>
      <c r="G280" s="16"/>
    </row>
    <row r="281">
      <c r="F281" s="16"/>
      <c r="G281" s="16"/>
    </row>
    <row r="282">
      <c r="F282" s="16"/>
      <c r="G282" s="16"/>
    </row>
    <row r="283">
      <c r="F283" s="16"/>
      <c r="G283" s="16"/>
    </row>
    <row r="284">
      <c r="F284" s="16"/>
      <c r="G284" s="16"/>
    </row>
    <row r="285">
      <c r="F285" s="16"/>
      <c r="G285" s="16"/>
    </row>
    <row r="286">
      <c r="F286" s="16"/>
      <c r="G286" s="16"/>
    </row>
    <row r="287">
      <c r="F287" s="16"/>
      <c r="G287" s="16"/>
    </row>
    <row r="288">
      <c r="F288" s="16"/>
      <c r="G288" s="16"/>
    </row>
    <row r="289">
      <c r="F289" s="16"/>
      <c r="G289" s="16"/>
    </row>
    <row r="290">
      <c r="F290" s="16"/>
      <c r="G290" s="16"/>
    </row>
    <row r="291">
      <c r="F291" s="16"/>
      <c r="G291" s="16"/>
    </row>
    <row r="292">
      <c r="F292" s="16"/>
      <c r="G292" s="16"/>
    </row>
    <row r="293">
      <c r="F293" s="16"/>
      <c r="G293" s="16"/>
    </row>
    <row r="294">
      <c r="F294" s="16"/>
      <c r="G294" s="16"/>
    </row>
    <row r="295">
      <c r="F295" s="16"/>
      <c r="G295" s="16"/>
    </row>
    <row r="296">
      <c r="F296" s="16"/>
      <c r="G296" s="16"/>
    </row>
    <row r="297">
      <c r="F297" s="16"/>
      <c r="G297" s="16"/>
    </row>
    <row r="298">
      <c r="F298" s="16"/>
      <c r="G298" s="16"/>
    </row>
    <row r="299">
      <c r="F299" s="16"/>
      <c r="G299" s="16"/>
    </row>
    <row r="300">
      <c r="F300" s="16"/>
      <c r="G300" s="16"/>
    </row>
    <row r="301">
      <c r="F301" s="16"/>
      <c r="G301" s="16"/>
    </row>
    <row r="302">
      <c r="F302" s="16"/>
      <c r="G302" s="16"/>
    </row>
    <row r="303">
      <c r="F303" s="16"/>
      <c r="G303" s="16"/>
    </row>
    <row r="304">
      <c r="F304" s="16"/>
      <c r="G304" s="16"/>
    </row>
    <row r="305">
      <c r="F305" s="16"/>
      <c r="G305" s="16"/>
    </row>
    <row r="306">
      <c r="F306" s="16"/>
      <c r="G306" s="16"/>
    </row>
    <row r="307">
      <c r="F307" s="16"/>
      <c r="G307" s="16"/>
    </row>
    <row r="308">
      <c r="F308" s="16"/>
      <c r="G308" s="16"/>
    </row>
    <row r="309">
      <c r="F309" s="16"/>
      <c r="G309" s="16"/>
    </row>
    <row r="310">
      <c r="F310" s="16"/>
      <c r="G310" s="16"/>
    </row>
    <row r="311">
      <c r="F311" s="16"/>
      <c r="G311" s="16"/>
    </row>
    <row r="312">
      <c r="F312" s="16"/>
      <c r="G312" s="16"/>
    </row>
    <row r="313">
      <c r="F313" s="16"/>
      <c r="G313" s="16"/>
    </row>
    <row r="314">
      <c r="F314" s="16"/>
      <c r="G314" s="16"/>
    </row>
    <row r="315">
      <c r="F315" s="16"/>
      <c r="G315" s="16"/>
    </row>
    <row r="316">
      <c r="F316" s="16"/>
      <c r="G316" s="16"/>
    </row>
    <row r="317">
      <c r="F317" s="16"/>
      <c r="G317" s="16"/>
    </row>
    <row r="318">
      <c r="F318" s="16"/>
      <c r="G318" s="16"/>
    </row>
    <row r="319">
      <c r="F319" s="16"/>
      <c r="G319" s="16"/>
    </row>
    <row r="320">
      <c r="F320" s="16"/>
      <c r="G320" s="16"/>
    </row>
    <row r="321">
      <c r="F321" s="16"/>
      <c r="G321" s="16"/>
    </row>
    <row r="322">
      <c r="F322" s="16"/>
      <c r="G322" s="16"/>
    </row>
    <row r="323">
      <c r="F323" s="16"/>
      <c r="G323" s="16"/>
    </row>
    <row r="324">
      <c r="F324" s="16"/>
      <c r="G324" s="16"/>
    </row>
    <row r="325">
      <c r="F325" s="16"/>
      <c r="G325" s="16"/>
    </row>
    <row r="326">
      <c r="F326" s="16"/>
      <c r="G326" s="16"/>
    </row>
    <row r="327">
      <c r="F327" s="16"/>
      <c r="G327" s="16"/>
    </row>
    <row r="328">
      <c r="F328" s="16"/>
      <c r="G328" s="16"/>
    </row>
    <row r="329">
      <c r="F329" s="16"/>
      <c r="G329" s="16"/>
    </row>
    <row r="330">
      <c r="F330" s="16"/>
      <c r="G330" s="16"/>
    </row>
    <row r="331">
      <c r="F331" s="16"/>
      <c r="G331" s="16"/>
    </row>
    <row r="332">
      <c r="F332" s="16"/>
      <c r="G332" s="16"/>
    </row>
    <row r="333">
      <c r="F333" s="16"/>
      <c r="G333" s="16"/>
    </row>
    <row r="334">
      <c r="F334" s="16"/>
      <c r="G334" s="16"/>
    </row>
    <row r="335">
      <c r="F335" s="16"/>
      <c r="G335" s="16"/>
    </row>
    <row r="336">
      <c r="F336" s="16"/>
      <c r="G336" s="16"/>
    </row>
    <row r="337">
      <c r="F337" s="16"/>
      <c r="G337" s="16"/>
    </row>
    <row r="338">
      <c r="F338" s="16"/>
      <c r="G338" s="16"/>
    </row>
    <row r="339">
      <c r="F339" s="16"/>
      <c r="G339" s="16"/>
    </row>
    <row r="340">
      <c r="F340" s="16"/>
      <c r="G340" s="16"/>
    </row>
    <row r="341">
      <c r="F341" s="16"/>
      <c r="G341" s="16"/>
    </row>
    <row r="342">
      <c r="F342" s="16"/>
      <c r="G342" s="16"/>
    </row>
    <row r="343">
      <c r="F343" s="16"/>
      <c r="G343" s="16"/>
    </row>
    <row r="344">
      <c r="F344" s="16"/>
      <c r="G344" s="16"/>
    </row>
    <row r="345">
      <c r="F345" s="16"/>
      <c r="G345" s="16"/>
    </row>
    <row r="346">
      <c r="F346" s="16"/>
      <c r="G346" s="16"/>
    </row>
    <row r="347">
      <c r="F347" s="16"/>
      <c r="G347" s="16"/>
    </row>
    <row r="348">
      <c r="F348" s="16"/>
      <c r="G348" s="16"/>
    </row>
    <row r="349">
      <c r="F349" s="16"/>
      <c r="G349" s="16"/>
    </row>
    <row r="350">
      <c r="F350" s="16"/>
      <c r="G350" s="16"/>
    </row>
    <row r="351">
      <c r="F351" s="16"/>
      <c r="G351" s="16"/>
    </row>
    <row r="352">
      <c r="F352" s="16"/>
      <c r="G352" s="16"/>
    </row>
    <row r="353">
      <c r="F353" s="16"/>
      <c r="G353" s="16"/>
    </row>
    <row r="354">
      <c r="F354" s="16"/>
      <c r="G354" s="16"/>
    </row>
    <row r="355">
      <c r="F355" s="16"/>
      <c r="G355" s="16"/>
    </row>
    <row r="356">
      <c r="F356" s="16"/>
      <c r="G356" s="16"/>
    </row>
    <row r="357">
      <c r="F357" s="16"/>
      <c r="G357" s="16"/>
    </row>
    <row r="358">
      <c r="F358" s="16"/>
      <c r="G358" s="16"/>
    </row>
    <row r="359">
      <c r="F359" s="16"/>
      <c r="G359" s="16"/>
    </row>
    <row r="360">
      <c r="F360" s="16"/>
      <c r="G360" s="16"/>
    </row>
    <row r="361">
      <c r="F361" s="16"/>
      <c r="G361" s="16"/>
    </row>
    <row r="362">
      <c r="F362" s="16"/>
      <c r="G362" s="16"/>
    </row>
    <row r="363">
      <c r="F363" s="16"/>
      <c r="G363" s="16"/>
    </row>
    <row r="364">
      <c r="F364" s="16"/>
      <c r="G364" s="16"/>
    </row>
    <row r="365">
      <c r="F365" s="16"/>
      <c r="G365" s="16"/>
    </row>
    <row r="366">
      <c r="F366" s="16"/>
      <c r="G366" s="16"/>
    </row>
    <row r="367">
      <c r="F367" s="16"/>
      <c r="G367" s="16"/>
    </row>
    <row r="368">
      <c r="F368" s="16"/>
      <c r="G368" s="16"/>
    </row>
    <row r="369">
      <c r="F369" s="16"/>
      <c r="G369" s="16"/>
    </row>
    <row r="370">
      <c r="F370" s="16"/>
      <c r="G370" s="16"/>
    </row>
    <row r="371">
      <c r="F371" s="16"/>
      <c r="G371" s="16"/>
    </row>
    <row r="372">
      <c r="F372" s="16"/>
      <c r="G372" s="16"/>
    </row>
    <row r="373">
      <c r="F373" s="16"/>
      <c r="G373" s="16"/>
    </row>
    <row r="374">
      <c r="F374" s="16"/>
      <c r="G374" s="16"/>
    </row>
    <row r="375">
      <c r="F375" s="16"/>
      <c r="G375" s="16"/>
    </row>
    <row r="376">
      <c r="F376" s="16"/>
      <c r="G376" s="16"/>
    </row>
    <row r="377">
      <c r="F377" s="16"/>
      <c r="G377" s="16"/>
    </row>
    <row r="378">
      <c r="F378" s="16"/>
      <c r="G378" s="16"/>
    </row>
    <row r="379">
      <c r="F379" s="16"/>
      <c r="G379" s="16"/>
    </row>
    <row r="380">
      <c r="F380" s="16"/>
      <c r="G380" s="16"/>
    </row>
    <row r="381">
      <c r="F381" s="16"/>
      <c r="G381" s="16"/>
    </row>
    <row r="382">
      <c r="F382" s="16"/>
      <c r="G382" s="16"/>
    </row>
    <row r="383">
      <c r="F383" s="16"/>
      <c r="G383" s="16"/>
    </row>
    <row r="384">
      <c r="F384" s="16"/>
      <c r="G384" s="16"/>
    </row>
    <row r="385">
      <c r="F385" s="16"/>
      <c r="G385" s="16"/>
    </row>
    <row r="386">
      <c r="F386" s="16"/>
      <c r="G386" s="16"/>
    </row>
    <row r="387">
      <c r="F387" s="16"/>
      <c r="G387" s="16"/>
    </row>
    <row r="388">
      <c r="F388" s="16"/>
      <c r="G388" s="16"/>
    </row>
    <row r="389">
      <c r="F389" s="16"/>
      <c r="G389" s="16"/>
    </row>
    <row r="390">
      <c r="F390" s="16"/>
      <c r="G390" s="16"/>
    </row>
    <row r="391">
      <c r="F391" s="16"/>
      <c r="G391" s="16"/>
    </row>
    <row r="392">
      <c r="F392" s="16"/>
      <c r="G392" s="16"/>
    </row>
    <row r="393">
      <c r="F393" s="16"/>
      <c r="G393" s="16"/>
    </row>
    <row r="394">
      <c r="F394" s="16"/>
      <c r="G394" s="16"/>
    </row>
    <row r="395">
      <c r="F395" s="16"/>
      <c r="G395" s="16"/>
    </row>
    <row r="396">
      <c r="F396" s="16"/>
      <c r="G396" s="16"/>
    </row>
    <row r="397">
      <c r="F397" s="16"/>
      <c r="G397" s="16"/>
    </row>
    <row r="398">
      <c r="F398" s="16"/>
      <c r="G398" s="16"/>
    </row>
    <row r="399">
      <c r="F399" s="16"/>
      <c r="G399" s="16"/>
    </row>
    <row r="400">
      <c r="F400" s="16"/>
      <c r="G400" s="16"/>
    </row>
    <row r="401">
      <c r="F401" s="16"/>
      <c r="G401" s="16"/>
    </row>
    <row r="402">
      <c r="F402" s="16"/>
      <c r="G402" s="16"/>
    </row>
    <row r="403">
      <c r="F403" s="16"/>
      <c r="G403" s="16"/>
    </row>
    <row r="404">
      <c r="F404" s="16"/>
      <c r="G404" s="16"/>
    </row>
    <row r="405">
      <c r="F405" s="16"/>
      <c r="G405" s="16"/>
    </row>
    <row r="406">
      <c r="F406" s="16"/>
      <c r="G406" s="16"/>
    </row>
    <row r="407">
      <c r="F407" s="16"/>
      <c r="G407" s="16"/>
    </row>
    <row r="408">
      <c r="F408" s="16"/>
      <c r="G408" s="16"/>
    </row>
    <row r="409">
      <c r="F409" s="16"/>
      <c r="G409" s="16"/>
    </row>
    <row r="410">
      <c r="F410" s="16"/>
      <c r="G410" s="16"/>
    </row>
    <row r="411">
      <c r="F411" s="16"/>
      <c r="G411" s="16"/>
    </row>
    <row r="412">
      <c r="F412" s="16"/>
      <c r="G412" s="16"/>
    </row>
    <row r="413">
      <c r="F413" s="16"/>
      <c r="G413" s="16"/>
    </row>
    <row r="414">
      <c r="F414" s="16"/>
      <c r="G414" s="16"/>
    </row>
    <row r="415">
      <c r="F415" s="16"/>
      <c r="G415" s="16"/>
    </row>
    <row r="416">
      <c r="F416" s="16"/>
      <c r="G416" s="16"/>
    </row>
    <row r="417">
      <c r="F417" s="16"/>
      <c r="G417" s="16"/>
    </row>
    <row r="418">
      <c r="F418" s="16"/>
      <c r="G418" s="16"/>
    </row>
    <row r="419">
      <c r="F419" s="16"/>
      <c r="G419" s="16"/>
    </row>
    <row r="420">
      <c r="F420" s="16"/>
      <c r="G420" s="16"/>
    </row>
    <row r="421">
      <c r="F421" s="16"/>
      <c r="G421" s="16"/>
    </row>
    <row r="422">
      <c r="F422" s="16"/>
      <c r="G422" s="16"/>
    </row>
    <row r="423">
      <c r="F423" s="16"/>
      <c r="G423" s="16"/>
    </row>
    <row r="424">
      <c r="F424" s="16"/>
      <c r="G424" s="16"/>
    </row>
    <row r="425">
      <c r="F425" s="16"/>
      <c r="G425" s="16"/>
    </row>
    <row r="426">
      <c r="F426" s="16"/>
      <c r="G426" s="16"/>
    </row>
    <row r="427">
      <c r="F427" s="16"/>
      <c r="G427" s="16"/>
    </row>
    <row r="428">
      <c r="F428" s="16"/>
      <c r="G428" s="16"/>
    </row>
    <row r="429">
      <c r="F429" s="16"/>
      <c r="G429" s="16"/>
    </row>
    <row r="430">
      <c r="F430" s="16"/>
      <c r="G430" s="16"/>
    </row>
    <row r="431">
      <c r="F431" s="16"/>
      <c r="G431" s="16"/>
    </row>
    <row r="432">
      <c r="F432" s="16"/>
      <c r="G432" s="16"/>
    </row>
    <row r="433">
      <c r="F433" s="16"/>
      <c r="G433" s="16"/>
    </row>
    <row r="434">
      <c r="F434" s="16"/>
      <c r="G434" s="16"/>
    </row>
    <row r="435">
      <c r="F435" s="16"/>
      <c r="G435" s="16"/>
    </row>
    <row r="436">
      <c r="F436" s="16"/>
      <c r="G436" s="16"/>
    </row>
    <row r="437">
      <c r="F437" s="16"/>
      <c r="G437" s="16"/>
    </row>
    <row r="438">
      <c r="F438" s="16"/>
      <c r="G438" s="16"/>
    </row>
    <row r="439">
      <c r="F439" s="16"/>
      <c r="G439" s="16"/>
    </row>
    <row r="440">
      <c r="F440" s="16"/>
      <c r="G440" s="16"/>
    </row>
    <row r="441">
      <c r="F441" s="16"/>
      <c r="G441" s="16"/>
    </row>
    <row r="442">
      <c r="F442" s="16"/>
      <c r="G442" s="16"/>
    </row>
    <row r="443">
      <c r="F443" s="16"/>
      <c r="G443" s="16"/>
    </row>
    <row r="444">
      <c r="F444" s="16"/>
      <c r="G444" s="16"/>
    </row>
    <row r="445">
      <c r="F445" s="16"/>
      <c r="G445" s="16"/>
    </row>
    <row r="446">
      <c r="F446" s="16"/>
      <c r="G446" s="16"/>
    </row>
    <row r="447">
      <c r="F447" s="16"/>
      <c r="G447" s="16"/>
    </row>
    <row r="448">
      <c r="F448" s="16"/>
      <c r="G448" s="16"/>
    </row>
    <row r="449">
      <c r="F449" s="16"/>
      <c r="G449" s="16"/>
    </row>
    <row r="450">
      <c r="F450" s="16"/>
      <c r="G450" s="16"/>
    </row>
    <row r="451">
      <c r="F451" s="16"/>
      <c r="G451" s="16"/>
    </row>
    <row r="452">
      <c r="F452" s="16"/>
      <c r="G452" s="16"/>
    </row>
    <row r="453">
      <c r="F453" s="16"/>
      <c r="G453" s="16"/>
    </row>
    <row r="454">
      <c r="F454" s="16"/>
      <c r="G454" s="16"/>
    </row>
    <row r="455">
      <c r="F455" s="16"/>
      <c r="G455" s="16"/>
    </row>
    <row r="456">
      <c r="F456" s="16"/>
      <c r="G456" s="16"/>
    </row>
    <row r="457">
      <c r="F457" s="16"/>
      <c r="G457" s="16"/>
    </row>
    <row r="458">
      <c r="F458" s="16"/>
      <c r="G458" s="16"/>
    </row>
    <row r="459">
      <c r="F459" s="16"/>
      <c r="G459" s="16"/>
    </row>
    <row r="460">
      <c r="F460" s="16"/>
      <c r="G460" s="16"/>
    </row>
    <row r="461">
      <c r="F461" s="16"/>
      <c r="G461" s="16"/>
    </row>
    <row r="462">
      <c r="F462" s="16"/>
      <c r="G462" s="16"/>
    </row>
    <row r="463">
      <c r="F463" s="16"/>
      <c r="G463" s="16"/>
    </row>
    <row r="464">
      <c r="F464" s="16"/>
      <c r="G464" s="16"/>
    </row>
    <row r="465">
      <c r="F465" s="16"/>
      <c r="G465" s="16"/>
    </row>
    <row r="466">
      <c r="F466" s="16"/>
      <c r="G466" s="16"/>
    </row>
    <row r="467">
      <c r="F467" s="16"/>
      <c r="G467" s="16"/>
    </row>
    <row r="468">
      <c r="F468" s="16"/>
      <c r="G468" s="16"/>
    </row>
    <row r="469">
      <c r="F469" s="16"/>
      <c r="G469" s="16"/>
    </row>
    <row r="470">
      <c r="F470" s="16"/>
      <c r="G470" s="16"/>
    </row>
    <row r="471">
      <c r="F471" s="16"/>
      <c r="G471" s="16"/>
    </row>
    <row r="472">
      <c r="F472" s="16"/>
      <c r="G472" s="16"/>
    </row>
    <row r="473">
      <c r="F473" s="16"/>
      <c r="G473" s="16"/>
    </row>
    <row r="474">
      <c r="F474" s="16"/>
      <c r="G474" s="16"/>
    </row>
    <row r="475">
      <c r="F475" s="16"/>
      <c r="G475" s="16"/>
    </row>
    <row r="476">
      <c r="F476" s="16"/>
      <c r="G476" s="16"/>
    </row>
    <row r="477">
      <c r="F477" s="16"/>
      <c r="G477" s="16"/>
    </row>
    <row r="478">
      <c r="F478" s="16"/>
      <c r="G478" s="16"/>
    </row>
    <row r="479">
      <c r="F479" s="16"/>
      <c r="G479" s="16"/>
    </row>
    <row r="480">
      <c r="F480" s="16"/>
      <c r="G480" s="16"/>
    </row>
    <row r="481">
      <c r="F481" s="16"/>
      <c r="G481" s="16"/>
    </row>
    <row r="482">
      <c r="F482" s="16"/>
      <c r="G482" s="16"/>
    </row>
    <row r="483">
      <c r="F483" s="16"/>
      <c r="G483" s="16"/>
    </row>
    <row r="484">
      <c r="F484" s="16"/>
      <c r="G484" s="16"/>
    </row>
    <row r="485">
      <c r="F485" s="16"/>
      <c r="G485" s="16"/>
    </row>
    <row r="486">
      <c r="F486" s="16"/>
      <c r="G486" s="16"/>
    </row>
    <row r="487">
      <c r="F487" s="16"/>
      <c r="G487" s="16"/>
    </row>
    <row r="488">
      <c r="F488" s="16"/>
      <c r="G488" s="16"/>
    </row>
    <row r="489">
      <c r="F489" s="16"/>
      <c r="G489" s="16"/>
    </row>
    <row r="490">
      <c r="F490" s="16"/>
      <c r="G490" s="16"/>
    </row>
    <row r="491">
      <c r="F491" s="16"/>
      <c r="G491" s="16"/>
    </row>
    <row r="492">
      <c r="F492" s="16"/>
      <c r="G492" s="16"/>
    </row>
    <row r="493">
      <c r="F493" s="16"/>
      <c r="G493" s="16"/>
    </row>
    <row r="494">
      <c r="F494" s="16"/>
      <c r="G494" s="16"/>
    </row>
    <row r="495">
      <c r="F495" s="16"/>
      <c r="G495" s="16"/>
    </row>
    <row r="496">
      <c r="F496" s="16"/>
      <c r="G496" s="16"/>
    </row>
    <row r="497">
      <c r="F497" s="16"/>
      <c r="G497" s="16"/>
    </row>
    <row r="498">
      <c r="F498" s="16"/>
      <c r="G498" s="16"/>
    </row>
    <row r="499">
      <c r="F499" s="16"/>
      <c r="G499" s="16"/>
    </row>
    <row r="500">
      <c r="F500" s="16"/>
      <c r="G500" s="16"/>
    </row>
    <row r="501">
      <c r="F501" s="16"/>
      <c r="G501" s="16"/>
    </row>
    <row r="502">
      <c r="F502" s="16"/>
      <c r="G502" s="16"/>
    </row>
    <row r="503">
      <c r="F503" s="16"/>
      <c r="G503" s="16"/>
    </row>
    <row r="504">
      <c r="F504" s="16"/>
      <c r="G504" s="16"/>
    </row>
    <row r="505">
      <c r="F505" s="16"/>
      <c r="G505" s="16"/>
    </row>
    <row r="506">
      <c r="F506" s="16"/>
      <c r="G506" s="16"/>
    </row>
    <row r="507">
      <c r="F507" s="16"/>
      <c r="G507" s="16"/>
    </row>
    <row r="508">
      <c r="F508" s="16"/>
      <c r="G508" s="16"/>
    </row>
    <row r="509">
      <c r="F509" s="16"/>
      <c r="G509" s="16"/>
    </row>
    <row r="510">
      <c r="F510" s="16"/>
      <c r="G510" s="16"/>
    </row>
    <row r="511">
      <c r="F511" s="16"/>
      <c r="G511" s="16"/>
    </row>
    <row r="512">
      <c r="F512" s="16"/>
      <c r="G512" s="16"/>
    </row>
    <row r="513">
      <c r="F513" s="16"/>
      <c r="G513" s="16"/>
    </row>
    <row r="514">
      <c r="F514" s="16"/>
      <c r="G514" s="16"/>
    </row>
    <row r="515">
      <c r="F515" s="16"/>
      <c r="G515" s="16"/>
    </row>
    <row r="516">
      <c r="F516" s="16"/>
      <c r="G516" s="16"/>
    </row>
    <row r="517">
      <c r="F517" s="16"/>
      <c r="G517" s="16"/>
    </row>
    <row r="518">
      <c r="F518" s="16"/>
      <c r="G518" s="16"/>
    </row>
    <row r="519">
      <c r="F519" s="16"/>
      <c r="G519" s="16"/>
    </row>
    <row r="520">
      <c r="F520" s="16"/>
      <c r="G520" s="16"/>
    </row>
    <row r="521">
      <c r="F521" s="16"/>
      <c r="G521" s="16"/>
    </row>
    <row r="522">
      <c r="F522" s="16"/>
      <c r="G522" s="16"/>
    </row>
    <row r="523">
      <c r="F523" s="16"/>
      <c r="G523" s="16"/>
    </row>
    <row r="524">
      <c r="F524" s="16"/>
      <c r="G524" s="16"/>
    </row>
    <row r="525">
      <c r="F525" s="16"/>
      <c r="G525" s="16"/>
    </row>
    <row r="526">
      <c r="F526" s="16"/>
      <c r="G526" s="16"/>
    </row>
    <row r="527">
      <c r="F527" s="16"/>
      <c r="G527" s="16"/>
    </row>
    <row r="528">
      <c r="F528" s="16"/>
      <c r="G528" s="16"/>
    </row>
    <row r="529">
      <c r="F529" s="16"/>
      <c r="G529" s="16"/>
    </row>
    <row r="530">
      <c r="F530" s="16"/>
      <c r="G530" s="16"/>
    </row>
    <row r="531">
      <c r="F531" s="16"/>
      <c r="G531" s="16"/>
    </row>
    <row r="532">
      <c r="F532" s="16"/>
      <c r="G532" s="16"/>
    </row>
    <row r="533">
      <c r="F533" s="16"/>
      <c r="G533" s="16"/>
    </row>
    <row r="534">
      <c r="F534" s="16"/>
      <c r="G534" s="16"/>
    </row>
    <row r="535">
      <c r="F535" s="16"/>
      <c r="G535" s="16"/>
    </row>
    <row r="536">
      <c r="F536" s="16"/>
      <c r="G536" s="16"/>
    </row>
    <row r="537">
      <c r="F537" s="16"/>
      <c r="G537" s="16"/>
    </row>
    <row r="538">
      <c r="F538" s="16"/>
      <c r="G538" s="16"/>
    </row>
    <row r="539">
      <c r="F539" s="16"/>
      <c r="G539" s="16"/>
    </row>
    <row r="540">
      <c r="F540" s="16"/>
      <c r="G540" s="16"/>
    </row>
    <row r="541">
      <c r="F541" s="16"/>
      <c r="G541" s="16"/>
    </row>
    <row r="542">
      <c r="F542" s="16"/>
      <c r="G542" s="16"/>
    </row>
    <row r="543">
      <c r="F543" s="16"/>
      <c r="G543" s="16"/>
    </row>
    <row r="544">
      <c r="F544" s="16"/>
      <c r="G544" s="16"/>
    </row>
    <row r="545">
      <c r="F545" s="16"/>
      <c r="G545" s="16"/>
    </row>
    <row r="546">
      <c r="F546" s="16"/>
      <c r="G546" s="16"/>
    </row>
    <row r="547">
      <c r="F547" s="16"/>
      <c r="G547" s="16"/>
    </row>
    <row r="548">
      <c r="F548" s="16"/>
      <c r="G548" s="16"/>
    </row>
    <row r="549">
      <c r="F549" s="16"/>
      <c r="G549" s="16"/>
    </row>
    <row r="550">
      <c r="F550" s="16"/>
      <c r="G550" s="16"/>
    </row>
    <row r="551">
      <c r="F551" s="16"/>
      <c r="G551" s="16"/>
    </row>
    <row r="552">
      <c r="F552" s="16"/>
      <c r="G552" s="16"/>
    </row>
    <row r="553">
      <c r="F553" s="16"/>
      <c r="G553" s="16"/>
    </row>
    <row r="554">
      <c r="F554" s="16"/>
      <c r="G554" s="16"/>
    </row>
    <row r="555">
      <c r="F555" s="16"/>
      <c r="G555" s="16"/>
    </row>
    <row r="556">
      <c r="F556" s="16"/>
      <c r="G556" s="16"/>
    </row>
    <row r="557">
      <c r="F557" s="16"/>
      <c r="G557" s="16"/>
    </row>
    <row r="558">
      <c r="F558" s="16"/>
      <c r="G558" s="16"/>
    </row>
    <row r="559">
      <c r="F559" s="16"/>
      <c r="G559" s="16"/>
    </row>
    <row r="560">
      <c r="F560" s="16"/>
      <c r="G560" s="16"/>
    </row>
    <row r="561">
      <c r="F561" s="16"/>
      <c r="G561" s="16"/>
    </row>
    <row r="562">
      <c r="F562" s="16"/>
      <c r="G562" s="16"/>
    </row>
    <row r="563">
      <c r="F563" s="16"/>
      <c r="G563" s="16"/>
    </row>
    <row r="564">
      <c r="F564" s="16"/>
      <c r="G564" s="16"/>
    </row>
    <row r="565">
      <c r="F565" s="16"/>
      <c r="G565" s="16"/>
    </row>
    <row r="566">
      <c r="F566" s="16"/>
      <c r="G566" s="16"/>
    </row>
    <row r="567">
      <c r="F567" s="16"/>
      <c r="G567" s="16"/>
    </row>
    <row r="568">
      <c r="F568" s="16"/>
      <c r="G568" s="16"/>
    </row>
    <row r="569">
      <c r="F569" s="16"/>
      <c r="G569" s="16"/>
    </row>
    <row r="570">
      <c r="F570" s="16"/>
      <c r="G570" s="16"/>
    </row>
    <row r="571">
      <c r="F571" s="16"/>
      <c r="G571" s="16"/>
    </row>
    <row r="572">
      <c r="F572" s="16"/>
      <c r="G572" s="16"/>
    </row>
    <row r="573">
      <c r="F573" s="16"/>
      <c r="G573" s="16"/>
    </row>
    <row r="574">
      <c r="F574" s="16"/>
      <c r="G574" s="16"/>
    </row>
    <row r="575">
      <c r="F575" s="16"/>
      <c r="G575" s="16"/>
    </row>
    <row r="576">
      <c r="F576" s="16"/>
      <c r="G576" s="16"/>
    </row>
    <row r="577">
      <c r="F577" s="16"/>
      <c r="G577" s="16"/>
    </row>
    <row r="578">
      <c r="F578" s="16"/>
      <c r="G578" s="16"/>
    </row>
    <row r="579">
      <c r="F579" s="16"/>
      <c r="G579" s="16"/>
    </row>
    <row r="580">
      <c r="F580" s="16"/>
      <c r="G580" s="16"/>
    </row>
    <row r="581">
      <c r="F581" s="16"/>
      <c r="G581" s="16"/>
    </row>
    <row r="582">
      <c r="F582" s="16"/>
      <c r="G582" s="16"/>
    </row>
    <row r="583">
      <c r="F583" s="16"/>
      <c r="G583" s="16"/>
    </row>
    <row r="584">
      <c r="F584" s="16"/>
      <c r="G584" s="16"/>
    </row>
    <row r="585">
      <c r="F585" s="16"/>
      <c r="G585" s="16"/>
    </row>
    <row r="586">
      <c r="F586" s="16"/>
      <c r="G586" s="16"/>
    </row>
    <row r="587">
      <c r="F587" s="16"/>
      <c r="G587" s="16"/>
    </row>
    <row r="588">
      <c r="F588" s="16"/>
      <c r="G588" s="16"/>
    </row>
    <row r="589">
      <c r="F589" s="16"/>
      <c r="G589" s="16"/>
    </row>
    <row r="590">
      <c r="F590" s="16"/>
      <c r="G590" s="16"/>
    </row>
    <row r="591">
      <c r="F591" s="16"/>
      <c r="G591" s="16"/>
    </row>
    <row r="592">
      <c r="F592" s="16"/>
      <c r="G592" s="16"/>
    </row>
    <row r="593">
      <c r="F593" s="16"/>
      <c r="G593" s="16"/>
    </row>
    <row r="594">
      <c r="F594" s="16"/>
      <c r="G594" s="16"/>
    </row>
    <row r="595">
      <c r="F595" s="16"/>
      <c r="G595" s="16"/>
    </row>
    <row r="596">
      <c r="F596" s="16"/>
      <c r="G596" s="16"/>
    </row>
    <row r="597">
      <c r="F597" s="16"/>
      <c r="G597" s="16"/>
    </row>
    <row r="598">
      <c r="F598" s="16"/>
      <c r="G598" s="16"/>
    </row>
    <row r="599">
      <c r="F599" s="16"/>
      <c r="G599" s="16"/>
    </row>
    <row r="600">
      <c r="F600" s="16"/>
      <c r="G600" s="16"/>
    </row>
    <row r="601">
      <c r="F601" s="16"/>
      <c r="G601" s="16"/>
    </row>
    <row r="602">
      <c r="F602" s="16"/>
      <c r="G602" s="16"/>
    </row>
    <row r="603">
      <c r="F603" s="16"/>
      <c r="G603" s="16"/>
    </row>
    <row r="604">
      <c r="F604" s="16"/>
      <c r="G604" s="16"/>
    </row>
    <row r="605">
      <c r="F605" s="16"/>
      <c r="G605" s="16"/>
    </row>
    <row r="606">
      <c r="F606" s="16"/>
      <c r="G606" s="16"/>
    </row>
    <row r="607">
      <c r="F607" s="16"/>
      <c r="G607" s="16"/>
    </row>
    <row r="608">
      <c r="F608" s="16"/>
      <c r="G608" s="16"/>
    </row>
    <row r="609">
      <c r="F609" s="16"/>
      <c r="G609" s="16"/>
    </row>
    <row r="610">
      <c r="F610" s="16"/>
      <c r="G610" s="16"/>
    </row>
    <row r="611">
      <c r="F611" s="16"/>
      <c r="G611" s="16"/>
    </row>
    <row r="612">
      <c r="F612" s="16"/>
      <c r="G612" s="16"/>
    </row>
    <row r="613">
      <c r="F613" s="16"/>
      <c r="G613" s="16"/>
    </row>
    <row r="614">
      <c r="F614" s="16"/>
      <c r="G614" s="16"/>
    </row>
    <row r="615">
      <c r="F615" s="16"/>
      <c r="G615" s="16"/>
    </row>
    <row r="616">
      <c r="F616" s="16"/>
      <c r="G616" s="16"/>
    </row>
    <row r="617">
      <c r="F617" s="16"/>
      <c r="G617" s="16"/>
    </row>
    <row r="618">
      <c r="F618" s="16"/>
      <c r="G618" s="16"/>
    </row>
    <row r="619">
      <c r="F619" s="16"/>
      <c r="G619" s="16"/>
    </row>
    <row r="620">
      <c r="F620" s="16"/>
      <c r="G620" s="16"/>
    </row>
    <row r="621">
      <c r="F621" s="16"/>
      <c r="G621" s="16"/>
    </row>
    <row r="622">
      <c r="F622" s="16"/>
      <c r="G622" s="16"/>
    </row>
    <row r="623">
      <c r="F623" s="16"/>
      <c r="G623" s="16"/>
    </row>
    <row r="624">
      <c r="F624" s="16"/>
      <c r="G624" s="16"/>
    </row>
    <row r="625">
      <c r="F625" s="16"/>
      <c r="G625" s="16"/>
    </row>
    <row r="626">
      <c r="F626" s="16"/>
      <c r="G626" s="16"/>
    </row>
    <row r="627">
      <c r="F627" s="16"/>
      <c r="G627" s="16"/>
    </row>
    <row r="628">
      <c r="F628" s="16"/>
      <c r="G628" s="16"/>
    </row>
    <row r="629">
      <c r="F629" s="16"/>
      <c r="G629" s="16"/>
    </row>
    <row r="630">
      <c r="F630" s="16"/>
      <c r="G630" s="16"/>
    </row>
    <row r="631">
      <c r="F631" s="16"/>
      <c r="G631" s="16"/>
    </row>
    <row r="632">
      <c r="F632" s="16"/>
      <c r="G632" s="16"/>
    </row>
    <row r="633">
      <c r="F633" s="16"/>
      <c r="G633" s="16"/>
    </row>
    <row r="634">
      <c r="F634" s="16"/>
      <c r="G634" s="16"/>
    </row>
    <row r="635">
      <c r="F635" s="16"/>
      <c r="G635" s="16"/>
    </row>
    <row r="636">
      <c r="F636" s="16"/>
      <c r="G636" s="16"/>
    </row>
    <row r="637">
      <c r="F637" s="16"/>
      <c r="G637" s="16"/>
    </row>
    <row r="638">
      <c r="F638" s="16"/>
      <c r="G638" s="16"/>
    </row>
    <row r="639">
      <c r="F639" s="16"/>
      <c r="G639" s="16"/>
    </row>
    <row r="640">
      <c r="F640" s="16"/>
      <c r="G640" s="16"/>
    </row>
    <row r="641">
      <c r="F641" s="16"/>
      <c r="G641" s="16"/>
    </row>
    <row r="642">
      <c r="F642" s="16"/>
      <c r="G642" s="16"/>
    </row>
    <row r="643">
      <c r="F643" s="16"/>
      <c r="G643" s="16"/>
    </row>
    <row r="644">
      <c r="F644" s="16"/>
      <c r="G644" s="16"/>
    </row>
    <row r="645">
      <c r="F645" s="16"/>
      <c r="G645" s="16"/>
    </row>
    <row r="646">
      <c r="F646" s="16"/>
      <c r="G646" s="16"/>
    </row>
    <row r="647">
      <c r="F647" s="16"/>
      <c r="G647" s="16"/>
    </row>
    <row r="648">
      <c r="F648" s="16"/>
      <c r="G648" s="16"/>
    </row>
    <row r="649">
      <c r="F649" s="16"/>
      <c r="G649" s="16"/>
    </row>
    <row r="650">
      <c r="F650" s="16"/>
      <c r="G650" s="16"/>
    </row>
    <row r="651">
      <c r="F651" s="16"/>
      <c r="G651" s="16"/>
    </row>
    <row r="652">
      <c r="F652" s="16"/>
      <c r="G652" s="16"/>
    </row>
    <row r="653">
      <c r="F653" s="16"/>
      <c r="G653" s="16"/>
    </row>
    <row r="654">
      <c r="F654" s="16"/>
      <c r="G654" s="16"/>
    </row>
    <row r="655">
      <c r="F655" s="16"/>
      <c r="G655" s="16"/>
    </row>
    <row r="656">
      <c r="F656" s="16"/>
      <c r="G656" s="16"/>
    </row>
    <row r="657">
      <c r="F657" s="16"/>
      <c r="G657" s="16"/>
    </row>
    <row r="658">
      <c r="F658" s="16"/>
      <c r="G658" s="16"/>
    </row>
    <row r="659">
      <c r="F659" s="16"/>
      <c r="G659" s="16"/>
    </row>
    <row r="660">
      <c r="F660" s="16"/>
      <c r="G660" s="16"/>
    </row>
    <row r="661">
      <c r="F661" s="16"/>
      <c r="G661" s="16"/>
    </row>
    <row r="662">
      <c r="F662" s="16"/>
      <c r="G662" s="16"/>
    </row>
    <row r="663">
      <c r="F663" s="16"/>
      <c r="G663" s="16"/>
    </row>
    <row r="664">
      <c r="F664" s="16"/>
      <c r="G664" s="16"/>
    </row>
    <row r="665">
      <c r="F665" s="16"/>
      <c r="G665" s="16"/>
    </row>
    <row r="666">
      <c r="F666" s="16"/>
      <c r="G666" s="16"/>
    </row>
    <row r="667">
      <c r="F667" s="16"/>
      <c r="G667" s="16"/>
    </row>
    <row r="668">
      <c r="F668" s="16"/>
      <c r="G668" s="16"/>
    </row>
    <row r="669">
      <c r="F669" s="16"/>
      <c r="G669" s="16"/>
    </row>
    <row r="670">
      <c r="F670" s="16"/>
      <c r="G670" s="16"/>
    </row>
    <row r="671">
      <c r="F671" s="16"/>
      <c r="G671" s="16"/>
    </row>
    <row r="672">
      <c r="F672" s="16"/>
      <c r="G672" s="16"/>
    </row>
    <row r="673">
      <c r="F673" s="16"/>
      <c r="G673" s="16"/>
    </row>
    <row r="674">
      <c r="F674" s="16"/>
      <c r="G674" s="16"/>
    </row>
    <row r="675">
      <c r="F675" s="16"/>
      <c r="G675" s="16"/>
    </row>
    <row r="676">
      <c r="F676" s="16"/>
      <c r="G676" s="16"/>
    </row>
    <row r="677">
      <c r="F677" s="16"/>
      <c r="G677" s="16"/>
    </row>
    <row r="678">
      <c r="F678" s="16"/>
      <c r="G678" s="16"/>
    </row>
    <row r="679">
      <c r="F679" s="16"/>
      <c r="G679" s="16"/>
    </row>
    <row r="680">
      <c r="F680" s="16"/>
      <c r="G680" s="16"/>
    </row>
    <row r="681">
      <c r="F681" s="16"/>
      <c r="G681" s="16"/>
    </row>
    <row r="682">
      <c r="F682" s="16"/>
      <c r="G682" s="16"/>
    </row>
    <row r="683">
      <c r="F683" s="16"/>
      <c r="G683" s="16"/>
    </row>
    <row r="684">
      <c r="F684" s="16"/>
      <c r="G684" s="16"/>
    </row>
    <row r="685">
      <c r="F685" s="16"/>
      <c r="G685" s="16"/>
    </row>
    <row r="686">
      <c r="F686" s="16"/>
      <c r="G686" s="16"/>
    </row>
    <row r="687">
      <c r="F687" s="16"/>
      <c r="G687" s="16"/>
    </row>
    <row r="688">
      <c r="F688" s="16"/>
      <c r="G688" s="16"/>
    </row>
    <row r="689">
      <c r="F689" s="16"/>
      <c r="G689" s="16"/>
    </row>
    <row r="690">
      <c r="F690" s="16"/>
      <c r="G690" s="16"/>
    </row>
    <row r="691">
      <c r="F691" s="16"/>
      <c r="G691" s="16"/>
    </row>
    <row r="692">
      <c r="F692" s="16"/>
      <c r="G692" s="16"/>
    </row>
    <row r="693">
      <c r="F693" s="16"/>
      <c r="G693" s="16"/>
    </row>
    <row r="694">
      <c r="F694" s="16"/>
      <c r="G694" s="16"/>
    </row>
    <row r="695">
      <c r="F695" s="16"/>
      <c r="G695" s="16"/>
    </row>
    <row r="696">
      <c r="F696" s="16"/>
      <c r="G696" s="16"/>
    </row>
    <row r="697">
      <c r="F697" s="16"/>
      <c r="G697" s="16"/>
    </row>
    <row r="698">
      <c r="F698" s="16"/>
      <c r="G698" s="16"/>
    </row>
    <row r="699">
      <c r="F699" s="16"/>
      <c r="G699" s="16"/>
    </row>
    <row r="700">
      <c r="F700" s="16"/>
      <c r="G700" s="16"/>
    </row>
    <row r="701">
      <c r="F701" s="16"/>
      <c r="G701" s="16"/>
    </row>
    <row r="702">
      <c r="F702" s="16"/>
      <c r="G702" s="16"/>
    </row>
    <row r="703">
      <c r="F703" s="16"/>
      <c r="G703" s="16"/>
    </row>
    <row r="704">
      <c r="F704" s="16"/>
      <c r="G704" s="16"/>
    </row>
    <row r="705">
      <c r="F705" s="16"/>
      <c r="G705" s="16"/>
    </row>
    <row r="706">
      <c r="F706" s="16"/>
      <c r="G706" s="16"/>
    </row>
    <row r="707">
      <c r="F707" s="16"/>
      <c r="G707" s="16"/>
    </row>
    <row r="708">
      <c r="F708" s="16"/>
      <c r="G708" s="16"/>
    </row>
    <row r="709">
      <c r="F709" s="16"/>
      <c r="G709" s="16"/>
    </row>
    <row r="710">
      <c r="F710" s="16"/>
      <c r="G710" s="16"/>
    </row>
    <row r="711">
      <c r="F711" s="16"/>
      <c r="G711" s="16"/>
    </row>
    <row r="712">
      <c r="F712" s="16"/>
      <c r="G712" s="16"/>
    </row>
    <row r="713">
      <c r="F713" s="16"/>
      <c r="G713" s="16"/>
    </row>
    <row r="714">
      <c r="F714" s="16"/>
      <c r="G714" s="16"/>
    </row>
    <row r="715">
      <c r="F715" s="16"/>
      <c r="G715" s="16"/>
    </row>
    <row r="716">
      <c r="F716" s="16"/>
      <c r="G716" s="16"/>
    </row>
    <row r="717">
      <c r="F717" s="16"/>
      <c r="G717" s="16"/>
    </row>
    <row r="718">
      <c r="F718" s="16"/>
      <c r="G718" s="16"/>
    </row>
    <row r="719">
      <c r="F719" s="16"/>
      <c r="G719" s="16"/>
    </row>
    <row r="720">
      <c r="F720" s="16"/>
      <c r="G720" s="16"/>
    </row>
    <row r="721">
      <c r="F721" s="16"/>
      <c r="G721" s="16"/>
    </row>
    <row r="722">
      <c r="F722" s="16"/>
      <c r="G722" s="16"/>
    </row>
    <row r="723">
      <c r="F723" s="16"/>
      <c r="G723" s="16"/>
    </row>
    <row r="724">
      <c r="F724" s="16"/>
      <c r="G724" s="16"/>
    </row>
    <row r="725">
      <c r="F725" s="16"/>
      <c r="G725" s="16"/>
    </row>
    <row r="726">
      <c r="F726" s="16"/>
      <c r="G726" s="16"/>
    </row>
    <row r="727">
      <c r="F727" s="16"/>
      <c r="G727" s="16"/>
    </row>
    <row r="728">
      <c r="F728" s="16"/>
      <c r="G728" s="16"/>
    </row>
    <row r="729">
      <c r="F729" s="16"/>
      <c r="G729" s="16"/>
    </row>
    <row r="730">
      <c r="F730" s="16"/>
      <c r="G730" s="16"/>
    </row>
    <row r="731">
      <c r="F731" s="16"/>
      <c r="G731" s="16"/>
    </row>
    <row r="732">
      <c r="F732" s="16"/>
      <c r="G732" s="16"/>
    </row>
    <row r="733">
      <c r="F733" s="16"/>
      <c r="G733" s="16"/>
    </row>
    <row r="734">
      <c r="F734" s="16"/>
      <c r="G734" s="16"/>
    </row>
    <row r="735">
      <c r="F735" s="16"/>
      <c r="G735" s="16"/>
    </row>
    <row r="736">
      <c r="F736" s="16"/>
      <c r="G736" s="16"/>
    </row>
    <row r="737">
      <c r="F737" s="16"/>
      <c r="G737" s="16"/>
    </row>
    <row r="738">
      <c r="F738" s="16"/>
      <c r="G738" s="16"/>
    </row>
    <row r="739">
      <c r="F739" s="16"/>
      <c r="G739" s="16"/>
    </row>
    <row r="740">
      <c r="F740" s="16"/>
      <c r="G740" s="16"/>
    </row>
    <row r="741">
      <c r="F741" s="16"/>
      <c r="G741" s="16"/>
    </row>
    <row r="742">
      <c r="F742" s="16"/>
      <c r="G742" s="16"/>
    </row>
    <row r="743">
      <c r="F743" s="16"/>
      <c r="G743" s="16"/>
    </row>
    <row r="744">
      <c r="F744" s="16"/>
      <c r="G744" s="16"/>
    </row>
    <row r="745">
      <c r="F745" s="16"/>
      <c r="G745" s="16"/>
    </row>
    <row r="746">
      <c r="F746" s="16"/>
      <c r="G746" s="16"/>
    </row>
    <row r="747">
      <c r="F747" s="16"/>
      <c r="G747" s="16"/>
    </row>
    <row r="748">
      <c r="F748" s="16"/>
      <c r="G748" s="16"/>
    </row>
    <row r="749">
      <c r="F749" s="16"/>
      <c r="G749" s="16"/>
    </row>
    <row r="750">
      <c r="F750" s="16"/>
      <c r="G750" s="16"/>
    </row>
    <row r="751">
      <c r="F751" s="16"/>
      <c r="G751" s="16"/>
    </row>
    <row r="752">
      <c r="F752" s="16"/>
      <c r="G752" s="16"/>
    </row>
    <row r="753">
      <c r="F753" s="16"/>
      <c r="G753" s="16"/>
    </row>
    <row r="754">
      <c r="F754" s="16"/>
      <c r="G754" s="16"/>
    </row>
    <row r="755">
      <c r="F755" s="16"/>
      <c r="G755" s="16"/>
    </row>
    <row r="756">
      <c r="F756" s="16"/>
      <c r="G756" s="16"/>
    </row>
    <row r="757">
      <c r="F757" s="16"/>
      <c r="G757" s="16"/>
    </row>
    <row r="758">
      <c r="F758" s="16"/>
      <c r="G758" s="16"/>
    </row>
    <row r="759">
      <c r="F759" s="16"/>
      <c r="G759" s="16"/>
    </row>
    <row r="760">
      <c r="F760" s="16"/>
      <c r="G760" s="16"/>
    </row>
    <row r="761">
      <c r="F761" s="16"/>
      <c r="G761" s="16"/>
    </row>
    <row r="762">
      <c r="F762" s="16"/>
      <c r="G762" s="16"/>
    </row>
    <row r="763">
      <c r="F763" s="16"/>
      <c r="G763" s="16"/>
    </row>
    <row r="764">
      <c r="F764" s="16"/>
      <c r="G764" s="16"/>
    </row>
    <row r="765">
      <c r="F765" s="16"/>
      <c r="G765" s="16"/>
    </row>
    <row r="766">
      <c r="F766" s="16"/>
      <c r="G766" s="16"/>
    </row>
    <row r="767">
      <c r="F767" s="16"/>
      <c r="G767" s="16"/>
    </row>
    <row r="768">
      <c r="F768" s="16"/>
      <c r="G768" s="16"/>
    </row>
    <row r="769">
      <c r="F769" s="16"/>
      <c r="G769" s="16"/>
    </row>
    <row r="770">
      <c r="F770" s="16"/>
      <c r="G770" s="16"/>
    </row>
    <row r="771">
      <c r="F771" s="16"/>
      <c r="G771" s="16"/>
    </row>
    <row r="772">
      <c r="F772" s="16"/>
      <c r="G772" s="16"/>
    </row>
    <row r="773">
      <c r="F773" s="16"/>
      <c r="G773" s="16"/>
    </row>
    <row r="774">
      <c r="F774" s="16"/>
      <c r="G774" s="16"/>
    </row>
    <row r="775">
      <c r="F775" s="16"/>
      <c r="G775" s="16"/>
    </row>
    <row r="776">
      <c r="F776" s="16"/>
      <c r="G776" s="16"/>
    </row>
    <row r="777">
      <c r="F777" s="16"/>
      <c r="G777" s="16"/>
    </row>
    <row r="778">
      <c r="F778" s="16"/>
      <c r="G778" s="16"/>
    </row>
    <row r="779">
      <c r="F779" s="16"/>
      <c r="G779" s="16"/>
    </row>
    <row r="780">
      <c r="F780" s="16"/>
      <c r="G780" s="16"/>
    </row>
    <row r="781">
      <c r="F781" s="16"/>
      <c r="G781" s="16"/>
    </row>
    <row r="782">
      <c r="F782" s="16"/>
      <c r="G782" s="16"/>
    </row>
    <row r="783">
      <c r="F783" s="16"/>
      <c r="G783" s="16"/>
    </row>
    <row r="784">
      <c r="F784" s="16"/>
      <c r="G784" s="16"/>
    </row>
    <row r="785">
      <c r="F785" s="16"/>
      <c r="G785" s="16"/>
    </row>
    <row r="786">
      <c r="F786" s="16"/>
      <c r="G786" s="16"/>
    </row>
    <row r="787">
      <c r="F787" s="16"/>
      <c r="G787" s="16"/>
    </row>
    <row r="788">
      <c r="F788" s="16"/>
      <c r="G788" s="16"/>
    </row>
    <row r="789">
      <c r="F789" s="16"/>
      <c r="G789" s="16"/>
    </row>
    <row r="790">
      <c r="F790" s="16"/>
      <c r="G790" s="16"/>
    </row>
    <row r="791">
      <c r="F791" s="16"/>
      <c r="G791" s="16"/>
    </row>
    <row r="792">
      <c r="F792" s="16"/>
      <c r="G792" s="16"/>
    </row>
    <row r="793">
      <c r="F793" s="16"/>
      <c r="G793" s="16"/>
    </row>
    <row r="794">
      <c r="F794" s="16"/>
      <c r="G794" s="16"/>
    </row>
    <row r="795">
      <c r="F795" s="16"/>
      <c r="G795" s="16"/>
    </row>
    <row r="796">
      <c r="F796" s="16"/>
      <c r="G796" s="16"/>
    </row>
    <row r="797">
      <c r="F797" s="16"/>
      <c r="G797" s="16"/>
    </row>
    <row r="798">
      <c r="F798" s="16"/>
      <c r="G798" s="16"/>
    </row>
    <row r="799">
      <c r="F799" s="16"/>
      <c r="G799" s="16"/>
    </row>
    <row r="800">
      <c r="F800" s="16"/>
      <c r="G800" s="16"/>
    </row>
    <row r="801">
      <c r="F801" s="16"/>
      <c r="G801" s="16"/>
    </row>
    <row r="802">
      <c r="F802" s="16"/>
      <c r="G802" s="16"/>
    </row>
    <row r="803">
      <c r="F803" s="16"/>
      <c r="G803" s="16"/>
    </row>
    <row r="804">
      <c r="F804" s="16"/>
      <c r="G804" s="16"/>
    </row>
    <row r="805">
      <c r="F805" s="16"/>
      <c r="G805" s="16"/>
    </row>
    <row r="806">
      <c r="F806" s="16"/>
      <c r="G806" s="16"/>
    </row>
    <row r="807">
      <c r="F807" s="16"/>
      <c r="G807" s="16"/>
    </row>
    <row r="808">
      <c r="F808" s="16"/>
      <c r="G808" s="16"/>
    </row>
    <row r="809">
      <c r="F809" s="16"/>
      <c r="G809" s="16"/>
    </row>
    <row r="810">
      <c r="F810" s="16"/>
      <c r="G810" s="16"/>
    </row>
    <row r="811">
      <c r="F811" s="16"/>
      <c r="G811" s="16"/>
    </row>
    <row r="812">
      <c r="F812" s="16"/>
      <c r="G812" s="16"/>
    </row>
    <row r="813">
      <c r="F813" s="16"/>
      <c r="G813" s="16"/>
    </row>
    <row r="814">
      <c r="F814" s="16"/>
      <c r="G814" s="16"/>
    </row>
    <row r="815">
      <c r="F815" s="16"/>
      <c r="G815" s="16"/>
    </row>
    <row r="816">
      <c r="F816" s="16"/>
      <c r="G816" s="16"/>
    </row>
    <row r="817">
      <c r="F817" s="16"/>
      <c r="G817" s="16"/>
    </row>
    <row r="818">
      <c r="F818" s="16"/>
      <c r="G818" s="16"/>
    </row>
    <row r="819">
      <c r="F819" s="16"/>
      <c r="G819" s="16"/>
    </row>
    <row r="820">
      <c r="F820" s="16"/>
      <c r="G820" s="16"/>
    </row>
    <row r="821">
      <c r="F821" s="16"/>
      <c r="G821" s="16"/>
    </row>
    <row r="822">
      <c r="F822" s="16"/>
      <c r="G822" s="16"/>
    </row>
    <row r="823">
      <c r="F823" s="16"/>
      <c r="G823" s="16"/>
    </row>
    <row r="824">
      <c r="F824" s="16"/>
      <c r="G824" s="16"/>
    </row>
    <row r="825">
      <c r="F825" s="16"/>
      <c r="G825" s="16"/>
    </row>
    <row r="826">
      <c r="F826" s="16"/>
      <c r="G826" s="16"/>
    </row>
    <row r="827">
      <c r="F827" s="16"/>
      <c r="G827" s="16"/>
    </row>
    <row r="828">
      <c r="F828" s="16"/>
      <c r="G828" s="16"/>
    </row>
    <row r="829">
      <c r="F829" s="16"/>
      <c r="G829" s="16"/>
    </row>
    <row r="830">
      <c r="F830" s="16"/>
      <c r="G830" s="16"/>
    </row>
    <row r="831">
      <c r="F831" s="16"/>
      <c r="G831" s="16"/>
    </row>
    <row r="832">
      <c r="F832" s="16"/>
      <c r="G832" s="16"/>
    </row>
    <row r="833">
      <c r="F833" s="16"/>
      <c r="G833" s="16"/>
    </row>
    <row r="834">
      <c r="F834" s="16"/>
      <c r="G834" s="16"/>
    </row>
    <row r="835">
      <c r="F835" s="16"/>
      <c r="G835" s="16"/>
    </row>
    <row r="836">
      <c r="F836" s="16"/>
      <c r="G836" s="16"/>
    </row>
    <row r="837">
      <c r="F837" s="16"/>
      <c r="G837" s="16"/>
    </row>
    <row r="838">
      <c r="F838" s="16"/>
      <c r="G838" s="16"/>
    </row>
    <row r="839">
      <c r="F839" s="16"/>
      <c r="G839" s="16"/>
    </row>
    <row r="840">
      <c r="F840" s="16"/>
      <c r="G840" s="16"/>
    </row>
    <row r="841">
      <c r="F841" s="16"/>
      <c r="G841" s="16"/>
    </row>
    <row r="842">
      <c r="F842" s="16"/>
      <c r="G842" s="16"/>
    </row>
    <row r="843">
      <c r="F843" s="16"/>
      <c r="G843" s="16"/>
    </row>
    <row r="844">
      <c r="F844" s="16"/>
      <c r="G844" s="16"/>
    </row>
    <row r="845">
      <c r="F845" s="16"/>
      <c r="G845" s="16"/>
    </row>
    <row r="846">
      <c r="F846" s="16"/>
      <c r="G846" s="16"/>
    </row>
    <row r="847">
      <c r="F847" s="16"/>
      <c r="G847" s="16"/>
    </row>
    <row r="848">
      <c r="F848" s="16"/>
      <c r="G848" s="16"/>
    </row>
    <row r="849">
      <c r="F849" s="16"/>
      <c r="G849" s="16"/>
    </row>
    <row r="850">
      <c r="F850" s="16"/>
      <c r="G850" s="16"/>
    </row>
    <row r="851">
      <c r="F851" s="16"/>
      <c r="G851" s="16"/>
    </row>
    <row r="852">
      <c r="F852" s="16"/>
      <c r="G852" s="16"/>
    </row>
    <row r="853">
      <c r="F853" s="16"/>
      <c r="G853" s="16"/>
    </row>
    <row r="854">
      <c r="F854" s="16"/>
      <c r="G854" s="16"/>
    </row>
    <row r="855">
      <c r="F855" s="16"/>
      <c r="G855" s="16"/>
    </row>
    <row r="856">
      <c r="F856" s="16"/>
      <c r="G856" s="16"/>
    </row>
    <row r="857">
      <c r="F857" s="16"/>
      <c r="G857" s="16"/>
    </row>
    <row r="858">
      <c r="F858" s="16"/>
      <c r="G858" s="16"/>
    </row>
    <row r="859">
      <c r="F859" s="16"/>
      <c r="G859" s="16"/>
    </row>
    <row r="860">
      <c r="F860" s="16"/>
      <c r="G860" s="16"/>
    </row>
    <row r="861">
      <c r="F861" s="16"/>
      <c r="G861" s="16"/>
    </row>
    <row r="862">
      <c r="F862" s="16"/>
      <c r="G862" s="16"/>
    </row>
    <row r="863">
      <c r="F863" s="16"/>
      <c r="G863" s="16"/>
    </row>
    <row r="864">
      <c r="F864" s="16"/>
      <c r="G864" s="16"/>
    </row>
    <row r="865">
      <c r="F865" s="16"/>
      <c r="G865" s="16"/>
    </row>
    <row r="866">
      <c r="F866" s="16"/>
      <c r="G866" s="16"/>
    </row>
    <row r="867">
      <c r="F867" s="16"/>
      <c r="G867" s="16"/>
    </row>
    <row r="868">
      <c r="F868" s="16"/>
      <c r="G868" s="16"/>
    </row>
    <row r="869">
      <c r="F869" s="16"/>
      <c r="G869" s="16"/>
    </row>
    <row r="870">
      <c r="F870" s="16"/>
      <c r="G870" s="16"/>
    </row>
    <row r="871">
      <c r="F871" s="16"/>
      <c r="G871" s="16"/>
    </row>
    <row r="872">
      <c r="F872" s="16"/>
      <c r="G872" s="16"/>
    </row>
    <row r="873">
      <c r="F873" s="16"/>
      <c r="G873" s="16"/>
    </row>
    <row r="874">
      <c r="F874" s="16"/>
      <c r="G874" s="16"/>
    </row>
    <row r="875">
      <c r="F875" s="16"/>
      <c r="G875" s="16"/>
    </row>
    <row r="876">
      <c r="F876" s="16"/>
      <c r="G876" s="16"/>
    </row>
    <row r="877">
      <c r="F877" s="16"/>
      <c r="G877" s="16"/>
    </row>
    <row r="878">
      <c r="F878" s="16"/>
      <c r="G878" s="16"/>
    </row>
    <row r="879">
      <c r="F879" s="16"/>
      <c r="G879" s="16"/>
    </row>
    <row r="880">
      <c r="F880" s="16"/>
      <c r="G880" s="16"/>
    </row>
    <row r="881">
      <c r="F881" s="16"/>
      <c r="G881" s="16"/>
    </row>
    <row r="882">
      <c r="F882" s="16"/>
      <c r="G882" s="16"/>
    </row>
    <row r="883">
      <c r="F883" s="16"/>
      <c r="G883" s="16"/>
    </row>
    <row r="884">
      <c r="F884" s="16"/>
      <c r="G884" s="16"/>
    </row>
    <row r="885">
      <c r="F885" s="16"/>
      <c r="G885" s="16"/>
    </row>
    <row r="886">
      <c r="F886" s="16"/>
      <c r="G886" s="16"/>
    </row>
    <row r="887">
      <c r="F887" s="16"/>
      <c r="G887" s="16"/>
    </row>
    <row r="888">
      <c r="F888" s="16"/>
      <c r="G888" s="16"/>
    </row>
    <row r="889">
      <c r="F889" s="16"/>
      <c r="G889" s="16"/>
    </row>
    <row r="890">
      <c r="F890" s="16"/>
      <c r="G890" s="16"/>
    </row>
    <row r="891">
      <c r="F891" s="16"/>
      <c r="G891" s="16"/>
    </row>
    <row r="892">
      <c r="F892" s="16"/>
      <c r="G892" s="16"/>
    </row>
    <row r="893">
      <c r="F893" s="16"/>
      <c r="G893" s="16"/>
    </row>
    <row r="894">
      <c r="F894" s="16"/>
      <c r="G894" s="16"/>
    </row>
    <row r="895">
      <c r="F895" s="16"/>
      <c r="G895" s="16"/>
    </row>
    <row r="896">
      <c r="F896" s="16"/>
      <c r="G896" s="16"/>
    </row>
    <row r="897">
      <c r="F897" s="16"/>
      <c r="G897" s="16"/>
    </row>
    <row r="898">
      <c r="F898" s="16"/>
      <c r="G898" s="16"/>
    </row>
    <row r="899">
      <c r="F899" s="16"/>
      <c r="G899" s="16"/>
    </row>
    <row r="900">
      <c r="F900" s="16"/>
      <c r="G900" s="16"/>
    </row>
    <row r="901">
      <c r="F901" s="16"/>
      <c r="G901" s="16"/>
    </row>
    <row r="902">
      <c r="F902" s="16"/>
      <c r="G902" s="16"/>
    </row>
    <row r="903">
      <c r="F903" s="16"/>
      <c r="G903" s="16"/>
    </row>
    <row r="904">
      <c r="F904" s="16"/>
      <c r="G904" s="16"/>
    </row>
    <row r="905">
      <c r="F905" s="16"/>
      <c r="G905" s="16"/>
    </row>
    <row r="906">
      <c r="F906" s="16"/>
      <c r="G906" s="16"/>
    </row>
    <row r="907">
      <c r="F907" s="16"/>
      <c r="G907" s="16"/>
    </row>
    <row r="908">
      <c r="F908" s="16"/>
      <c r="G908" s="16"/>
    </row>
    <row r="909">
      <c r="F909" s="16"/>
      <c r="G909" s="16"/>
    </row>
    <row r="910">
      <c r="F910" s="16"/>
      <c r="G910" s="16"/>
    </row>
    <row r="911">
      <c r="F911" s="16"/>
      <c r="G911" s="16"/>
    </row>
    <row r="912">
      <c r="F912" s="16"/>
      <c r="G912" s="16"/>
    </row>
    <row r="913">
      <c r="F913" s="16"/>
      <c r="G913" s="16"/>
    </row>
    <row r="914">
      <c r="F914" s="16"/>
      <c r="G914" s="16"/>
    </row>
    <row r="915">
      <c r="F915" s="16"/>
      <c r="G915" s="16"/>
    </row>
    <row r="916">
      <c r="F916" s="16"/>
      <c r="G916" s="16"/>
    </row>
    <row r="917">
      <c r="F917" s="16"/>
      <c r="G917" s="16"/>
    </row>
    <row r="918">
      <c r="F918" s="16"/>
      <c r="G918" s="16"/>
    </row>
    <row r="919">
      <c r="F919" s="16"/>
      <c r="G919" s="16"/>
    </row>
    <row r="920">
      <c r="F920" s="16"/>
      <c r="G920" s="16"/>
    </row>
    <row r="921">
      <c r="F921" s="16"/>
      <c r="G921" s="16"/>
    </row>
    <row r="922">
      <c r="F922" s="16"/>
      <c r="G922" s="16"/>
    </row>
    <row r="923">
      <c r="F923" s="16"/>
      <c r="G923" s="16"/>
    </row>
    <row r="924">
      <c r="F924" s="16"/>
      <c r="G924" s="16"/>
    </row>
    <row r="925">
      <c r="F925" s="16"/>
      <c r="G925" s="16"/>
    </row>
    <row r="926">
      <c r="F926" s="16"/>
      <c r="G926" s="16"/>
    </row>
    <row r="927">
      <c r="F927" s="16"/>
      <c r="G927" s="16"/>
    </row>
    <row r="928">
      <c r="F928" s="16"/>
      <c r="G928" s="16"/>
    </row>
    <row r="929">
      <c r="F929" s="16"/>
      <c r="G929" s="16"/>
    </row>
    <row r="930">
      <c r="F930" s="16"/>
      <c r="G930" s="16"/>
    </row>
    <row r="931">
      <c r="F931" s="16"/>
      <c r="G931" s="16"/>
    </row>
    <row r="932">
      <c r="F932" s="16"/>
      <c r="G932" s="16"/>
    </row>
    <row r="933">
      <c r="F933" s="16"/>
      <c r="G933" s="16"/>
    </row>
    <row r="934">
      <c r="F934" s="16"/>
      <c r="G934" s="16"/>
    </row>
    <row r="935">
      <c r="F935" s="16"/>
      <c r="G935" s="16"/>
    </row>
    <row r="936">
      <c r="F936" s="16"/>
      <c r="G936" s="16"/>
    </row>
    <row r="937">
      <c r="F937" s="16"/>
      <c r="G937" s="16"/>
    </row>
    <row r="938">
      <c r="F938" s="16"/>
      <c r="G938" s="16"/>
    </row>
    <row r="939">
      <c r="F939" s="16"/>
      <c r="G939" s="16"/>
    </row>
    <row r="940">
      <c r="F940" s="16"/>
      <c r="G940" s="16"/>
    </row>
    <row r="941">
      <c r="F941" s="16"/>
      <c r="G941" s="16"/>
    </row>
    <row r="942">
      <c r="F942" s="16"/>
      <c r="G942" s="16"/>
    </row>
    <row r="943">
      <c r="F943" s="16"/>
      <c r="G943" s="16"/>
    </row>
    <row r="944">
      <c r="F944" s="16"/>
      <c r="G944" s="16"/>
    </row>
    <row r="945">
      <c r="F945" s="16"/>
      <c r="G945" s="16"/>
    </row>
    <row r="946">
      <c r="F946" s="16"/>
      <c r="G946" s="16"/>
    </row>
    <row r="947">
      <c r="F947" s="16"/>
      <c r="G947" s="16"/>
    </row>
    <row r="948">
      <c r="F948" s="16"/>
      <c r="G948" s="16"/>
    </row>
    <row r="949">
      <c r="F949" s="16"/>
      <c r="G949" s="16"/>
    </row>
    <row r="950">
      <c r="F950" s="16"/>
      <c r="G950" s="16"/>
    </row>
    <row r="951">
      <c r="F951" s="16"/>
      <c r="G951" s="16"/>
    </row>
    <row r="952">
      <c r="F952" s="16"/>
      <c r="G952" s="16"/>
    </row>
    <row r="953">
      <c r="F953" s="16"/>
      <c r="G953" s="16"/>
    </row>
    <row r="954">
      <c r="F954" s="16"/>
      <c r="G954" s="16"/>
    </row>
    <row r="955">
      <c r="F955" s="16"/>
      <c r="G955" s="16"/>
    </row>
    <row r="956">
      <c r="F956" s="16"/>
      <c r="G956" s="16"/>
    </row>
    <row r="957">
      <c r="F957" s="16"/>
      <c r="G957" s="16"/>
    </row>
    <row r="958">
      <c r="F958" s="16"/>
      <c r="G958" s="16"/>
    </row>
    <row r="959">
      <c r="F959" s="16"/>
      <c r="G959" s="16"/>
    </row>
    <row r="960">
      <c r="F960" s="16"/>
      <c r="G960" s="16"/>
    </row>
    <row r="961">
      <c r="F961" s="16"/>
      <c r="G961" s="16"/>
    </row>
    <row r="962">
      <c r="F962" s="16"/>
      <c r="G962" s="16"/>
    </row>
    <row r="963">
      <c r="F963" s="16"/>
      <c r="G963" s="16"/>
    </row>
    <row r="964">
      <c r="F964" s="16"/>
      <c r="G964" s="16"/>
    </row>
    <row r="965">
      <c r="F965" s="16"/>
      <c r="G965" s="16"/>
    </row>
    <row r="966">
      <c r="F966" s="16"/>
      <c r="G966" s="16"/>
    </row>
    <row r="967">
      <c r="F967" s="16"/>
      <c r="G967" s="16"/>
    </row>
    <row r="968">
      <c r="F968" s="16"/>
      <c r="G968" s="16"/>
    </row>
    <row r="969">
      <c r="F969" s="16"/>
      <c r="G969" s="16"/>
    </row>
    <row r="970">
      <c r="F970" s="16"/>
      <c r="G970" s="16"/>
    </row>
    <row r="971">
      <c r="F971" s="16"/>
      <c r="G971" s="16"/>
    </row>
    <row r="972">
      <c r="F972" s="16"/>
      <c r="G972" s="16"/>
    </row>
    <row r="973">
      <c r="F973" s="16"/>
      <c r="G973" s="16"/>
    </row>
    <row r="974">
      <c r="F974" s="16"/>
      <c r="G974" s="16"/>
    </row>
    <row r="975">
      <c r="F975" s="16"/>
      <c r="G975" s="16"/>
    </row>
    <row r="976">
      <c r="F976" s="16"/>
      <c r="G976" s="16"/>
    </row>
    <row r="977">
      <c r="F977" s="16"/>
      <c r="G977" s="16"/>
    </row>
    <row r="978">
      <c r="F978" s="16"/>
      <c r="G978" s="16"/>
    </row>
    <row r="979">
      <c r="F979" s="16"/>
      <c r="G979" s="16"/>
    </row>
    <row r="980">
      <c r="F980" s="16"/>
      <c r="G980" s="16"/>
    </row>
    <row r="981">
      <c r="F981" s="16"/>
      <c r="G981" s="16"/>
    </row>
    <row r="982">
      <c r="F982" s="16"/>
      <c r="G982" s="16"/>
    </row>
    <row r="983">
      <c r="F983" s="16"/>
      <c r="G983" s="16"/>
    </row>
    <row r="984">
      <c r="F984" s="16"/>
      <c r="G984" s="16"/>
    </row>
    <row r="985">
      <c r="F985" s="16"/>
      <c r="G985" s="16"/>
    </row>
    <row r="986">
      <c r="F986" s="16"/>
      <c r="G986" s="16"/>
    </row>
    <row r="987">
      <c r="F987" s="16"/>
      <c r="G987" s="16"/>
    </row>
    <row r="988">
      <c r="F988" s="16"/>
      <c r="G988" s="16"/>
    </row>
    <row r="989">
      <c r="F989" s="16"/>
      <c r="G989" s="16"/>
    </row>
    <row r="990">
      <c r="F990" s="16"/>
      <c r="G990" s="16"/>
    </row>
    <row r="991">
      <c r="F991" s="16"/>
      <c r="G991" s="16"/>
    </row>
    <row r="992">
      <c r="F992" s="16"/>
      <c r="G992" s="16"/>
    </row>
    <row r="993">
      <c r="F993" s="16"/>
      <c r="G993" s="16"/>
    </row>
    <row r="994">
      <c r="F994" s="16"/>
      <c r="G994" s="16"/>
    </row>
    <row r="995">
      <c r="F995" s="16"/>
      <c r="G995" s="16"/>
    </row>
    <row r="996">
      <c r="F996" s="16"/>
      <c r="G996" s="16"/>
    </row>
    <row r="997">
      <c r="F997" s="16"/>
      <c r="G997" s="16"/>
    </row>
    <row r="998">
      <c r="F998" s="16"/>
      <c r="G998" s="16"/>
    </row>
    <row r="999">
      <c r="F999" s="16"/>
      <c r="G999" s="16"/>
    </row>
    <row r="1000">
      <c r="F1000" s="16"/>
      <c r="G1000" s="16"/>
    </row>
    <row r="1001">
      <c r="F1001" s="16"/>
      <c r="G1001" s="16"/>
    </row>
    <row r="1002">
      <c r="F1002" s="16"/>
      <c r="G1002" s="16"/>
    </row>
    <row r="1003">
      <c r="F1003" s="16"/>
      <c r="G1003" s="16"/>
    </row>
    <row r="1004">
      <c r="F1004" s="16"/>
      <c r="G1004" s="16"/>
    </row>
    <row r="1005">
      <c r="F1005" s="16"/>
      <c r="G1005" s="16"/>
    </row>
    <row r="1006">
      <c r="F1006" s="16"/>
      <c r="G1006" s="16"/>
    </row>
    <row r="1007">
      <c r="F1007" s="16"/>
      <c r="G1007" s="16"/>
    </row>
    <row r="1008">
      <c r="F1008" s="16"/>
      <c r="G1008" s="16"/>
    </row>
    <row r="1009">
      <c r="F1009" s="16"/>
      <c r="G1009" s="16"/>
    </row>
    <row r="1010">
      <c r="F1010" s="16"/>
      <c r="G1010" s="16"/>
    </row>
    <row r="1011">
      <c r="F1011" s="16"/>
      <c r="G1011" s="16"/>
    </row>
    <row r="1012">
      <c r="F1012" s="16"/>
      <c r="G1012" s="16"/>
    </row>
    <row r="1013">
      <c r="F1013" s="16"/>
      <c r="G1013" s="16"/>
    </row>
    <row r="1014">
      <c r="F1014" s="16"/>
      <c r="G1014" s="16"/>
    </row>
    <row r="1015">
      <c r="F1015" s="16"/>
      <c r="G1015" s="16"/>
    </row>
    <row r="1016">
      <c r="F1016" s="16"/>
      <c r="G1016" s="16"/>
    </row>
    <row r="1017">
      <c r="F1017" s="16"/>
      <c r="G1017" s="16"/>
    </row>
    <row r="1018">
      <c r="F1018" s="16"/>
      <c r="G1018" s="16"/>
    </row>
    <row r="1019">
      <c r="F1019" s="16"/>
      <c r="G1019" s="16"/>
    </row>
    <row r="1020">
      <c r="F1020" s="16"/>
      <c r="G1020" s="16"/>
    </row>
    <row r="1021">
      <c r="F1021" s="16"/>
      <c r="G1021" s="16"/>
    </row>
    <row r="1022">
      <c r="F1022" s="16"/>
      <c r="G1022" s="16"/>
    </row>
    <row r="1023">
      <c r="F1023" s="16"/>
      <c r="G1023" s="16"/>
    </row>
    <row r="1024">
      <c r="F1024" s="16"/>
      <c r="G1024" s="16"/>
    </row>
    <row r="1025">
      <c r="F1025" s="16"/>
      <c r="G1025" s="16"/>
    </row>
    <row r="1026">
      <c r="F1026" s="16"/>
      <c r="G1026" s="16"/>
    </row>
    <row r="1027">
      <c r="F1027" s="16"/>
      <c r="G1027" s="16"/>
    </row>
    <row r="1028">
      <c r="F1028" s="16"/>
      <c r="G1028" s="16"/>
    </row>
    <row r="1029">
      <c r="F1029" s="16"/>
      <c r="G1029" s="16"/>
    </row>
    <row r="1030">
      <c r="F1030" s="16"/>
      <c r="G1030" s="16"/>
    </row>
    <row r="1031">
      <c r="F1031" s="16"/>
      <c r="G1031" s="16"/>
    </row>
    <row r="1032">
      <c r="F1032" s="16"/>
      <c r="G1032" s="16"/>
    </row>
    <row r="1033">
      <c r="F1033" s="16"/>
      <c r="G1033" s="16"/>
    </row>
    <row r="1034">
      <c r="F1034" s="16"/>
      <c r="G1034" s="16"/>
    </row>
    <row r="1035">
      <c r="F1035" s="16"/>
      <c r="G1035" s="16"/>
    </row>
    <row r="1036">
      <c r="F1036" s="16"/>
      <c r="G1036" s="16"/>
    </row>
  </sheetData>
  <autoFilter ref="$B$1:$J$210">
    <sortState ref="B1:J210">
      <sortCondition ref="F1:F210"/>
      <sortCondition ref="G1:G210"/>
    </sortState>
  </autoFilter>
  <conditionalFormatting sqref="A21:B3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F2:F1036">
      <formula1>"Noun,Pronoun,Verb,Preposition,Adjective,UNASSIGNED"</formula1>
    </dataValidation>
    <dataValidation type="list" allowBlank="1" showErrorMessage="1" sqref="G2:G1036">
      <formula1>"Animal,Body Part,Colour,Day,Drink,Emotion,Family,Food,Month,Parish,Person,Place,Position,Size,Vehicle,UNASSIGNED"</formula1>
    </dataValidation>
  </dataValidations>
  <hyperlinks>
    <hyperlink r:id="rId1" ref="Q16"/>
    <hyperlink r:id="rId2" ref="Q1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1722</v>
      </c>
    </row>
    <row r="2">
      <c r="A2" s="9" t="s">
        <v>1723</v>
      </c>
    </row>
    <row r="3">
      <c r="A3" s="9" t="s">
        <v>1724</v>
      </c>
    </row>
    <row r="4">
      <c r="A4" s="9" t="s">
        <v>1725</v>
      </c>
    </row>
    <row r="5">
      <c r="A5" s="9" t="s">
        <v>1726</v>
      </c>
    </row>
    <row r="6">
      <c r="A6" s="9" t="s">
        <v>1727</v>
      </c>
    </row>
    <row r="7">
      <c r="A7" s="9" t="s">
        <v>1728</v>
      </c>
    </row>
    <row r="8">
      <c r="A8" s="9" t="s">
        <v>1729</v>
      </c>
    </row>
    <row r="9">
      <c r="A9" s="9" t="s">
        <v>128</v>
      </c>
    </row>
    <row r="10">
      <c r="A10" s="9" t="s">
        <v>1730</v>
      </c>
    </row>
    <row r="11">
      <c r="A11" s="9" t="s">
        <v>1731</v>
      </c>
    </row>
    <row r="12">
      <c r="A12" s="9" t="s">
        <v>1732</v>
      </c>
    </row>
    <row r="13">
      <c r="A13" s="9" t="s">
        <v>1733</v>
      </c>
    </row>
    <row r="14">
      <c r="A14" s="9" t="s">
        <v>1734</v>
      </c>
    </row>
    <row r="15">
      <c r="A15" s="9" t="s">
        <v>1735</v>
      </c>
    </row>
    <row r="16">
      <c r="A16" s="9" t="s">
        <v>1736</v>
      </c>
    </row>
    <row r="17">
      <c r="A17" s="9" t="s">
        <v>1737</v>
      </c>
    </row>
    <row r="18">
      <c r="A18" s="9" t="s">
        <v>1738</v>
      </c>
    </row>
    <row r="19">
      <c r="A19" s="9" t="s">
        <v>1739</v>
      </c>
    </row>
    <row r="20">
      <c r="A20" s="9" t="s">
        <v>1740</v>
      </c>
    </row>
    <row r="21">
      <c r="A21" s="9" t="s">
        <v>1741</v>
      </c>
    </row>
    <row r="22">
      <c r="A22" s="9" t="s">
        <v>1742</v>
      </c>
    </row>
    <row r="23">
      <c r="A23" s="9" t="s">
        <v>1743</v>
      </c>
    </row>
    <row r="24">
      <c r="A24" s="9" t="s">
        <v>1744</v>
      </c>
    </row>
    <row r="25">
      <c r="A25" s="9" t="s">
        <v>1745</v>
      </c>
    </row>
    <row r="26">
      <c r="A26" s="9" t="s">
        <v>1746</v>
      </c>
    </row>
    <row r="27">
      <c r="A27" s="9" t="s">
        <v>1747</v>
      </c>
    </row>
    <row r="28">
      <c r="A28" s="9" t="s">
        <v>1748</v>
      </c>
    </row>
    <row r="29">
      <c r="A29" s="9" t="s">
        <v>1749</v>
      </c>
    </row>
    <row r="30">
      <c r="A30" s="9" t="s">
        <v>1750</v>
      </c>
    </row>
    <row r="31">
      <c r="A31" s="9" t="s">
        <v>1751</v>
      </c>
    </row>
    <row r="32">
      <c r="A32" s="9" t="s">
        <v>1752</v>
      </c>
    </row>
    <row r="33">
      <c r="A33" s="9" t="s">
        <v>1753</v>
      </c>
    </row>
    <row r="34">
      <c r="A34" s="9" t="s">
        <v>1754</v>
      </c>
    </row>
    <row r="35">
      <c r="A35" s="9" t="s">
        <v>1755</v>
      </c>
    </row>
    <row r="36">
      <c r="A36" s="9" t="s">
        <v>1756</v>
      </c>
    </row>
    <row r="37">
      <c r="A37" s="9" t="s">
        <v>1757</v>
      </c>
    </row>
    <row r="38">
      <c r="A38" s="9" t="s">
        <v>1758</v>
      </c>
    </row>
    <row r="39">
      <c r="A39" s="9" t="s">
        <v>1759</v>
      </c>
    </row>
    <row r="40">
      <c r="A40" s="9" t="s">
        <v>1760</v>
      </c>
    </row>
    <row r="41">
      <c r="A41" s="9" t="s">
        <v>1761</v>
      </c>
    </row>
    <row r="42">
      <c r="A42" s="9" t="s">
        <v>1762</v>
      </c>
    </row>
    <row r="43">
      <c r="A43" s="9" t="s">
        <v>1763</v>
      </c>
    </row>
    <row r="44">
      <c r="A44" s="9" t="s">
        <v>1764</v>
      </c>
    </row>
    <row r="45">
      <c r="A45" s="9" t="s">
        <v>1765</v>
      </c>
    </row>
    <row r="46">
      <c r="A46" s="9" t="s">
        <v>1766</v>
      </c>
    </row>
    <row r="47">
      <c r="A47" s="9" t="s">
        <v>1767</v>
      </c>
    </row>
    <row r="48">
      <c r="A48" s="9" t="s">
        <v>1768</v>
      </c>
    </row>
    <row r="49">
      <c r="A49" s="9" t="s">
        <v>1769</v>
      </c>
    </row>
    <row r="50">
      <c r="A50" s="9" t="s">
        <v>169</v>
      </c>
    </row>
    <row r="51">
      <c r="A51" s="9" t="s">
        <v>1770</v>
      </c>
    </row>
    <row r="52">
      <c r="A52" s="9" t="s">
        <v>1771</v>
      </c>
    </row>
    <row r="53">
      <c r="A53" s="9" t="s">
        <v>1772</v>
      </c>
    </row>
    <row r="54">
      <c r="A54" s="9" t="s">
        <v>1773</v>
      </c>
    </row>
    <row r="55">
      <c r="A55" s="9" t="s">
        <v>1774</v>
      </c>
    </row>
    <row r="56">
      <c r="A56" s="9" t="s">
        <v>1775</v>
      </c>
    </row>
    <row r="57">
      <c r="A57" s="9" t="s">
        <v>1776</v>
      </c>
    </row>
    <row r="58">
      <c r="A58" s="9" t="s">
        <v>1777</v>
      </c>
    </row>
    <row r="59">
      <c r="A59" s="9" t="s">
        <v>1778</v>
      </c>
    </row>
    <row r="60">
      <c r="A60" s="9" t="s">
        <v>1779</v>
      </c>
    </row>
    <row r="61">
      <c r="A61" s="9" t="s">
        <v>1780</v>
      </c>
    </row>
    <row r="62">
      <c r="A62" s="9" t="s">
        <v>1781</v>
      </c>
    </row>
    <row r="63">
      <c r="A63" s="9" t="s">
        <v>1782</v>
      </c>
    </row>
    <row r="64">
      <c r="A64" s="9" t="s">
        <v>1783</v>
      </c>
    </row>
    <row r="65">
      <c r="A65" s="9" t="s">
        <v>1784</v>
      </c>
    </row>
    <row r="66">
      <c r="A66" s="9" t="s">
        <v>1785</v>
      </c>
    </row>
    <row r="67">
      <c r="A67" s="9" t="s">
        <v>1786</v>
      </c>
    </row>
    <row r="68">
      <c r="A68" s="9" t="s">
        <v>1787</v>
      </c>
    </row>
    <row r="69">
      <c r="A69" s="9" t="s">
        <v>1788</v>
      </c>
    </row>
    <row r="70">
      <c r="A70" s="9" t="s">
        <v>1789</v>
      </c>
    </row>
    <row r="71">
      <c r="A71" s="9" t="s">
        <v>1790</v>
      </c>
    </row>
    <row r="72">
      <c r="A72" s="9" t="s">
        <v>1791</v>
      </c>
    </row>
    <row r="73">
      <c r="A73" s="9" t="s">
        <v>1792</v>
      </c>
    </row>
    <row r="74">
      <c r="A74" s="9" t="s">
        <v>1793</v>
      </c>
    </row>
    <row r="75">
      <c r="A75" s="9" t="s">
        <v>1794</v>
      </c>
    </row>
    <row r="76">
      <c r="A76" s="9" t="s">
        <v>1795</v>
      </c>
    </row>
    <row r="77">
      <c r="A77" s="9" t="s">
        <v>1796</v>
      </c>
    </row>
    <row r="78">
      <c r="A78" s="9" t="s">
        <v>1797</v>
      </c>
    </row>
    <row r="79">
      <c r="A79" s="9" t="s">
        <v>1798</v>
      </c>
    </row>
    <row r="80">
      <c r="A80" s="9" t="s">
        <v>1799</v>
      </c>
    </row>
    <row r="81">
      <c r="A81" s="9" t="s">
        <v>1800</v>
      </c>
    </row>
    <row r="82">
      <c r="A82" s="9" t="s">
        <v>1801</v>
      </c>
    </row>
    <row r="83">
      <c r="A83" s="9" t="s">
        <v>1802</v>
      </c>
    </row>
    <row r="84">
      <c r="A84" s="9" t="s">
        <v>1803</v>
      </c>
    </row>
    <row r="85">
      <c r="A85" s="9" t="s">
        <v>1804</v>
      </c>
    </row>
    <row r="86">
      <c r="A86" s="9" t="s">
        <v>1805</v>
      </c>
    </row>
    <row r="87">
      <c r="A87" s="9" t="s">
        <v>1806</v>
      </c>
    </row>
    <row r="88">
      <c r="A88" s="9" t="s">
        <v>1807</v>
      </c>
    </row>
    <row r="89">
      <c r="A89" s="9" t="s">
        <v>1808</v>
      </c>
    </row>
    <row r="90">
      <c r="A90" s="9" t="s">
        <v>264</v>
      </c>
    </row>
    <row r="91">
      <c r="A91" s="9" t="s">
        <v>1809</v>
      </c>
    </row>
    <row r="92">
      <c r="A92" s="9" t="s">
        <v>1810</v>
      </c>
    </row>
    <row r="93">
      <c r="A93" s="9" t="s">
        <v>1811</v>
      </c>
    </row>
    <row r="94">
      <c r="A94" s="9" t="s">
        <v>1812</v>
      </c>
    </row>
    <row r="95">
      <c r="A95" s="9" t="s">
        <v>1813</v>
      </c>
    </row>
    <row r="96">
      <c r="A96" s="9" t="s">
        <v>1814</v>
      </c>
    </row>
    <row r="97">
      <c r="A97" s="9" t="s">
        <v>1815</v>
      </c>
    </row>
    <row r="98">
      <c r="A98" s="9" t="s">
        <v>1816</v>
      </c>
    </row>
    <row r="99">
      <c r="A99" s="9" t="s">
        <v>1817</v>
      </c>
    </row>
    <row r="100">
      <c r="A100" s="9" t="s">
        <v>1818</v>
      </c>
    </row>
    <row r="101">
      <c r="A101" s="9" t="s">
        <v>1819</v>
      </c>
    </row>
    <row r="102">
      <c r="A102" s="9" t="s">
        <v>1820</v>
      </c>
    </row>
    <row r="103">
      <c r="A103" s="9" t="s">
        <v>1821</v>
      </c>
    </row>
    <row r="104">
      <c r="A104" s="9" t="s">
        <v>1822</v>
      </c>
    </row>
    <row r="105">
      <c r="A105" s="9" t="s">
        <v>1823</v>
      </c>
    </row>
    <row r="106">
      <c r="A106" s="9" t="s">
        <v>1824</v>
      </c>
    </row>
    <row r="107">
      <c r="A107" s="9" t="s">
        <v>1825</v>
      </c>
    </row>
    <row r="108">
      <c r="A108" s="9" t="s">
        <v>1826</v>
      </c>
    </row>
    <row r="109">
      <c r="A109" s="9" t="s">
        <v>1827</v>
      </c>
    </row>
    <row r="110">
      <c r="A110" s="9" t="s">
        <v>1828</v>
      </c>
    </row>
    <row r="111">
      <c r="A111" s="9" t="s">
        <v>1829</v>
      </c>
    </row>
    <row r="112">
      <c r="A112" s="9" t="s">
        <v>1830</v>
      </c>
    </row>
    <row r="113">
      <c r="A113" s="9" t="s">
        <v>1831</v>
      </c>
    </row>
    <row r="114">
      <c r="A114" s="9" t="s">
        <v>1832</v>
      </c>
    </row>
    <row r="115">
      <c r="A115" s="9" t="s">
        <v>1833</v>
      </c>
    </row>
    <row r="116">
      <c r="A116" s="9" t="s">
        <v>1834</v>
      </c>
    </row>
    <row r="117">
      <c r="A117" s="9" t="s">
        <v>1835</v>
      </c>
    </row>
    <row r="118">
      <c r="A118" s="9" t="s">
        <v>1836</v>
      </c>
    </row>
    <row r="119">
      <c r="A119" s="9" t="s">
        <v>1837</v>
      </c>
    </row>
    <row r="120">
      <c r="A120" s="9" t="s">
        <v>1838</v>
      </c>
    </row>
    <row r="121">
      <c r="A121" s="9" t="s">
        <v>1839</v>
      </c>
    </row>
    <row r="122">
      <c r="A122" s="9" t="s">
        <v>1840</v>
      </c>
    </row>
    <row r="123">
      <c r="A123" s="9" t="s">
        <v>1841</v>
      </c>
    </row>
    <row r="124">
      <c r="A124" s="9" t="s">
        <v>1842</v>
      </c>
    </row>
    <row r="125">
      <c r="A125" s="9" t="s">
        <v>1843</v>
      </c>
    </row>
    <row r="126">
      <c r="A126" s="9" t="s">
        <v>1844</v>
      </c>
    </row>
    <row r="127">
      <c r="A127" s="9" t="s">
        <v>1845</v>
      </c>
    </row>
    <row r="128">
      <c r="A128" s="9" t="s">
        <v>1846</v>
      </c>
    </row>
    <row r="129">
      <c r="A129" s="9" t="s">
        <v>1847</v>
      </c>
    </row>
    <row r="130">
      <c r="A130" s="9" t="s">
        <v>1848</v>
      </c>
    </row>
    <row r="131">
      <c r="A131" s="9" t="s">
        <v>1849</v>
      </c>
    </row>
    <row r="132">
      <c r="A132" s="9" t="s">
        <v>1850</v>
      </c>
    </row>
    <row r="133">
      <c r="A133" s="9" t="s">
        <v>1851</v>
      </c>
    </row>
    <row r="134">
      <c r="A134" s="9" t="s">
        <v>1852</v>
      </c>
    </row>
    <row r="135">
      <c r="A135" s="9" t="s">
        <v>1853</v>
      </c>
    </row>
    <row r="136">
      <c r="A136" s="9" t="s">
        <v>1854</v>
      </c>
    </row>
    <row r="137">
      <c r="A137" s="9" t="s">
        <v>1855</v>
      </c>
    </row>
    <row r="138">
      <c r="A138" s="9" t="s">
        <v>1856</v>
      </c>
    </row>
    <row r="139">
      <c r="A139" s="9" t="s">
        <v>1857</v>
      </c>
    </row>
    <row r="140">
      <c r="A140" s="9" t="s">
        <v>1858</v>
      </c>
    </row>
    <row r="141">
      <c r="A141" s="9" t="s">
        <v>310</v>
      </c>
    </row>
    <row r="142">
      <c r="A142" s="9" t="s">
        <v>1859</v>
      </c>
    </row>
    <row r="143">
      <c r="A143" s="9" t="s">
        <v>1860</v>
      </c>
    </row>
    <row r="144">
      <c r="A144" s="9" t="s">
        <v>1861</v>
      </c>
    </row>
    <row r="145">
      <c r="A145" s="9" t="s">
        <v>1862</v>
      </c>
    </row>
    <row r="146">
      <c r="A146" s="9" t="s">
        <v>1863</v>
      </c>
    </row>
    <row r="147">
      <c r="A147" s="9" t="s">
        <v>1864</v>
      </c>
    </row>
    <row r="148">
      <c r="A148" s="9" t="s">
        <v>1865</v>
      </c>
    </row>
    <row r="149">
      <c r="A149" s="9" t="s">
        <v>1866</v>
      </c>
    </row>
    <row r="150">
      <c r="A150" s="9" t="s">
        <v>1867</v>
      </c>
    </row>
    <row r="151">
      <c r="A151" s="9" t="s">
        <v>1868</v>
      </c>
    </row>
    <row r="152">
      <c r="A152" s="9" t="s">
        <v>1869</v>
      </c>
    </row>
    <row r="153">
      <c r="A153" s="9" t="s">
        <v>1870</v>
      </c>
    </row>
    <row r="154">
      <c r="A154" s="9" t="s">
        <v>1871</v>
      </c>
    </row>
    <row r="155">
      <c r="A155" s="9" t="s">
        <v>1872</v>
      </c>
    </row>
    <row r="156">
      <c r="A156" s="9" t="s">
        <v>1873</v>
      </c>
    </row>
    <row r="157">
      <c r="A157" s="9" t="s">
        <v>1874</v>
      </c>
    </row>
    <row r="158">
      <c r="A158" s="9" t="s">
        <v>1875</v>
      </c>
    </row>
    <row r="159">
      <c r="A159" s="9" t="s">
        <v>1876</v>
      </c>
    </row>
    <row r="160">
      <c r="A160" s="9" t="s">
        <v>1877</v>
      </c>
    </row>
    <row r="161">
      <c r="A161" s="9" t="s">
        <v>1878</v>
      </c>
    </row>
    <row r="162">
      <c r="A162" s="9" t="s">
        <v>1879</v>
      </c>
    </row>
    <row r="163">
      <c r="A163" s="9" t="s">
        <v>1880</v>
      </c>
    </row>
    <row r="164">
      <c r="A164" s="9" t="s">
        <v>1881</v>
      </c>
    </row>
    <row r="165">
      <c r="A165" s="9" t="s">
        <v>1882</v>
      </c>
    </row>
    <row r="166">
      <c r="A166" s="9" t="s">
        <v>1883</v>
      </c>
    </row>
    <row r="167">
      <c r="A167" s="9" t="s">
        <v>1884</v>
      </c>
    </row>
    <row r="168">
      <c r="A168" s="9" t="s">
        <v>1885</v>
      </c>
    </row>
    <row r="169">
      <c r="A169" s="9" t="s">
        <v>1886</v>
      </c>
    </row>
    <row r="170">
      <c r="A170" s="9" t="s">
        <v>1887</v>
      </c>
    </row>
    <row r="171">
      <c r="A171" s="9" t="s">
        <v>1888</v>
      </c>
    </row>
    <row r="172">
      <c r="A172" s="9" t="s">
        <v>1889</v>
      </c>
    </row>
    <row r="173">
      <c r="A173" s="9" t="s">
        <v>1890</v>
      </c>
    </row>
    <row r="174">
      <c r="A174" s="9" t="s">
        <v>1891</v>
      </c>
    </row>
    <row r="175">
      <c r="A175" s="9" t="s">
        <v>1892</v>
      </c>
    </row>
    <row r="176">
      <c r="A176" s="9" t="s">
        <v>1893</v>
      </c>
    </row>
    <row r="177">
      <c r="A177" s="9" t="s">
        <v>1894</v>
      </c>
    </row>
    <row r="178">
      <c r="A178" s="9" t="s">
        <v>1895</v>
      </c>
    </row>
    <row r="179">
      <c r="A179" s="9" t="s">
        <v>1896</v>
      </c>
    </row>
    <row r="180">
      <c r="A180" s="9" t="s">
        <v>1897</v>
      </c>
    </row>
    <row r="181">
      <c r="A181" s="9" t="s">
        <v>1898</v>
      </c>
    </row>
    <row r="182">
      <c r="A182" s="9" t="s">
        <v>1899</v>
      </c>
    </row>
    <row r="183">
      <c r="A183" s="9" t="s">
        <v>1900</v>
      </c>
    </row>
    <row r="184">
      <c r="A184" s="9" t="s">
        <v>1901</v>
      </c>
    </row>
    <row r="185">
      <c r="A185" s="9" t="s">
        <v>1902</v>
      </c>
    </row>
    <row r="186">
      <c r="A186" s="9" t="s">
        <v>1903</v>
      </c>
    </row>
    <row r="187">
      <c r="A187" s="9" t="s">
        <v>384</v>
      </c>
    </row>
    <row r="188">
      <c r="A188" s="9" t="s">
        <v>1904</v>
      </c>
    </row>
    <row r="189">
      <c r="A189" s="9" t="s">
        <v>1905</v>
      </c>
    </row>
    <row r="190">
      <c r="A190" s="9" t="s">
        <v>1906</v>
      </c>
    </row>
    <row r="191">
      <c r="A191" s="9" t="s">
        <v>1907</v>
      </c>
    </row>
    <row r="192">
      <c r="A192" s="9" t="s">
        <v>1908</v>
      </c>
    </row>
    <row r="193">
      <c r="A193" s="9" t="s">
        <v>1909</v>
      </c>
    </row>
    <row r="194">
      <c r="A194" s="9" t="s">
        <v>1910</v>
      </c>
    </row>
    <row r="195">
      <c r="A195" s="9" t="s">
        <v>1911</v>
      </c>
    </row>
    <row r="196">
      <c r="A196" s="9" t="s">
        <v>1912</v>
      </c>
    </row>
    <row r="197">
      <c r="A197" s="9" t="s">
        <v>1913</v>
      </c>
    </row>
    <row r="198">
      <c r="A198" s="9" t="s">
        <v>1914</v>
      </c>
    </row>
    <row r="199">
      <c r="A199" s="9" t="s">
        <v>1915</v>
      </c>
    </row>
    <row r="200">
      <c r="A200" s="9" t="s">
        <v>1916</v>
      </c>
    </row>
    <row r="201">
      <c r="A201" s="9" t="s">
        <v>1917</v>
      </c>
    </row>
    <row r="202">
      <c r="A202" s="9" t="s">
        <v>1918</v>
      </c>
    </row>
    <row r="203">
      <c r="A203" s="9" t="s">
        <v>1919</v>
      </c>
    </row>
    <row r="204">
      <c r="A204" s="9" t="s">
        <v>1920</v>
      </c>
    </row>
    <row r="205">
      <c r="A205" s="9" t="s">
        <v>1921</v>
      </c>
    </row>
    <row r="206">
      <c r="A206" s="9" t="s">
        <v>1922</v>
      </c>
    </row>
    <row r="207">
      <c r="A207" s="9" t="s">
        <v>1923</v>
      </c>
    </row>
    <row r="208">
      <c r="A208" s="9" t="s">
        <v>1924</v>
      </c>
    </row>
    <row r="209">
      <c r="A209" s="9" t="s">
        <v>1925</v>
      </c>
    </row>
    <row r="210">
      <c r="A210" s="9" t="s">
        <v>1926</v>
      </c>
    </row>
    <row r="211">
      <c r="A211" s="9" t="s">
        <v>1927</v>
      </c>
    </row>
    <row r="212">
      <c r="A212" s="9" t="s">
        <v>1928</v>
      </c>
    </row>
    <row r="213">
      <c r="A213" s="9" t="s">
        <v>1929</v>
      </c>
    </row>
    <row r="214">
      <c r="A214" s="9" t="s">
        <v>1930</v>
      </c>
    </row>
    <row r="215">
      <c r="A215" s="9" t="s">
        <v>1931</v>
      </c>
    </row>
    <row r="216">
      <c r="A216" s="9" t="s">
        <v>1932</v>
      </c>
    </row>
    <row r="217">
      <c r="A217" s="9" t="s">
        <v>1933</v>
      </c>
    </row>
    <row r="218">
      <c r="A218" s="9" t="s">
        <v>1934</v>
      </c>
    </row>
    <row r="219">
      <c r="A219" s="9" t="s">
        <v>1935</v>
      </c>
    </row>
    <row r="220">
      <c r="A220" s="9" t="s">
        <v>1936</v>
      </c>
    </row>
    <row r="221">
      <c r="A221" s="9" t="s">
        <v>1937</v>
      </c>
    </row>
    <row r="222">
      <c r="A222" s="9" t="s">
        <v>1938</v>
      </c>
    </row>
    <row r="223">
      <c r="A223" s="9" t="s">
        <v>1939</v>
      </c>
    </row>
    <row r="224">
      <c r="A224" s="9" t="s">
        <v>1940</v>
      </c>
    </row>
    <row r="225">
      <c r="A225" s="9" t="s">
        <v>1941</v>
      </c>
    </row>
    <row r="226">
      <c r="A226" s="9" t="s">
        <v>1942</v>
      </c>
    </row>
    <row r="227">
      <c r="A227" s="9" t="s">
        <v>1943</v>
      </c>
    </row>
    <row r="228">
      <c r="A228" s="9" t="s">
        <v>1944</v>
      </c>
    </row>
    <row r="229">
      <c r="A229" s="9" t="s">
        <v>1945</v>
      </c>
    </row>
    <row r="230">
      <c r="A230" s="9" t="s">
        <v>1946</v>
      </c>
    </row>
    <row r="231">
      <c r="A231" s="9" t="s">
        <v>1947</v>
      </c>
    </row>
    <row r="232">
      <c r="A232" s="9" t="s">
        <v>1948</v>
      </c>
    </row>
    <row r="233">
      <c r="A233" s="9" t="s">
        <v>1949</v>
      </c>
    </row>
    <row r="234">
      <c r="A234" s="9" t="s">
        <v>1950</v>
      </c>
    </row>
    <row r="235">
      <c r="A235" s="9" t="s">
        <v>1951</v>
      </c>
    </row>
    <row r="236">
      <c r="A236" s="9" t="s">
        <v>1952</v>
      </c>
    </row>
    <row r="237">
      <c r="A237" s="9" t="s">
        <v>1953</v>
      </c>
    </row>
    <row r="238">
      <c r="A238" s="9" t="s">
        <v>1954</v>
      </c>
    </row>
    <row r="239">
      <c r="A239" s="9" t="s">
        <v>1955</v>
      </c>
    </row>
    <row r="240">
      <c r="A240" s="9" t="s">
        <v>1956</v>
      </c>
    </row>
    <row r="241">
      <c r="A241" s="9" t="s">
        <v>1957</v>
      </c>
    </row>
    <row r="242">
      <c r="A242" s="9" t="s">
        <v>1958</v>
      </c>
    </row>
    <row r="243">
      <c r="A243" s="9" t="s">
        <v>1959</v>
      </c>
    </row>
    <row r="244">
      <c r="A244" s="9" t="s">
        <v>1960</v>
      </c>
    </row>
    <row r="245">
      <c r="A245" s="9" t="s">
        <v>1961</v>
      </c>
    </row>
    <row r="246">
      <c r="A246" s="9" t="s">
        <v>1962</v>
      </c>
    </row>
    <row r="247">
      <c r="A247" s="9" t="s">
        <v>1963</v>
      </c>
    </row>
    <row r="248">
      <c r="A248" s="9" t="s">
        <v>1964</v>
      </c>
    </row>
    <row r="249">
      <c r="A249" s="9" t="s">
        <v>1965</v>
      </c>
    </row>
    <row r="250">
      <c r="A250" s="9" t="s">
        <v>1966</v>
      </c>
    </row>
    <row r="251">
      <c r="A251" s="9" t="s">
        <v>1967</v>
      </c>
    </row>
    <row r="252">
      <c r="A252" s="9" t="s">
        <v>1968</v>
      </c>
    </row>
    <row r="253">
      <c r="A253" s="9" t="s">
        <v>1969</v>
      </c>
    </row>
    <row r="254">
      <c r="A254" s="9" t="s">
        <v>1970</v>
      </c>
    </row>
    <row r="255">
      <c r="A255" s="9" t="s">
        <v>1971</v>
      </c>
    </row>
    <row r="256">
      <c r="A256" s="9" t="s">
        <v>1972</v>
      </c>
    </row>
    <row r="257">
      <c r="A257" s="9" t="s">
        <v>1973</v>
      </c>
    </row>
    <row r="258">
      <c r="A258" s="9" t="s">
        <v>1974</v>
      </c>
    </row>
    <row r="259">
      <c r="A259" s="9" t="s">
        <v>1975</v>
      </c>
    </row>
    <row r="260">
      <c r="A260" s="9" t="s">
        <v>1976</v>
      </c>
    </row>
    <row r="261">
      <c r="A261" s="9" t="s">
        <v>1977</v>
      </c>
    </row>
    <row r="262">
      <c r="A262" s="9" t="s">
        <v>1978</v>
      </c>
    </row>
    <row r="263">
      <c r="A263" s="9" t="s">
        <v>1979</v>
      </c>
    </row>
    <row r="264">
      <c r="A264" s="9" t="s">
        <v>1980</v>
      </c>
    </row>
    <row r="265">
      <c r="A265" s="9" t="s">
        <v>1981</v>
      </c>
    </row>
    <row r="266">
      <c r="A266" s="9" t="s">
        <v>1982</v>
      </c>
    </row>
    <row r="267">
      <c r="A267" s="9" t="s">
        <v>1983</v>
      </c>
    </row>
    <row r="268">
      <c r="A268" s="9" t="s">
        <v>1984</v>
      </c>
    </row>
    <row r="269">
      <c r="A269" s="9" t="s">
        <v>1985</v>
      </c>
    </row>
    <row r="270">
      <c r="A270" s="9" t="s">
        <v>1986</v>
      </c>
    </row>
    <row r="271">
      <c r="A271" s="9" t="s">
        <v>1987</v>
      </c>
    </row>
    <row r="272">
      <c r="A272" s="9" t="s">
        <v>1988</v>
      </c>
    </row>
    <row r="273">
      <c r="A273" s="9" t="s">
        <v>1989</v>
      </c>
    </row>
    <row r="274">
      <c r="A274" s="9" t="s">
        <v>1990</v>
      </c>
    </row>
    <row r="275">
      <c r="A275" s="9" t="s">
        <v>1991</v>
      </c>
    </row>
    <row r="276">
      <c r="A276" s="9" t="s">
        <v>1992</v>
      </c>
    </row>
    <row r="277">
      <c r="A277" s="9" t="s">
        <v>1993</v>
      </c>
    </row>
    <row r="278">
      <c r="A278" s="9" t="s">
        <v>1994</v>
      </c>
    </row>
    <row r="279">
      <c r="A279" s="9" t="s">
        <v>1995</v>
      </c>
    </row>
    <row r="280">
      <c r="A280" s="9" t="s">
        <v>1996</v>
      </c>
    </row>
    <row r="281">
      <c r="A281" s="9" t="s">
        <v>1997</v>
      </c>
    </row>
    <row r="282">
      <c r="A282" s="9" t="s">
        <v>1998</v>
      </c>
    </row>
    <row r="283">
      <c r="A283" s="9" t="s">
        <v>1999</v>
      </c>
    </row>
    <row r="284">
      <c r="A284" s="9" t="s">
        <v>2000</v>
      </c>
    </row>
    <row r="285">
      <c r="A285" s="9" t="s">
        <v>2001</v>
      </c>
    </row>
    <row r="286">
      <c r="A286" s="9" t="s">
        <v>2002</v>
      </c>
    </row>
    <row r="287">
      <c r="A287" s="9" t="s">
        <v>2003</v>
      </c>
    </row>
    <row r="288">
      <c r="A288" s="9" t="s">
        <v>2004</v>
      </c>
    </row>
    <row r="289">
      <c r="A289" s="9" t="s">
        <v>2005</v>
      </c>
    </row>
    <row r="290">
      <c r="A290" s="9" t="s">
        <v>2006</v>
      </c>
    </row>
    <row r="291">
      <c r="A291" s="9" t="s">
        <v>2007</v>
      </c>
    </row>
    <row r="292">
      <c r="A292" s="9" t="s">
        <v>2008</v>
      </c>
    </row>
    <row r="293">
      <c r="A293" s="9" t="s">
        <v>2009</v>
      </c>
    </row>
    <row r="294">
      <c r="A294" s="9" t="s">
        <v>485</v>
      </c>
    </row>
    <row r="295">
      <c r="A295" s="9" t="s">
        <v>2010</v>
      </c>
    </row>
    <row r="296">
      <c r="A296" s="9" t="s">
        <v>2011</v>
      </c>
    </row>
    <row r="297">
      <c r="A297" s="9" t="s">
        <v>2012</v>
      </c>
    </row>
    <row r="298">
      <c r="A298" s="9" t="s">
        <v>496</v>
      </c>
    </row>
    <row r="299">
      <c r="A299" s="9" t="s">
        <v>2013</v>
      </c>
    </row>
    <row r="300">
      <c r="A300" s="9" t="s">
        <v>2014</v>
      </c>
    </row>
    <row r="301">
      <c r="A301" s="9" t="s">
        <v>2015</v>
      </c>
    </row>
    <row r="302">
      <c r="A302" s="9" t="s">
        <v>2016</v>
      </c>
    </row>
    <row r="303">
      <c r="A303" s="9" t="s">
        <v>2017</v>
      </c>
    </row>
    <row r="304">
      <c r="A304" s="9" t="s">
        <v>2018</v>
      </c>
    </row>
    <row r="305">
      <c r="A305" s="9" t="s">
        <v>2019</v>
      </c>
    </row>
    <row r="306">
      <c r="A306" s="9" t="s">
        <v>2020</v>
      </c>
    </row>
    <row r="307">
      <c r="A307" s="9" t="s">
        <v>2021</v>
      </c>
    </row>
    <row r="308">
      <c r="A308" s="9" t="s">
        <v>2022</v>
      </c>
    </row>
    <row r="309">
      <c r="A309" s="9" t="s">
        <v>2023</v>
      </c>
    </row>
    <row r="310">
      <c r="A310" s="9" t="s">
        <v>2024</v>
      </c>
    </row>
    <row r="311">
      <c r="A311" s="9" t="s">
        <v>2025</v>
      </c>
    </row>
    <row r="312">
      <c r="A312" s="9" t="s">
        <v>2026</v>
      </c>
    </row>
    <row r="313">
      <c r="A313" s="9" t="s">
        <v>2027</v>
      </c>
    </row>
    <row r="314">
      <c r="A314" s="9" t="s">
        <v>2028</v>
      </c>
    </row>
    <row r="315">
      <c r="A315" s="9" t="s">
        <v>2029</v>
      </c>
    </row>
    <row r="316">
      <c r="A316" s="9" t="s">
        <v>2030</v>
      </c>
    </row>
    <row r="317">
      <c r="A317" s="9" t="s">
        <v>2031</v>
      </c>
    </row>
    <row r="318">
      <c r="A318" s="9" t="s">
        <v>2032</v>
      </c>
    </row>
    <row r="319">
      <c r="A319" s="9" t="s">
        <v>2033</v>
      </c>
    </row>
    <row r="320">
      <c r="A320" s="9" t="s">
        <v>2034</v>
      </c>
    </row>
    <row r="321">
      <c r="A321" s="9" t="s">
        <v>2035</v>
      </c>
    </row>
    <row r="322">
      <c r="A322" s="9" t="s">
        <v>2036</v>
      </c>
    </row>
    <row r="323">
      <c r="A323" s="9" t="s">
        <v>2037</v>
      </c>
    </row>
    <row r="324">
      <c r="A324" s="9" t="s">
        <v>2038</v>
      </c>
    </row>
    <row r="325">
      <c r="A325" s="9" t="s">
        <v>2039</v>
      </c>
    </row>
    <row r="326">
      <c r="A326" s="9" t="s">
        <v>2040</v>
      </c>
    </row>
    <row r="327">
      <c r="A327" s="9" t="s">
        <v>2041</v>
      </c>
    </row>
    <row r="328">
      <c r="A328" s="9" t="s">
        <v>2042</v>
      </c>
    </row>
    <row r="329">
      <c r="A329" s="9" t="s">
        <v>2043</v>
      </c>
    </row>
    <row r="330">
      <c r="A330" s="9" t="s">
        <v>2044</v>
      </c>
    </row>
    <row r="331">
      <c r="A331" s="9" t="s">
        <v>2045</v>
      </c>
    </row>
    <row r="332">
      <c r="A332" s="9" t="s">
        <v>2046</v>
      </c>
    </row>
    <row r="333">
      <c r="A333" s="9" t="s">
        <v>2047</v>
      </c>
    </row>
    <row r="334">
      <c r="A334" s="9" t="s">
        <v>2048</v>
      </c>
    </row>
    <row r="335">
      <c r="A335" s="9" t="s">
        <v>2049</v>
      </c>
    </row>
    <row r="336">
      <c r="A336" s="9" t="s">
        <v>2050</v>
      </c>
    </row>
    <row r="337">
      <c r="A337" s="9" t="s">
        <v>2051</v>
      </c>
    </row>
    <row r="338">
      <c r="A338" s="9" t="s">
        <v>2052</v>
      </c>
    </row>
    <row r="339">
      <c r="A339" s="9" t="s">
        <v>2053</v>
      </c>
    </row>
    <row r="340">
      <c r="A340" s="9" t="s">
        <v>2054</v>
      </c>
    </row>
    <row r="341">
      <c r="A341" s="9" t="s">
        <v>2055</v>
      </c>
    </row>
    <row r="342">
      <c r="A342" s="9" t="s">
        <v>2056</v>
      </c>
    </row>
    <row r="343">
      <c r="A343" s="9" t="s">
        <v>2057</v>
      </c>
    </row>
    <row r="344">
      <c r="A344" s="9" t="s">
        <v>2058</v>
      </c>
    </row>
    <row r="345">
      <c r="A345" s="9" t="s">
        <v>2059</v>
      </c>
    </row>
    <row r="346">
      <c r="A346" s="9" t="s">
        <v>2060</v>
      </c>
    </row>
    <row r="347">
      <c r="A347" s="9" t="s">
        <v>2061</v>
      </c>
    </row>
    <row r="348">
      <c r="A348" s="9" t="s">
        <v>2062</v>
      </c>
    </row>
    <row r="349">
      <c r="A349" s="9" t="s">
        <v>2063</v>
      </c>
    </row>
    <row r="350">
      <c r="A350" s="9" t="s">
        <v>2064</v>
      </c>
    </row>
    <row r="351">
      <c r="A351" s="9" t="s">
        <v>2065</v>
      </c>
    </row>
    <row r="352">
      <c r="A352" s="9" t="s">
        <v>2066</v>
      </c>
    </row>
    <row r="353">
      <c r="A353" s="9" t="s">
        <v>2067</v>
      </c>
    </row>
    <row r="354">
      <c r="A354" s="9" t="s">
        <v>2068</v>
      </c>
    </row>
    <row r="355">
      <c r="A355" s="9" t="s">
        <v>2069</v>
      </c>
    </row>
    <row r="356">
      <c r="A356" s="9" t="s">
        <v>2070</v>
      </c>
    </row>
    <row r="357">
      <c r="A357" s="9" t="s">
        <v>2071</v>
      </c>
    </row>
    <row r="358">
      <c r="A358" s="9" t="s">
        <v>2072</v>
      </c>
    </row>
    <row r="359">
      <c r="A359" s="9" t="s">
        <v>2073</v>
      </c>
    </row>
    <row r="360">
      <c r="A360" s="9" t="s">
        <v>2074</v>
      </c>
    </row>
    <row r="361">
      <c r="A361" s="9" t="s">
        <v>2075</v>
      </c>
    </row>
    <row r="362">
      <c r="A362" s="9" t="s">
        <v>2076</v>
      </c>
    </row>
    <row r="363">
      <c r="A363" s="9" t="s">
        <v>2077</v>
      </c>
    </row>
    <row r="364">
      <c r="A364" s="9" t="s">
        <v>2078</v>
      </c>
    </row>
    <row r="365">
      <c r="A365" s="9" t="s">
        <v>2079</v>
      </c>
    </row>
    <row r="366">
      <c r="A366" s="9" t="s">
        <v>592</v>
      </c>
    </row>
    <row r="367">
      <c r="A367" s="9" t="s">
        <v>2080</v>
      </c>
    </row>
    <row r="368">
      <c r="A368" s="9" t="s">
        <v>2081</v>
      </c>
    </row>
    <row r="369">
      <c r="A369" s="9" t="s">
        <v>2082</v>
      </c>
    </row>
    <row r="370">
      <c r="A370" s="9" t="s">
        <v>2083</v>
      </c>
    </row>
    <row r="371">
      <c r="A371" s="9" t="s">
        <v>2084</v>
      </c>
    </row>
    <row r="372">
      <c r="A372" s="9" t="s">
        <v>2085</v>
      </c>
    </row>
    <row r="373">
      <c r="A373" s="9" t="s">
        <v>2086</v>
      </c>
    </row>
    <row r="374">
      <c r="A374" s="9" t="s">
        <v>2087</v>
      </c>
    </row>
    <row r="375">
      <c r="A375" s="9" t="s">
        <v>2088</v>
      </c>
    </row>
    <row r="376">
      <c r="A376" s="9" t="s">
        <v>2089</v>
      </c>
    </row>
    <row r="377">
      <c r="A377" s="9" t="s">
        <v>2090</v>
      </c>
    </row>
    <row r="378">
      <c r="A378" s="9" t="s">
        <v>2091</v>
      </c>
    </row>
    <row r="379">
      <c r="A379" s="9" t="s">
        <v>2092</v>
      </c>
    </row>
    <row r="380">
      <c r="A380" s="9" t="s">
        <v>2093</v>
      </c>
    </row>
    <row r="381">
      <c r="A381" s="9" t="s">
        <v>2094</v>
      </c>
    </row>
    <row r="382">
      <c r="A382" s="9" t="s">
        <v>2095</v>
      </c>
    </row>
    <row r="383">
      <c r="A383" s="9" t="s">
        <v>2096</v>
      </c>
    </row>
    <row r="384">
      <c r="A384" s="9" t="s">
        <v>2097</v>
      </c>
    </row>
    <row r="385">
      <c r="A385" s="9" t="s">
        <v>2098</v>
      </c>
    </row>
    <row r="386">
      <c r="A386" s="9" t="s">
        <v>2099</v>
      </c>
    </row>
    <row r="387">
      <c r="A387" s="9" t="s">
        <v>2100</v>
      </c>
    </row>
    <row r="388">
      <c r="A388" s="9" t="s">
        <v>2101</v>
      </c>
    </row>
    <row r="389">
      <c r="A389" s="9" t="s">
        <v>2102</v>
      </c>
    </row>
    <row r="390">
      <c r="A390" s="9" t="s">
        <v>2103</v>
      </c>
    </row>
    <row r="391">
      <c r="A391" s="9" t="s">
        <v>2104</v>
      </c>
    </row>
    <row r="392">
      <c r="A392" s="9" t="s">
        <v>620</v>
      </c>
    </row>
    <row r="393">
      <c r="A393" s="9" t="s">
        <v>2105</v>
      </c>
    </row>
    <row r="394">
      <c r="A394" s="9" t="s">
        <v>2106</v>
      </c>
    </row>
    <row r="395">
      <c r="A395" s="9" t="s">
        <v>2107</v>
      </c>
    </row>
    <row r="396">
      <c r="A396" s="9" t="s">
        <v>2108</v>
      </c>
    </row>
    <row r="397">
      <c r="A397" s="9" t="s">
        <v>2109</v>
      </c>
    </row>
    <row r="398">
      <c r="A398" s="9" t="s">
        <v>2110</v>
      </c>
    </row>
    <row r="399">
      <c r="A399" s="9" t="s">
        <v>2111</v>
      </c>
    </row>
    <row r="400">
      <c r="A400" s="9" t="s">
        <v>2112</v>
      </c>
    </row>
    <row r="401">
      <c r="A401" s="9" t="s">
        <v>2113</v>
      </c>
    </row>
    <row r="402">
      <c r="A402" s="9" t="s">
        <v>2114</v>
      </c>
    </row>
    <row r="403">
      <c r="A403" s="9" t="s">
        <v>2115</v>
      </c>
    </row>
    <row r="404">
      <c r="A404" s="9" t="s">
        <v>2116</v>
      </c>
    </row>
    <row r="405">
      <c r="A405" s="9" t="s">
        <v>2117</v>
      </c>
    </row>
    <row r="406">
      <c r="A406" s="9" t="s">
        <v>2118</v>
      </c>
    </row>
    <row r="407">
      <c r="A407" s="9" t="s">
        <v>2119</v>
      </c>
    </row>
    <row r="408">
      <c r="A408" s="9" t="s">
        <v>2120</v>
      </c>
    </row>
    <row r="409">
      <c r="A409" s="9" t="s">
        <v>2121</v>
      </c>
    </row>
    <row r="410">
      <c r="A410" s="9" t="s">
        <v>2122</v>
      </c>
    </row>
    <row r="411">
      <c r="A411" s="9" t="s">
        <v>2123</v>
      </c>
    </row>
    <row r="412">
      <c r="A412" s="9" t="s">
        <v>2124</v>
      </c>
    </row>
    <row r="413">
      <c r="A413" s="9" t="s">
        <v>2125</v>
      </c>
    </row>
    <row r="414">
      <c r="A414" s="9" t="s">
        <v>2126</v>
      </c>
    </row>
    <row r="415">
      <c r="A415" s="9" t="s">
        <v>2127</v>
      </c>
    </row>
    <row r="416">
      <c r="A416" s="9" t="s">
        <v>2128</v>
      </c>
    </row>
    <row r="417">
      <c r="A417" s="9" t="s">
        <v>2129</v>
      </c>
    </row>
    <row r="418">
      <c r="A418" s="9" t="s">
        <v>2130</v>
      </c>
    </row>
    <row r="419">
      <c r="A419" s="9" t="s">
        <v>638</v>
      </c>
    </row>
    <row r="420">
      <c r="A420" s="9" t="s">
        <v>2131</v>
      </c>
    </row>
    <row r="421">
      <c r="A421" s="9" t="s">
        <v>2132</v>
      </c>
    </row>
    <row r="422">
      <c r="A422" s="9" t="s">
        <v>2133</v>
      </c>
    </row>
    <row r="423">
      <c r="A423" s="9" t="s">
        <v>2134</v>
      </c>
    </row>
    <row r="424">
      <c r="A424" s="9" t="s">
        <v>2135</v>
      </c>
    </row>
    <row r="425">
      <c r="A425" s="9" t="s">
        <v>2136</v>
      </c>
    </row>
    <row r="426">
      <c r="A426" s="9" t="s">
        <v>2137</v>
      </c>
    </row>
    <row r="427">
      <c r="A427" s="9" t="s">
        <v>2138</v>
      </c>
    </row>
    <row r="428">
      <c r="A428" s="9" t="s">
        <v>2139</v>
      </c>
    </row>
    <row r="429">
      <c r="A429" s="9" t="s">
        <v>2140</v>
      </c>
    </row>
    <row r="430">
      <c r="A430" s="9" t="s">
        <v>2141</v>
      </c>
    </row>
    <row r="431">
      <c r="A431" s="9" t="s">
        <v>2142</v>
      </c>
    </row>
    <row r="432">
      <c r="A432" s="9" t="s">
        <v>2143</v>
      </c>
    </row>
    <row r="433">
      <c r="A433" s="9" t="s">
        <v>2144</v>
      </c>
    </row>
    <row r="434">
      <c r="A434" s="9" t="s">
        <v>2145</v>
      </c>
    </row>
    <row r="435">
      <c r="A435" s="9" t="s">
        <v>2146</v>
      </c>
    </row>
    <row r="436">
      <c r="A436" s="9" t="s">
        <v>2147</v>
      </c>
    </row>
    <row r="437">
      <c r="A437" s="9" t="s">
        <v>2148</v>
      </c>
    </row>
    <row r="438">
      <c r="A438" s="9" t="s">
        <v>2149</v>
      </c>
    </row>
    <row r="439">
      <c r="A439" s="9" t="s">
        <v>2150</v>
      </c>
    </row>
    <row r="440">
      <c r="A440" s="9" t="s">
        <v>2151</v>
      </c>
    </row>
    <row r="441">
      <c r="A441" s="9" t="s">
        <v>2152</v>
      </c>
    </row>
    <row r="442">
      <c r="A442" s="9" t="s">
        <v>2153</v>
      </c>
    </row>
    <row r="443">
      <c r="A443" s="9" t="s">
        <v>2154</v>
      </c>
    </row>
    <row r="444">
      <c r="A444" s="9" t="s">
        <v>2155</v>
      </c>
    </row>
    <row r="445">
      <c r="A445" s="9" t="s">
        <v>2156</v>
      </c>
    </row>
    <row r="446">
      <c r="A446" s="9" t="s">
        <v>2157</v>
      </c>
    </row>
    <row r="447">
      <c r="A447" s="9" t="s">
        <v>2158</v>
      </c>
    </row>
    <row r="448">
      <c r="A448" s="9" t="s">
        <v>2159</v>
      </c>
    </row>
    <row r="449">
      <c r="A449" s="9" t="s">
        <v>2160</v>
      </c>
    </row>
    <row r="450">
      <c r="A450" s="9" t="s">
        <v>2161</v>
      </c>
    </row>
    <row r="451">
      <c r="A451" s="9" t="s">
        <v>2162</v>
      </c>
    </row>
    <row r="452">
      <c r="A452" s="9" t="s">
        <v>2163</v>
      </c>
    </row>
    <row r="453">
      <c r="A453" s="9" t="s">
        <v>2164</v>
      </c>
    </row>
    <row r="454">
      <c r="A454" s="9" t="s">
        <v>2165</v>
      </c>
    </row>
    <row r="455">
      <c r="A455" s="9" t="s">
        <v>2166</v>
      </c>
    </row>
    <row r="456">
      <c r="A456" s="9" t="s">
        <v>2167</v>
      </c>
    </row>
    <row r="457">
      <c r="A457" s="9" t="s">
        <v>2168</v>
      </c>
    </row>
    <row r="458">
      <c r="A458" s="9" t="s">
        <v>2169</v>
      </c>
    </row>
    <row r="459">
      <c r="A459" s="9" t="s">
        <v>2170</v>
      </c>
    </row>
    <row r="460">
      <c r="A460" s="9" t="s">
        <v>2171</v>
      </c>
    </row>
    <row r="461">
      <c r="A461" s="9" t="s">
        <v>2172</v>
      </c>
    </row>
    <row r="462">
      <c r="A462" s="9" t="s">
        <v>2173</v>
      </c>
    </row>
    <row r="463">
      <c r="A463" s="9" t="s">
        <v>2174</v>
      </c>
    </row>
    <row r="464">
      <c r="A464" s="9" t="s">
        <v>2175</v>
      </c>
    </row>
    <row r="465">
      <c r="A465" s="9" t="s">
        <v>2176</v>
      </c>
    </row>
    <row r="466">
      <c r="A466" s="9" t="s">
        <v>2177</v>
      </c>
    </row>
    <row r="467">
      <c r="A467" s="9" t="s">
        <v>2178</v>
      </c>
    </row>
    <row r="468">
      <c r="A468" s="9" t="s">
        <v>2179</v>
      </c>
    </row>
    <row r="469">
      <c r="A469" s="9" t="s">
        <v>2180</v>
      </c>
    </row>
    <row r="470">
      <c r="A470" s="9" t="s">
        <v>2181</v>
      </c>
    </row>
    <row r="471">
      <c r="A471" s="9" t="s">
        <v>2182</v>
      </c>
    </row>
    <row r="472">
      <c r="A472" s="9" t="s">
        <v>2183</v>
      </c>
    </row>
    <row r="473">
      <c r="A473" s="9" t="s">
        <v>2184</v>
      </c>
    </row>
    <row r="474">
      <c r="A474" s="9" t="s">
        <v>2185</v>
      </c>
    </row>
    <row r="475">
      <c r="A475" s="9" t="s">
        <v>2186</v>
      </c>
    </row>
    <row r="476">
      <c r="A476" s="9" t="s">
        <v>2187</v>
      </c>
    </row>
    <row r="477">
      <c r="A477" s="9" t="s">
        <v>2188</v>
      </c>
    </row>
    <row r="478">
      <c r="A478" s="9" t="s">
        <v>2189</v>
      </c>
    </row>
    <row r="479">
      <c r="A479" s="9" t="s">
        <v>2190</v>
      </c>
    </row>
    <row r="480">
      <c r="A480" s="9" t="s">
        <v>2191</v>
      </c>
    </row>
    <row r="481">
      <c r="A481" s="9" t="s">
        <v>2192</v>
      </c>
    </row>
    <row r="482">
      <c r="A482" s="9" t="s">
        <v>2193</v>
      </c>
    </row>
    <row r="483">
      <c r="A483" s="9" t="s">
        <v>2194</v>
      </c>
    </row>
    <row r="484">
      <c r="A484" s="9" t="s">
        <v>2195</v>
      </c>
    </row>
    <row r="485">
      <c r="A485" s="9" t="s">
        <v>2196</v>
      </c>
    </row>
    <row r="486">
      <c r="A486" s="9" t="s">
        <v>2197</v>
      </c>
    </row>
    <row r="487">
      <c r="A487" s="9" t="s">
        <v>2198</v>
      </c>
    </row>
    <row r="488">
      <c r="A488" s="9" t="s">
        <v>2199</v>
      </c>
    </row>
    <row r="489">
      <c r="A489" s="9" t="s">
        <v>2200</v>
      </c>
    </row>
    <row r="490">
      <c r="A490" s="9" t="s">
        <v>2201</v>
      </c>
    </row>
    <row r="491">
      <c r="A491" s="9" t="s">
        <v>2202</v>
      </c>
    </row>
    <row r="492">
      <c r="A492" s="9" t="s">
        <v>2203</v>
      </c>
    </row>
    <row r="493">
      <c r="A493" s="9" t="s">
        <v>2204</v>
      </c>
    </row>
    <row r="494">
      <c r="A494" s="9" t="s">
        <v>2205</v>
      </c>
    </row>
    <row r="495">
      <c r="A495" s="9" t="s">
        <v>2206</v>
      </c>
    </row>
    <row r="496">
      <c r="A496" s="9" t="s">
        <v>2207</v>
      </c>
    </row>
    <row r="497">
      <c r="A497" s="9" t="s">
        <v>2208</v>
      </c>
    </row>
    <row r="498">
      <c r="A498" s="9" t="s">
        <v>2209</v>
      </c>
    </row>
    <row r="499">
      <c r="A499" s="9" t="s">
        <v>2210</v>
      </c>
    </row>
    <row r="500">
      <c r="A500" s="9" t="s">
        <v>2211</v>
      </c>
    </row>
    <row r="501">
      <c r="A501" s="9" t="s">
        <v>2212</v>
      </c>
    </row>
    <row r="502">
      <c r="A502" s="9" t="s">
        <v>2213</v>
      </c>
    </row>
    <row r="503">
      <c r="A503" s="9" t="s">
        <v>2214</v>
      </c>
    </row>
    <row r="504">
      <c r="A504" s="9" t="s">
        <v>2215</v>
      </c>
    </row>
    <row r="505">
      <c r="A505" s="9" t="s">
        <v>2216</v>
      </c>
    </row>
    <row r="506">
      <c r="A506" s="9" t="s">
        <v>2217</v>
      </c>
    </row>
    <row r="507">
      <c r="A507" s="9" t="s">
        <v>2218</v>
      </c>
    </row>
    <row r="508">
      <c r="A508" s="9" t="s">
        <v>2219</v>
      </c>
    </row>
    <row r="509">
      <c r="A509" s="9" t="s">
        <v>2220</v>
      </c>
    </row>
    <row r="510">
      <c r="A510" s="9" t="s">
        <v>2221</v>
      </c>
    </row>
    <row r="511">
      <c r="A511" s="9" t="s">
        <v>2222</v>
      </c>
    </row>
    <row r="512">
      <c r="A512" s="9" t="s">
        <v>2223</v>
      </c>
    </row>
    <row r="513">
      <c r="A513" s="9" t="s">
        <v>2224</v>
      </c>
    </row>
    <row r="514">
      <c r="A514" s="9" t="s">
        <v>2225</v>
      </c>
    </row>
    <row r="515">
      <c r="A515" s="9" t="s">
        <v>2226</v>
      </c>
    </row>
    <row r="516">
      <c r="A516" s="9" t="s">
        <v>2227</v>
      </c>
    </row>
    <row r="517">
      <c r="A517" s="9" t="s">
        <v>2228</v>
      </c>
    </row>
    <row r="518">
      <c r="A518" s="9" t="s">
        <v>2229</v>
      </c>
    </row>
    <row r="519">
      <c r="A519" s="9" t="s">
        <v>2230</v>
      </c>
    </row>
    <row r="520">
      <c r="A520" s="9" t="s">
        <v>2231</v>
      </c>
    </row>
    <row r="521">
      <c r="A521" s="9" t="s">
        <v>2232</v>
      </c>
    </row>
    <row r="522">
      <c r="A522" s="9" t="s">
        <v>2233</v>
      </c>
    </row>
    <row r="523">
      <c r="A523" s="9" t="s">
        <v>2234</v>
      </c>
    </row>
    <row r="524">
      <c r="A524" s="9" t="s">
        <v>2235</v>
      </c>
    </row>
    <row r="525">
      <c r="A525" s="9" t="s">
        <v>2236</v>
      </c>
    </row>
    <row r="526">
      <c r="A526" s="9" t="s">
        <v>2237</v>
      </c>
    </row>
    <row r="527">
      <c r="A527" s="9" t="s">
        <v>2238</v>
      </c>
    </row>
    <row r="528">
      <c r="A528" s="9" t="s">
        <v>2239</v>
      </c>
    </row>
    <row r="529">
      <c r="A529" s="9" t="s">
        <v>2240</v>
      </c>
    </row>
    <row r="530">
      <c r="A530" s="9" t="s">
        <v>2241</v>
      </c>
    </row>
    <row r="531">
      <c r="A531" s="9" t="s">
        <v>2242</v>
      </c>
    </row>
    <row r="532">
      <c r="A532" s="9" t="s">
        <v>2243</v>
      </c>
    </row>
    <row r="533">
      <c r="A533" s="9" t="s">
        <v>2244</v>
      </c>
    </row>
    <row r="534">
      <c r="A534" s="9" t="s">
        <v>2245</v>
      </c>
    </row>
    <row r="535">
      <c r="A535" s="9" t="s">
        <v>2246</v>
      </c>
    </row>
    <row r="536">
      <c r="A536" s="9" t="s">
        <v>2247</v>
      </c>
    </row>
    <row r="537">
      <c r="A537" s="9" t="s">
        <v>2248</v>
      </c>
    </row>
    <row r="538">
      <c r="A538" s="9" t="s">
        <v>2249</v>
      </c>
    </row>
    <row r="539">
      <c r="A539" s="9" t="s">
        <v>2250</v>
      </c>
    </row>
    <row r="540">
      <c r="A540" s="9" t="s">
        <v>2251</v>
      </c>
    </row>
    <row r="541">
      <c r="A541" s="9" t="s">
        <v>2252</v>
      </c>
    </row>
    <row r="542">
      <c r="A542" s="9" t="s">
        <v>2253</v>
      </c>
    </row>
    <row r="543">
      <c r="A543" s="9" t="s">
        <v>2254</v>
      </c>
    </row>
    <row r="544">
      <c r="A544" s="9" t="s">
        <v>2255</v>
      </c>
    </row>
    <row r="545">
      <c r="A545" s="9" t="s">
        <v>2256</v>
      </c>
    </row>
    <row r="546">
      <c r="A546" s="9" t="s">
        <v>2257</v>
      </c>
    </row>
    <row r="547">
      <c r="A547" s="9" t="s">
        <v>2258</v>
      </c>
    </row>
    <row r="548">
      <c r="A548" s="9" t="s">
        <v>2259</v>
      </c>
    </row>
    <row r="549">
      <c r="A549" s="9" t="s">
        <v>2260</v>
      </c>
    </row>
    <row r="550">
      <c r="A550" s="9" t="s">
        <v>2261</v>
      </c>
    </row>
    <row r="551">
      <c r="A551" s="9" t="s">
        <v>2262</v>
      </c>
    </row>
    <row r="552">
      <c r="A552" s="9" t="s">
        <v>2263</v>
      </c>
    </row>
    <row r="553">
      <c r="A553" s="9" t="s">
        <v>2264</v>
      </c>
    </row>
    <row r="554">
      <c r="A554" s="9" t="s">
        <v>2265</v>
      </c>
    </row>
    <row r="555">
      <c r="A555" s="9" t="s">
        <v>2266</v>
      </c>
    </row>
    <row r="556">
      <c r="A556" s="9" t="s">
        <v>2267</v>
      </c>
    </row>
    <row r="557">
      <c r="A557" s="9" t="s">
        <v>2268</v>
      </c>
    </row>
    <row r="558">
      <c r="A558" s="9" t="s">
        <v>2269</v>
      </c>
    </row>
    <row r="559">
      <c r="A559" s="9" t="s">
        <v>2270</v>
      </c>
    </row>
    <row r="560">
      <c r="A560" s="9" t="s">
        <v>2271</v>
      </c>
    </row>
    <row r="561">
      <c r="A561" s="9" t="s">
        <v>2272</v>
      </c>
    </row>
    <row r="562">
      <c r="A562" s="9" t="s">
        <v>2273</v>
      </c>
    </row>
    <row r="563">
      <c r="A563" s="9" t="s">
        <v>2274</v>
      </c>
    </row>
    <row r="564">
      <c r="A564" s="9" t="s">
        <v>2275</v>
      </c>
    </row>
    <row r="565">
      <c r="A565" s="9" t="s">
        <v>2276</v>
      </c>
    </row>
    <row r="566">
      <c r="A566" s="9" t="s">
        <v>2277</v>
      </c>
    </row>
    <row r="567">
      <c r="A567" s="9" t="s">
        <v>2278</v>
      </c>
    </row>
    <row r="568">
      <c r="A568" s="9" t="s">
        <v>2279</v>
      </c>
    </row>
    <row r="569">
      <c r="A569" s="9" t="s">
        <v>2280</v>
      </c>
    </row>
    <row r="570">
      <c r="A570" s="9" t="s">
        <v>2281</v>
      </c>
    </row>
    <row r="571">
      <c r="A571" s="9" t="s">
        <v>2282</v>
      </c>
    </row>
    <row r="572">
      <c r="A572" s="9" t="s">
        <v>2283</v>
      </c>
    </row>
    <row r="573">
      <c r="A573" s="9" t="s">
        <v>2284</v>
      </c>
    </row>
    <row r="574">
      <c r="A574" s="9" t="s">
        <v>2285</v>
      </c>
    </row>
    <row r="575">
      <c r="A575" s="9" t="s">
        <v>2286</v>
      </c>
    </row>
    <row r="576">
      <c r="A576" s="9" t="s">
        <v>2287</v>
      </c>
    </row>
    <row r="577">
      <c r="A577" s="9" t="s">
        <v>2288</v>
      </c>
    </row>
    <row r="578">
      <c r="A578" s="9" t="s">
        <v>2289</v>
      </c>
    </row>
    <row r="579">
      <c r="A579" s="9" t="s">
        <v>2290</v>
      </c>
    </row>
    <row r="580">
      <c r="A580" s="9" t="s">
        <v>2291</v>
      </c>
    </row>
    <row r="581">
      <c r="A581" s="9" t="s">
        <v>2292</v>
      </c>
    </row>
    <row r="582">
      <c r="A582" s="9" t="s">
        <v>2293</v>
      </c>
    </row>
    <row r="583">
      <c r="A583" s="9" t="s">
        <v>2294</v>
      </c>
    </row>
    <row r="584">
      <c r="A584" s="9" t="s">
        <v>2295</v>
      </c>
    </row>
    <row r="585">
      <c r="A585" s="9" t="s">
        <v>2296</v>
      </c>
    </row>
    <row r="586">
      <c r="A586" s="9" t="s">
        <v>2297</v>
      </c>
    </row>
    <row r="587">
      <c r="A587" s="9" t="s">
        <v>2298</v>
      </c>
    </row>
    <row r="588">
      <c r="A588" s="9" t="s">
        <v>2299</v>
      </c>
    </row>
    <row r="589">
      <c r="A589" s="9" t="s">
        <v>2300</v>
      </c>
    </row>
    <row r="590">
      <c r="A590" s="9" t="s">
        <v>2301</v>
      </c>
    </row>
    <row r="591">
      <c r="A591" s="9" t="s">
        <v>2302</v>
      </c>
    </row>
    <row r="592">
      <c r="A592" s="9" t="s">
        <v>2303</v>
      </c>
    </row>
    <row r="593">
      <c r="A593" s="9" t="s">
        <v>2304</v>
      </c>
    </row>
    <row r="594">
      <c r="A594" s="9" t="s">
        <v>2305</v>
      </c>
    </row>
    <row r="595">
      <c r="A595" s="9" t="s">
        <v>2306</v>
      </c>
    </row>
    <row r="596">
      <c r="A596" s="9" t="s">
        <v>2307</v>
      </c>
    </row>
    <row r="597">
      <c r="A597" s="9" t="s">
        <v>2308</v>
      </c>
    </row>
    <row r="598">
      <c r="A598" s="9" t="s">
        <v>2309</v>
      </c>
    </row>
    <row r="599">
      <c r="A599" s="9" t="s">
        <v>2310</v>
      </c>
    </row>
    <row r="600">
      <c r="A600" s="9" t="s">
        <v>2311</v>
      </c>
    </row>
    <row r="601">
      <c r="A601" s="9" t="s">
        <v>2312</v>
      </c>
    </row>
    <row r="602">
      <c r="A602" s="9" t="s">
        <v>2313</v>
      </c>
    </row>
    <row r="603">
      <c r="A603" s="9" t="s">
        <v>2314</v>
      </c>
    </row>
    <row r="604">
      <c r="A604" s="9" t="s">
        <v>2315</v>
      </c>
    </row>
    <row r="605">
      <c r="A605" s="9" t="s">
        <v>2316</v>
      </c>
    </row>
    <row r="606">
      <c r="A606" s="9" t="s">
        <v>2317</v>
      </c>
    </row>
    <row r="607">
      <c r="A607" s="9" t="s">
        <v>2318</v>
      </c>
    </row>
    <row r="608">
      <c r="A608" s="9" t="s">
        <v>2319</v>
      </c>
    </row>
    <row r="609">
      <c r="A609" s="9" t="s">
        <v>2320</v>
      </c>
    </row>
    <row r="610">
      <c r="A610" s="9" t="s">
        <v>2321</v>
      </c>
    </row>
    <row r="611">
      <c r="A611" s="9" t="s">
        <v>2322</v>
      </c>
    </row>
    <row r="612">
      <c r="A612" s="9" t="s">
        <v>2323</v>
      </c>
    </row>
    <row r="613">
      <c r="A613" s="9" t="s">
        <v>2324</v>
      </c>
    </row>
    <row r="614">
      <c r="A614" s="9" t="s">
        <v>2325</v>
      </c>
    </row>
    <row r="615">
      <c r="A615" s="9" t="s">
        <v>2326</v>
      </c>
    </row>
    <row r="616">
      <c r="A616" s="9" t="s">
        <v>2327</v>
      </c>
    </row>
    <row r="617">
      <c r="A617" s="9" t="s">
        <v>2328</v>
      </c>
    </row>
    <row r="618">
      <c r="A618" s="9" t="s">
        <v>2329</v>
      </c>
    </row>
    <row r="619">
      <c r="A619" s="9" t="s">
        <v>2330</v>
      </c>
    </row>
    <row r="620">
      <c r="A620" s="9" t="s">
        <v>2331</v>
      </c>
    </row>
    <row r="621">
      <c r="A621" s="9" t="s">
        <v>2332</v>
      </c>
    </row>
    <row r="622">
      <c r="A622" s="9" t="s">
        <v>2333</v>
      </c>
    </row>
    <row r="623">
      <c r="A623" s="9" t="s">
        <v>2334</v>
      </c>
    </row>
    <row r="624">
      <c r="A624" s="9" t="s">
        <v>2335</v>
      </c>
    </row>
    <row r="625">
      <c r="A625" s="9" t="s">
        <v>2336</v>
      </c>
    </row>
    <row r="626">
      <c r="A626" s="9" t="s">
        <v>2337</v>
      </c>
    </row>
    <row r="627">
      <c r="A627" s="9" t="s">
        <v>2338</v>
      </c>
    </row>
    <row r="628">
      <c r="A628" s="9" t="s">
        <v>2339</v>
      </c>
    </row>
    <row r="629">
      <c r="A629" s="9" t="s">
        <v>2340</v>
      </c>
    </row>
    <row r="630">
      <c r="A630" s="9" t="s">
        <v>2341</v>
      </c>
    </row>
    <row r="631">
      <c r="A631" s="9" t="s">
        <v>2342</v>
      </c>
    </row>
    <row r="632">
      <c r="A632" s="9" t="s">
        <v>2343</v>
      </c>
    </row>
    <row r="633">
      <c r="A633" s="9" t="s">
        <v>2344</v>
      </c>
    </row>
    <row r="634">
      <c r="A634" s="9" t="s">
        <v>2345</v>
      </c>
    </row>
    <row r="635">
      <c r="A635" s="9" t="s">
        <v>2346</v>
      </c>
    </row>
    <row r="636">
      <c r="A636" s="9" t="s">
        <v>2347</v>
      </c>
    </row>
    <row r="637">
      <c r="A637" s="9" t="s">
        <v>2348</v>
      </c>
    </row>
    <row r="638">
      <c r="A638" s="9" t="s">
        <v>2349</v>
      </c>
    </row>
    <row r="639">
      <c r="A639" s="9" t="s">
        <v>2350</v>
      </c>
    </row>
    <row r="640">
      <c r="A640" s="9" t="s">
        <v>2351</v>
      </c>
    </row>
    <row r="641">
      <c r="A641" s="9" t="s">
        <v>2352</v>
      </c>
    </row>
    <row r="642">
      <c r="A642" s="9" t="s">
        <v>2353</v>
      </c>
    </row>
    <row r="643">
      <c r="A643" s="9" t="s">
        <v>2354</v>
      </c>
    </row>
    <row r="644">
      <c r="A644" s="9" t="s">
        <v>2355</v>
      </c>
    </row>
    <row r="645">
      <c r="A645" s="9" t="s">
        <v>2356</v>
      </c>
    </row>
    <row r="646">
      <c r="A646" s="9" t="s">
        <v>2357</v>
      </c>
    </row>
    <row r="647">
      <c r="A647" s="9" t="s">
        <v>2358</v>
      </c>
    </row>
    <row r="648">
      <c r="A648" s="9" t="s">
        <v>2359</v>
      </c>
    </row>
    <row r="649">
      <c r="A649" s="9" t="s">
        <v>2360</v>
      </c>
    </row>
    <row r="650">
      <c r="A650" s="9" t="s">
        <v>2361</v>
      </c>
    </row>
    <row r="651">
      <c r="A651" s="9" t="s">
        <v>2362</v>
      </c>
    </row>
    <row r="652">
      <c r="A652" s="9" t="s">
        <v>2363</v>
      </c>
    </row>
    <row r="653">
      <c r="A653" s="9" t="s">
        <v>2364</v>
      </c>
    </row>
    <row r="654">
      <c r="A654" s="9" t="s">
        <v>2365</v>
      </c>
    </row>
    <row r="655">
      <c r="A655" s="9" t="s">
        <v>2366</v>
      </c>
    </row>
    <row r="656">
      <c r="A656" s="9" t="s">
        <v>2367</v>
      </c>
    </row>
    <row r="657">
      <c r="A657" s="9" t="s">
        <v>2368</v>
      </c>
    </row>
    <row r="658">
      <c r="A658" s="9" t="s">
        <v>2369</v>
      </c>
    </row>
    <row r="659">
      <c r="A659" s="9" t="s">
        <v>2370</v>
      </c>
    </row>
    <row r="660">
      <c r="A660" s="9" t="s">
        <v>2371</v>
      </c>
    </row>
    <row r="661">
      <c r="A661" s="9" t="s">
        <v>2372</v>
      </c>
    </row>
    <row r="662">
      <c r="A662" s="9" t="s">
        <v>2373</v>
      </c>
    </row>
    <row r="663">
      <c r="A663" s="9" t="s">
        <v>2374</v>
      </c>
    </row>
    <row r="664">
      <c r="A664" s="9" t="s">
        <v>2375</v>
      </c>
    </row>
    <row r="665">
      <c r="A665" s="9" t="s">
        <v>2376</v>
      </c>
    </row>
    <row r="666">
      <c r="A666" s="9" t="s">
        <v>2377</v>
      </c>
    </row>
    <row r="667">
      <c r="A667" s="9" t="s">
        <v>2378</v>
      </c>
    </row>
    <row r="668">
      <c r="A668" s="9" t="s">
        <v>2379</v>
      </c>
    </row>
    <row r="669">
      <c r="A669" s="9" t="s">
        <v>2380</v>
      </c>
    </row>
    <row r="670">
      <c r="A670" s="9" t="s">
        <v>2381</v>
      </c>
    </row>
    <row r="671">
      <c r="A671" s="9" t="s">
        <v>2382</v>
      </c>
    </row>
    <row r="672">
      <c r="A672" s="9" t="s">
        <v>2383</v>
      </c>
    </row>
    <row r="673">
      <c r="A673" s="9" t="s">
        <v>2384</v>
      </c>
    </row>
    <row r="674">
      <c r="A674" s="9" t="s">
        <v>2385</v>
      </c>
    </row>
    <row r="675">
      <c r="A675" s="9" t="s">
        <v>2386</v>
      </c>
    </row>
    <row r="676">
      <c r="A676" s="9" t="s">
        <v>2387</v>
      </c>
    </row>
    <row r="677">
      <c r="A677" s="9" t="s">
        <v>2388</v>
      </c>
    </row>
    <row r="678">
      <c r="A678" s="9" t="s">
        <v>2389</v>
      </c>
    </row>
    <row r="679">
      <c r="A679" s="9" t="s">
        <v>2390</v>
      </c>
    </row>
    <row r="680">
      <c r="A680" s="9" t="s">
        <v>2391</v>
      </c>
    </row>
    <row r="681">
      <c r="A681" s="9" t="s">
        <v>2392</v>
      </c>
    </row>
    <row r="682">
      <c r="A682" s="9" t="s">
        <v>2393</v>
      </c>
    </row>
    <row r="683">
      <c r="A683" s="9" t="s">
        <v>2394</v>
      </c>
    </row>
    <row r="684">
      <c r="A684" s="9" t="s">
        <v>2395</v>
      </c>
    </row>
    <row r="685">
      <c r="A685" s="9" t="s">
        <v>2396</v>
      </c>
    </row>
    <row r="686">
      <c r="A686" s="9" t="s">
        <v>2397</v>
      </c>
    </row>
    <row r="687">
      <c r="A687" s="9" t="s">
        <v>2398</v>
      </c>
    </row>
    <row r="688">
      <c r="A688" s="9" t="s">
        <v>2399</v>
      </c>
    </row>
    <row r="689">
      <c r="A689" s="9" t="s">
        <v>2400</v>
      </c>
    </row>
    <row r="690">
      <c r="A690" s="9" t="s">
        <v>2401</v>
      </c>
    </row>
    <row r="691">
      <c r="A691" s="9" t="s">
        <v>2402</v>
      </c>
    </row>
    <row r="692">
      <c r="A692" s="9" t="s">
        <v>2403</v>
      </c>
    </row>
    <row r="693">
      <c r="A693" s="9" t="s">
        <v>2404</v>
      </c>
    </row>
    <row r="694">
      <c r="A694" s="9" t="s">
        <v>2405</v>
      </c>
    </row>
    <row r="695">
      <c r="A695" s="9" t="s">
        <v>2406</v>
      </c>
    </row>
    <row r="696">
      <c r="A696" s="9" t="s">
        <v>2407</v>
      </c>
    </row>
    <row r="697">
      <c r="A697" s="9" t="s">
        <v>2408</v>
      </c>
    </row>
    <row r="698">
      <c r="A698" s="9" t="s">
        <v>2409</v>
      </c>
    </row>
    <row r="699">
      <c r="A699" s="9" t="s">
        <v>2410</v>
      </c>
    </row>
    <row r="700">
      <c r="A700" s="9" t="s">
        <v>2411</v>
      </c>
    </row>
    <row r="701">
      <c r="A701" s="9" t="s">
        <v>2412</v>
      </c>
    </row>
    <row r="702">
      <c r="A702" s="9" t="s">
        <v>2413</v>
      </c>
    </row>
    <row r="703">
      <c r="A703" s="9" t="s">
        <v>2414</v>
      </c>
    </row>
    <row r="704">
      <c r="A704" s="9" t="s">
        <v>2415</v>
      </c>
    </row>
    <row r="705">
      <c r="A705" s="9" t="s">
        <v>2416</v>
      </c>
    </row>
    <row r="706">
      <c r="A706" s="9" t="s">
        <v>2417</v>
      </c>
    </row>
    <row r="707">
      <c r="A707" s="9" t="s">
        <v>2418</v>
      </c>
    </row>
    <row r="708">
      <c r="A708" s="9" t="s">
        <v>2419</v>
      </c>
    </row>
    <row r="709">
      <c r="A709" s="9" t="s">
        <v>2420</v>
      </c>
    </row>
    <row r="710">
      <c r="A710" s="9" t="s">
        <v>2421</v>
      </c>
    </row>
    <row r="711">
      <c r="A711" s="9" t="s">
        <v>2422</v>
      </c>
    </row>
    <row r="712">
      <c r="A712" s="9" t="s">
        <v>2423</v>
      </c>
    </row>
    <row r="713">
      <c r="A713" s="9" t="s">
        <v>2424</v>
      </c>
    </row>
    <row r="714">
      <c r="A714" s="9" t="s">
        <v>2425</v>
      </c>
    </row>
    <row r="715">
      <c r="A715" s="9" t="s">
        <v>2426</v>
      </c>
    </row>
    <row r="716">
      <c r="A716" s="9" t="s">
        <v>2427</v>
      </c>
    </row>
    <row r="717">
      <c r="A717" s="9" t="s">
        <v>2428</v>
      </c>
    </row>
    <row r="718">
      <c r="A718" s="9" t="s">
        <v>2429</v>
      </c>
    </row>
    <row r="719">
      <c r="A719" s="9" t="s">
        <v>2430</v>
      </c>
    </row>
    <row r="720">
      <c r="A720" s="9" t="s">
        <v>2431</v>
      </c>
    </row>
    <row r="721">
      <c r="A721" s="9" t="s">
        <v>2432</v>
      </c>
    </row>
    <row r="722">
      <c r="A722" s="9" t="s">
        <v>2433</v>
      </c>
    </row>
    <row r="723">
      <c r="A723" s="9" t="s">
        <v>2434</v>
      </c>
    </row>
    <row r="724">
      <c r="A724" s="9" t="s">
        <v>2435</v>
      </c>
    </row>
    <row r="725">
      <c r="A725" s="9" t="s">
        <v>2436</v>
      </c>
    </row>
    <row r="726">
      <c r="A726" s="9" t="s">
        <v>2437</v>
      </c>
    </row>
    <row r="727">
      <c r="A727" s="9" t="s">
        <v>2438</v>
      </c>
    </row>
    <row r="728">
      <c r="A728" s="9" t="s">
        <v>2439</v>
      </c>
    </row>
    <row r="729">
      <c r="A729" s="9" t="s">
        <v>2440</v>
      </c>
    </row>
    <row r="730">
      <c r="A730" s="9" t="s">
        <v>2441</v>
      </c>
    </row>
    <row r="731">
      <c r="A731" s="9" t="s">
        <v>2442</v>
      </c>
    </row>
    <row r="732">
      <c r="A732" s="9" t="s">
        <v>2443</v>
      </c>
    </row>
    <row r="733">
      <c r="A733" s="9" t="s">
        <v>2444</v>
      </c>
    </row>
    <row r="734">
      <c r="A734" s="9" t="s">
        <v>2445</v>
      </c>
    </row>
    <row r="735">
      <c r="A735" s="9" t="s">
        <v>2446</v>
      </c>
    </row>
    <row r="736">
      <c r="A736" s="9" t="s">
        <v>2447</v>
      </c>
    </row>
    <row r="737">
      <c r="A737" s="9" t="s">
        <v>2448</v>
      </c>
    </row>
    <row r="738">
      <c r="A738" s="9" t="s">
        <v>2449</v>
      </c>
    </row>
    <row r="739">
      <c r="A739" s="9" t="s">
        <v>2450</v>
      </c>
    </row>
    <row r="740">
      <c r="A740" s="9" t="s">
        <v>2451</v>
      </c>
    </row>
    <row r="741">
      <c r="A741" s="9" t="s">
        <v>2452</v>
      </c>
    </row>
    <row r="742">
      <c r="A742" s="9" t="s">
        <v>2453</v>
      </c>
    </row>
    <row r="743">
      <c r="A743" s="9" t="s">
        <v>2454</v>
      </c>
    </row>
    <row r="744">
      <c r="A744" s="9" t="s">
        <v>971</v>
      </c>
    </row>
    <row r="745">
      <c r="A745" s="9" t="s">
        <v>2455</v>
      </c>
    </row>
    <row r="746">
      <c r="A746" s="9" t="s">
        <v>2456</v>
      </c>
    </row>
    <row r="747">
      <c r="A747" s="9" t="s">
        <v>2457</v>
      </c>
    </row>
    <row r="748">
      <c r="A748" s="9" t="s">
        <v>2458</v>
      </c>
    </row>
    <row r="749">
      <c r="A749" s="9" t="s">
        <v>2459</v>
      </c>
    </row>
    <row r="750">
      <c r="A750" s="9" t="s">
        <v>2460</v>
      </c>
    </row>
    <row r="751">
      <c r="A751" s="9" t="s">
        <v>2461</v>
      </c>
    </row>
    <row r="752">
      <c r="A752" s="9" t="s">
        <v>2462</v>
      </c>
    </row>
    <row r="753">
      <c r="A753" s="9" t="s">
        <v>2463</v>
      </c>
    </row>
    <row r="754">
      <c r="A754" s="9" t="s">
        <v>2464</v>
      </c>
    </row>
    <row r="755">
      <c r="A755" s="9" t="s">
        <v>2465</v>
      </c>
    </row>
    <row r="756">
      <c r="A756" s="9" t="s">
        <v>2466</v>
      </c>
    </row>
    <row r="757">
      <c r="A757" s="9" t="s">
        <v>2467</v>
      </c>
    </row>
    <row r="758">
      <c r="A758" s="9" t="s">
        <v>2468</v>
      </c>
    </row>
    <row r="759">
      <c r="A759" s="9" t="s">
        <v>2469</v>
      </c>
    </row>
    <row r="760">
      <c r="A760" s="9" t="s">
        <v>2470</v>
      </c>
    </row>
    <row r="761">
      <c r="A761" s="9" t="s">
        <v>2471</v>
      </c>
    </row>
    <row r="762">
      <c r="A762" s="9" t="s">
        <v>2472</v>
      </c>
    </row>
    <row r="763">
      <c r="A763" s="9" t="s">
        <v>2473</v>
      </c>
    </row>
    <row r="764">
      <c r="A764" s="9" t="s">
        <v>2474</v>
      </c>
    </row>
    <row r="765">
      <c r="A765" s="9" t="s">
        <v>2475</v>
      </c>
    </row>
    <row r="766">
      <c r="A766" s="9" t="s">
        <v>2476</v>
      </c>
    </row>
    <row r="767">
      <c r="A767" s="9" t="s">
        <v>2477</v>
      </c>
    </row>
    <row r="768">
      <c r="A768" s="9" t="s">
        <v>2478</v>
      </c>
    </row>
    <row r="769">
      <c r="A769" s="9" t="s">
        <v>2479</v>
      </c>
    </row>
    <row r="770">
      <c r="A770" s="9" t="s">
        <v>2480</v>
      </c>
    </row>
    <row r="771">
      <c r="A771" s="9" t="s">
        <v>2481</v>
      </c>
    </row>
    <row r="772">
      <c r="A772" s="9" t="s">
        <v>2482</v>
      </c>
    </row>
    <row r="773">
      <c r="A773" s="9" t="s">
        <v>2483</v>
      </c>
    </row>
    <row r="774">
      <c r="A774" s="9" t="s">
        <v>2484</v>
      </c>
    </row>
    <row r="775">
      <c r="A775" s="9" t="s">
        <v>2485</v>
      </c>
    </row>
    <row r="776">
      <c r="A776" s="9" t="s">
        <v>2486</v>
      </c>
    </row>
    <row r="777">
      <c r="A777" s="9" t="s">
        <v>2487</v>
      </c>
    </row>
    <row r="778">
      <c r="A778" s="9" t="s">
        <v>2488</v>
      </c>
    </row>
    <row r="779">
      <c r="A779" s="9" t="s">
        <v>2489</v>
      </c>
    </row>
    <row r="780">
      <c r="A780" s="9" t="s">
        <v>2490</v>
      </c>
    </row>
    <row r="781">
      <c r="A781" s="9" t="s">
        <v>2491</v>
      </c>
    </row>
    <row r="782">
      <c r="A782" s="9" t="s">
        <v>2492</v>
      </c>
    </row>
    <row r="783">
      <c r="A783" s="9" t="s">
        <v>2493</v>
      </c>
    </row>
    <row r="784">
      <c r="A784" s="9" t="s">
        <v>2494</v>
      </c>
    </row>
    <row r="785">
      <c r="A785" s="9" t="s">
        <v>2495</v>
      </c>
    </row>
    <row r="786">
      <c r="A786" s="9" t="s">
        <v>2496</v>
      </c>
    </row>
    <row r="787">
      <c r="A787" s="9" t="s">
        <v>2497</v>
      </c>
    </row>
    <row r="788">
      <c r="A788" s="9" t="s">
        <v>2498</v>
      </c>
    </row>
    <row r="789">
      <c r="A789" s="9" t="s">
        <v>2499</v>
      </c>
    </row>
    <row r="790">
      <c r="A790" s="9" t="s">
        <v>2500</v>
      </c>
    </row>
    <row r="791">
      <c r="A791" s="9" t="s">
        <v>2501</v>
      </c>
    </row>
    <row r="792">
      <c r="A792" s="9" t="s">
        <v>2502</v>
      </c>
    </row>
    <row r="793">
      <c r="A793" s="9" t="s">
        <v>2503</v>
      </c>
    </row>
    <row r="794">
      <c r="A794" s="9" t="s">
        <v>2504</v>
      </c>
    </row>
    <row r="795">
      <c r="A795" s="9" t="s">
        <v>2505</v>
      </c>
    </row>
    <row r="796">
      <c r="A796" s="9" t="s">
        <v>2506</v>
      </c>
    </row>
    <row r="797">
      <c r="A797" s="9" t="s">
        <v>2507</v>
      </c>
    </row>
    <row r="798">
      <c r="A798" s="9" t="s">
        <v>2508</v>
      </c>
    </row>
    <row r="799">
      <c r="A799" s="9" t="s">
        <v>2509</v>
      </c>
    </row>
    <row r="800">
      <c r="A800" s="9" t="s">
        <v>2510</v>
      </c>
    </row>
    <row r="801">
      <c r="A801" s="9" t="s">
        <v>2511</v>
      </c>
    </row>
    <row r="802">
      <c r="A802" s="9" t="s">
        <v>2512</v>
      </c>
    </row>
    <row r="803">
      <c r="A803" s="9" t="s">
        <v>2513</v>
      </c>
    </row>
    <row r="804">
      <c r="A804" s="9" t="s">
        <v>2514</v>
      </c>
    </row>
    <row r="805">
      <c r="A805" s="9" t="s">
        <v>2515</v>
      </c>
    </row>
    <row r="806">
      <c r="A806" s="9" t="s">
        <v>2516</v>
      </c>
    </row>
    <row r="807">
      <c r="A807" s="9" t="s">
        <v>2517</v>
      </c>
    </row>
    <row r="808">
      <c r="A808" s="9" t="s">
        <v>2518</v>
      </c>
    </row>
    <row r="809">
      <c r="A809" s="9" t="s">
        <v>2519</v>
      </c>
    </row>
    <row r="810">
      <c r="A810" s="9" t="s">
        <v>2520</v>
      </c>
    </row>
    <row r="811">
      <c r="A811" s="9" t="s">
        <v>2521</v>
      </c>
    </row>
    <row r="812">
      <c r="A812" s="9" t="s">
        <v>2522</v>
      </c>
    </row>
    <row r="813">
      <c r="A813" s="9" t="s">
        <v>2523</v>
      </c>
    </row>
    <row r="814">
      <c r="A814" s="9" t="s">
        <v>2524</v>
      </c>
    </row>
    <row r="815">
      <c r="A815" s="9" t="s">
        <v>2525</v>
      </c>
    </row>
    <row r="816">
      <c r="A816" s="9" t="s">
        <v>2526</v>
      </c>
    </row>
    <row r="817">
      <c r="A817" s="9" t="s">
        <v>2527</v>
      </c>
    </row>
    <row r="818">
      <c r="A818" s="9" t="s">
        <v>2528</v>
      </c>
    </row>
    <row r="819">
      <c r="A819" s="9" t="s">
        <v>2529</v>
      </c>
    </row>
    <row r="820">
      <c r="A820" s="9" t="s">
        <v>2530</v>
      </c>
    </row>
    <row r="821">
      <c r="A821" s="9" t="s">
        <v>2531</v>
      </c>
    </row>
    <row r="822">
      <c r="A822" s="9" t="s">
        <v>2532</v>
      </c>
    </row>
    <row r="823">
      <c r="A823" s="9" t="s">
        <v>2533</v>
      </c>
    </row>
    <row r="824">
      <c r="A824" s="9" t="s">
        <v>2534</v>
      </c>
    </row>
    <row r="825">
      <c r="A825" s="9" t="s">
        <v>2535</v>
      </c>
    </row>
    <row r="826">
      <c r="A826" s="9" t="s">
        <v>2536</v>
      </c>
    </row>
    <row r="827">
      <c r="A827" s="9" t="s">
        <v>2537</v>
      </c>
    </row>
    <row r="828">
      <c r="A828" s="9" t="s">
        <v>2538</v>
      </c>
    </row>
    <row r="829">
      <c r="A829" s="9" t="s">
        <v>2539</v>
      </c>
    </row>
    <row r="830">
      <c r="A830" s="9" t="s">
        <v>2540</v>
      </c>
    </row>
    <row r="831">
      <c r="A831" s="9" t="s">
        <v>2541</v>
      </c>
    </row>
    <row r="832">
      <c r="A832" s="9" t="s">
        <v>2542</v>
      </c>
    </row>
    <row r="833">
      <c r="A833" s="9" t="s">
        <v>2543</v>
      </c>
    </row>
    <row r="834">
      <c r="A834" s="9" t="s">
        <v>2544</v>
      </c>
    </row>
    <row r="835">
      <c r="A835" s="9" t="s">
        <v>2545</v>
      </c>
    </row>
    <row r="836">
      <c r="A836" s="9" t="s">
        <v>2546</v>
      </c>
    </row>
    <row r="837">
      <c r="A837" s="9" t="s">
        <v>2547</v>
      </c>
    </row>
    <row r="838">
      <c r="A838" s="9" t="s">
        <v>2548</v>
      </c>
    </row>
    <row r="839">
      <c r="A839" s="9" t="s">
        <v>2549</v>
      </c>
    </row>
    <row r="840">
      <c r="A840" s="9" t="s">
        <v>2550</v>
      </c>
    </row>
    <row r="841">
      <c r="A841" s="9" t="s">
        <v>2551</v>
      </c>
    </row>
    <row r="842">
      <c r="A842" s="9" t="s">
        <v>2552</v>
      </c>
    </row>
    <row r="843">
      <c r="A843" s="9" t="s">
        <v>2553</v>
      </c>
    </row>
    <row r="844">
      <c r="A844" s="9" t="s">
        <v>2554</v>
      </c>
    </row>
    <row r="845">
      <c r="A845" s="9" t="s">
        <v>2555</v>
      </c>
    </row>
    <row r="846">
      <c r="A846" s="9" t="s">
        <v>2556</v>
      </c>
    </row>
    <row r="847">
      <c r="A847" s="9" t="s">
        <v>2557</v>
      </c>
    </row>
    <row r="848">
      <c r="A848" s="9" t="s">
        <v>2558</v>
      </c>
    </row>
    <row r="849">
      <c r="A849" s="9" t="s">
        <v>2559</v>
      </c>
    </row>
    <row r="850">
      <c r="A850" s="9" t="s">
        <v>2560</v>
      </c>
    </row>
    <row r="851">
      <c r="A851" s="9" t="s">
        <v>2561</v>
      </c>
    </row>
    <row r="852">
      <c r="A852" s="9" t="s">
        <v>2562</v>
      </c>
    </row>
    <row r="853">
      <c r="A853" s="9" t="s">
        <v>2563</v>
      </c>
    </row>
    <row r="854">
      <c r="A854" s="9" t="s">
        <v>2564</v>
      </c>
    </row>
    <row r="855">
      <c r="A855" s="9" t="s">
        <v>2565</v>
      </c>
    </row>
    <row r="856">
      <c r="A856" s="9" t="s">
        <v>2566</v>
      </c>
    </row>
    <row r="857">
      <c r="A857" s="9" t="s">
        <v>2567</v>
      </c>
    </row>
    <row r="858">
      <c r="A858" s="9" t="s">
        <v>2568</v>
      </c>
    </row>
    <row r="859">
      <c r="A859" s="9" t="s">
        <v>2569</v>
      </c>
    </row>
    <row r="860">
      <c r="A860" s="9" t="s">
        <v>2570</v>
      </c>
    </row>
    <row r="861">
      <c r="A861" s="9" t="s">
        <v>2571</v>
      </c>
    </row>
    <row r="862">
      <c r="A862" s="9" t="s">
        <v>2572</v>
      </c>
    </row>
    <row r="863">
      <c r="A863" s="9" t="s">
        <v>2573</v>
      </c>
    </row>
    <row r="864">
      <c r="A864" s="9" t="s">
        <v>2574</v>
      </c>
    </row>
    <row r="865">
      <c r="A865" s="9" t="s">
        <v>2575</v>
      </c>
    </row>
    <row r="866">
      <c r="A866" s="9" t="s">
        <v>2576</v>
      </c>
    </row>
    <row r="867">
      <c r="A867" s="9" t="s">
        <v>2577</v>
      </c>
    </row>
    <row r="868">
      <c r="A868" s="9" t="s">
        <v>2578</v>
      </c>
    </row>
    <row r="869">
      <c r="A869" s="9" t="s">
        <v>2579</v>
      </c>
    </row>
    <row r="870">
      <c r="A870" s="9" t="s">
        <v>2580</v>
      </c>
    </row>
    <row r="871">
      <c r="A871" s="9" t="s">
        <v>2581</v>
      </c>
    </row>
    <row r="872">
      <c r="A872" s="9" t="s">
        <v>2582</v>
      </c>
    </row>
    <row r="873">
      <c r="A873" s="9" t="s">
        <v>2583</v>
      </c>
    </row>
    <row r="874">
      <c r="A874" s="9" t="s">
        <v>2584</v>
      </c>
    </row>
    <row r="875">
      <c r="A875" s="9" t="s">
        <v>2585</v>
      </c>
    </row>
    <row r="876">
      <c r="A876" s="9" t="s">
        <v>2586</v>
      </c>
    </row>
    <row r="877">
      <c r="A877" s="9" t="s">
        <v>2587</v>
      </c>
    </row>
    <row r="878">
      <c r="A878" s="9" t="s">
        <v>2588</v>
      </c>
    </row>
    <row r="879">
      <c r="A879" s="9" t="s">
        <v>2589</v>
      </c>
    </row>
    <row r="880">
      <c r="A880" s="9" t="s">
        <v>2590</v>
      </c>
    </row>
    <row r="881">
      <c r="A881" s="9" t="s">
        <v>2591</v>
      </c>
    </row>
    <row r="882">
      <c r="A882" s="9" t="s">
        <v>2592</v>
      </c>
    </row>
    <row r="883">
      <c r="A883" s="9" t="s">
        <v>2593</v>
      </c>
    </row>
    <row r="884">
      <c r="A884" s="9" t="s">
        <v>2594</v>
      </c>
    </row>
    <row r="885">
      <c r="A885" s="9" t="s">
        <v>2595</v>
      </c>
    </row>
    <row r="886">
      <c r="A886" s="9" t="s">
        <v>2596</v>
      </c>
    </row>
    <row r="887">
      <c r="A887" s="9" t="s">
        <v>2597</v>
      </c>
    </row>
    <row r="888">
      <c r="A888" s="9" t="s">
        <v>2598</v>
      </c>
    </row>
    <row r="889">
      <c r="A889" s="9" t="s">
        <v>2599</v>
      </c>
    </row>
    <row r="890">
      <c r="A890" s="9" t="s">
        <v>2600</v>
      </c>
    </row>
    <row r="891">
      <c r="A891" s="9" t="s">
        <v>2601</v>
      </c>
    </row>
    <row r="892">
      <c r="A892" s="9" t="s">
        <v>2602</v>
      </c>
    </row>
    <row r="893">
      <c r="A893" s="9" t="s">
        <v>2603</v>
      </c>
    </row>
    <row r="894">
      <c r="A894" s="9" t="s">
        <v>2604</v>
      </c>
    </row>
    <row r="895">
      <c r="A895" s="9" t="s">
        <v>2605</v>
      </c>
    </row>
    <row r="896">
      <c r="A896" s="9" t="s">
        <v>2606</v>
      </c>
    </row>
    <row r="897">
      <c r="A897" s="9" t="s">
        <v>2607</v>
      </c>
    </row>
    <row r="898">
      <c r="A898" s="9" t="s">
        <v>2608</v>
      </c>
    </row>
    <row r="899">
      <c r="A899" s="9" t="s">
        <v>2609</v>
      </c>
    </row>
    <row r="900">
      <c r="A900" s="9" t="s">
        <v>2610</v>
      </c>
    </row>
    <row r="901">
      <c r="A901" s="9" t="s">
        <v>2611</v>
      </c>
    </row>
    <row r="902">
      <c r="A902" s="9" t="s">
        <v>2612</v>
      </c>
    </row>
    <row r="903">
      <c r="A903" s="9" t="s">
        <v>2613</v>
      </c>
    </row>
    <row r="904">
      <c r="A904" s="9" t="s">
        <v>2614</v>
      </c>
    </row>
    <row r="905">
      <c r="A905" s="9" t="s">
        <v>2615</v>
      </c>
    </row>
    <row r="906">
      <c r="A906" s="9" t="s">
        <v>2616</v>
      </c>
    </row>
    <row r="907">
      <c r="A907" s="9" t="s">
        <v>2617</v>
      </c>
    </row>
    <row r="908">
      <c r="A908" s="9" t="s">
        <v>2618</v>
      </c>
    </row>
    <row r="909">
      <c r="A909" s="9" t="s">
        <v>2619</v>
      </c>
    </row>
    <row r="910">
      <c r="A910" s="9" t="s">
        <v>2620</v>
      </c>
    </row>
    <row r="911">
      <c r="A911" s="9" t="s">
        <v>2621</v>
      </c>
    </row>
    <row r="912">
      <c r="A912" s="9" t="s">
        <v>2622</v>
      </c>
    </row>
    <row r="913">
      <c r="A913" s="9" t="s">
        <v>2623</v>
      </c>
    </row>
    <row r="914">
      <c r="A914" s="9" t="s">
        <v>2624</v>
      </c>
    </row>
    <row r="915">
      <c r="A915" s="9" t="s">
        <v>2625</v>
      </c>
    </row>
    <row r="916">
      <c r="A916" s="9" t="s">
        <v>2626</v>
      </c>
    </row>
    <row r="917">
      <c r="A917" s="9" t="s">
        <v>2627</v>
      </c>
    </row>
    <row r="918">
      <c r="A918" s="9" t="s">
        <v>2628</v>
      </c>
    </row>
    <row r="919">
      <c r="A919" s="9" t="s">
        <v>2629</v>
      </c>
    </row>
    <row r="920">
      <c r="A920" s="9" t="s">
        <v>2630</v>
      </c>
    </row>
    <row r="921">
      <c r="A921" s="9" t="s">
        <v>2631</v>
      </c>
    </row>
    <row r="922">
      <c r="A922" s="9" t="s">
        <v>2632</v>
      </c>
    </row>
    <row r="923">
      <c r="A923" s="9" t="s">
        <v>2633</v>
      </c>
    </row>
    <row r="924">
      <c r="A924" s="9" t="s">
        <v>2634</v>
      </c>
    </row>
    <row r="925">
      <c r="A925" s="9" t="s">
        <v>2635</v>
      </c>
    </row>
    <row r="926">
      <c r="A926" s="9" t="s">
        <v>2636</v>
      </c>
    </row>
    <row r="927">
      <c r="A927" s="9" t="s">
        <v>2637</v>
      </c>
    </row>
    <row r="928">
      <c r="A928" s="9" t="s">
        <v>2638</v>
      </c>
    </row>
    <row r="929">
      <c r="A929" s="9" t="s">
        <v>2639</v>
      </c>
    </row>
    <row r="930">
      <c r="A930" s="9" t="s">
        <v>2640</v>
      </c>
    </row>
    <row r="931">
      <c r="A931" s="9" t="s">
        <v>2641</v>
      </c>
    </row>
    <row r="932">
      <c r="A932" s="9" t="s">
        <v>2642</v>
      </c>
    </row>
    <row r="933">
      <c r="A933" s="9" t="s">
        <v>2643</v>
      </c>
    </row>
    <row r="934">
      <c r="A934" s="9" t="s">
        <v>2644</v>
      </c>
    </row>
    <row r="935">
      <c r="A935" s="9" t="s">
        <v>2645</v>
      </c>
    </row>
    <row r="936">
      <c r="A936" s="9" t="s">
        <v>2646</v>
      </c>
    </row>
    <row r="937">
      <c r="A937" s="9" t="s">
        <v>2647</v>
      </c>
    </row>
    <row r="938">
      <c r="A938" s="9" t="s">
        <v>2648</v>
      </c>
    </row>
    <row r="939">
      <c r="A939" s="9" t="s">
        <v>2649</v>
      </c>
    </row>
    <row r="940">
      <c r="A940" s="9" t="s">
        <v>2650</v>
      </c>
    </row>
    <row r="941">
      <c r="A941" s="9" t="s">
        <v>2651</v>
      </c>
    </row>
    <row r="942">
      <c r="A942" s="9" t="s">
        <v>2652</v>
      </c>
    </row>
    <row r="943">
      <c r="A943" s="9" t="s">
        <v>2653</v>
      </c>
    </row>
    <row r="944">
      <c r="A944" s="9" t="s">
        <v>2654</v>
      </c>
    </row>
    <row r="945">
      <c r="A945" s="9" t="s">
        <v>2655</v>
      </c>
    </row>
    <row r="946">
      <c r="A946" s="9" t="s">
        <v>2656</v>
      </c>
    </row>
    <row r="947">
      <c r="A947" s="9" t="s">
        <v>2657</v>
      </c>
    </row>
    <row r="948">
      <c r="A948" s="9" t="s">
        <v>2658</v>
      </c>
    </row>
    <row r="949">
      <c r="A949" s="9" t="s">
        <v>2659</v>
      </c>
    </row>
    <row r="950">
      <c r="A950" s="9" t="s">
        <v>2660</v>
      </c>
    </row>
    <row r="951">
      <c r="A951" s="9" t="s">
        <v>2661</v>
      </c>
    </row>
    <row r="952">
      <c r="A952" s="9" t="s">
        <v>2662</v>
      </c>
    </row>
    <row r="953">
      <c r="A953" s="9" t="s">
        <v>2663</v>
      </c>
    </row>
    <row r="954">
      <c r="A954" s="9" t="s">
        <v>2664</v>
      </c>
    </row>
    <row r="955">
      <c r="A955" s="9" t="s">
        <v>2665</v>
      </c>
    </row>
    <row r="956">
      <c r="A956" s="9" t="s">
        <v>2666</v>
      </c>
    </row>
    <row r="957">
      <c r="A957" s="9" t="s">
        <v>2667</v>
      </c>
    </row>
    <row r="958">
      <c r="A958" s="9" t="s">
        <v>2668</v>
      </c>
    </row>
    <row r="959">
      <c r="A959" s="9" t="s">
        <v>2669</v>
      </c>
    </row>
    <row r="960">
      <c r="A960" s="9" t="s">
        <v>2670</v>
      </c>
    </row>
    <row r="961">
      <c r="A961" s="9" t="s">
        <v>2671</v>
      </c>
    </row>
    <row r="962">
      <c r="A962" s="9" t="s">
        <v>2672</v>
      </c>
    </row>
    <row r="963">
      <c r="A963" s="9" t="s">
        <v>2673</v>
      </c>
    </row>
    <row r="964">
      <c r="A964" s="9" t="s">
        <v>2674</v>
      </c>
    </row>
    <row r="965">
      <c r="A965" s="9" t="s">
        <v>2675</v>
      </c>
    </row>
    <row r="966">
      <c r="A966" s="9" t="s">
        <v>2676</v>
      </c>
    </row>
    <row r="967">
      <c r="A967" s="9" t="s">
        <v>2677</v>
      </c>
    </row>
    <row r="968">
      <c r="A968" s="9" t="s">
        <v>2678</v>
      </c>
    </row>
    <row r="969">
      <c r="A969" s="9" t="s">
        <v>2679</v>
      </c>
    </row>
    <row r="970">
      <c r="A970" s="9" t="s">
        <v>2680</v>
      </c>
    </row>
    <row r="971">
      <c r="A971" s="9" t="s">
        <v>2681</v>
      </c>
    </row>
    <row r="972">
      <c r="A972" s="9" t="s">
        <v>2682</v>
      </c>
    </row>
    <row r="973">
      <c r="A973" s="9" t="s">
        <v>2683</v>
      </c>
    </row>
    <row r="974">
      <c r="A974" s="9" t="s">
        <v>2684</v>
      </c>
    </row>
    <row r="975">
      <c r="A975" s="9" t="s">
        <v>2685</v>
      </c>
    </row>
    <row r="976">
      <c r="A976" s="9" t="s">
        <v>2686</v>
      </c>
    </row>
    <row r="977">
      <c r="A977" s="9" t="s">
        <v>2687</v>
      </c>
    </row>
    <row r="978">
      <c r="A978" s="9" t="s">
        <v>2688</v>
      </c>
    </row>
    <row r="979">
      <c r="A979" s="9" t="s">
        <v>2689</v>
      </c>
    </row>
    <row r="980">
      <c r="A980" s="9" t="s">
        <v>2690</v>
      </c>
    </row>
    <row r="981">
      <c r="A981" s="9" t="s">
        <v>2691</v>
      </c>
    </row>
    <row r="982">
      <c r="A982" s="9" t="s">
        <v>2692</v>
      </c>
    </row>
    <row r="983">
      <c r="A983" s="9" t="s">
        <v>2693</v>
      </c>
    </row>
    <row r="984">
      <c r="A984" s="9" t="s">
        <v>2694</v>
      </c>
    </row>
    <row r="985">
      <c r="A985" s="9" t="s">
        <v>2695</v>
      </c>
    </row>
    <row r="986">
      <c r="A986" s="9" t="s">
        <v>2696</v>
      </c>
    </row>
    <row r="987">
      <c r="A987" s="9" t="s">
        <v>2697</v>
      </c>
    </row>
    <row r="988">
      <c r="A988" s="9" t="s">
        <v>2698</v>
      </c>
    </row>
    <row r="989">
      <c r="A989" s="9" t="s">
        <v>2699</v>
      </c>
    </row>
    <row r="990">
      <c r="A990" s="9" t="s">
        <v>2700</v>
      </c>
    </row>
    <row r="991">
      <c r="A991" s="9" t="s">
        <v>2701</v>
      </c>
    </row>
    <row r="992">
      <c r="A992" s="9" t="s">
        <v>2702</v>
      </c>
    </row>
    <row r="993">
      <c r="A993" s="9" t="s">
        <v>2703</v>
      </c>
    </row>
    <row r="994">
      <c r="A994" s="9" t="s">
        <v>2704</v>
      </c>
    </row>
    <row r="995">
      <c r="A995" s="9" t="s">
        <v>2705</v>
      </c>
    </row>
    <row r="996">
      <c r="A996" s="9" t="s">
        <v>2706</v>
      </c>
    </row>
    <row r="997">
      <c r="A997" s="9" t="s">
        <v>2707</v>
      </c>
    </row>
    <row r="998">
      <c r="A998" s="9" t="s">
        <v>2708</v>
      </c>
    </row>
    <row r="999">
      <c r="A999" s="9" t="s">
        <v>2709</v>
      </c>
    </row>
    <row r="1000">
      <c r="A1000" s="9" t="s">
        <v>2710</v>
      </c>
    </row>
    <row r="1001">
      <c r="A1001" s="9" t="s">
        <v>2711</v>
      </c>
    </row>
    <row r="1002">
      <c r="A1002" s="9" t="s">
        <v>2712</v>
      </c>
    </row>
    <row r="1003">
      <c r="A1003" s="9" t="s">
        <v>2713</v>
      </c>
    </row>
    <row r="1004">
      <c r="A1004" s="9" t="s">
        <v>2714</v>
      </c>
    </row>
    <row r="1005">
      <c r="A1005" s="9" t="s">
        <v>2715</v>
      </c>
    </row>
    <row r="1006">
      <c r="A1006" s="9" t="s">
        <v>2716</v>
      </c>
    </row>
    <row r="1007">
      <c r="A1007" s="9" t="s">
        <v>2717</v>
      </c>
    </row>
    <row r="1008">
      <c r="A1008" s="9" t="s">
        <v>2718</v>
      </c>
    </row>
    <row r="1009">
      <c r="A1009" s="9" t="s">
        <v>2719</v>
      </c>
    </row>
    <row r="1010">
      <c r="A1010" s="9" t="s">
        <v>2720</v>
      </c>
    </row>
    <row r="1011">
      <c r="A1011" s="9" t="s">
        <v>2721</v>
      </c>
    </row>
    <row r="1012">
      <c r="A1012" s="9" t="s">
        <v>2722</v>
      </c>
    </row>
    <row r="1013">
      <c r="A1013" s="9" t="s">
        <v>2723</v>
      </c>
    </row>
    <row r="1014">
      <c r="A1014" s="9" t="s">
        <v>2724</v>
      </c>
    </row>
    <row r="1015">
      <c r="A1015" s="9" t="s">
        <v>2725</v>
      </c>
    </row>
    <row r="1016">
      <c r="A1016" s="9" t="s">
        <v>2726</v>
      </c>
    </row>
    <row r="1017">
      <c r="A1017" s="9" t="s">
        <v>2727</v>
      </c>
    </row>
    <row r="1018">
      <c r="A1018" s="9" t="s">
        <v>2728</v>
      </c>
    </row>
    <row r="1019">
      <c r="A1019" s="9" t="s">
        <v>2729</v>
      </c>
    </row>
    <row r="1020">
      <c r="A1020" s="9" t="s">
        <v>2730</v>
      </c>
    </row>
    <row r="1021">
      <c r="A1021" s="9" t="s">
        <v>2731</v>
      </c>
    </row>
    <row r="1022">
      <c r="A1022" s="9" t="s">
        <v>2732</v>
      </c>
    </row>
    <row r="1023">
      <c r="A1023" s="9" t="s">
        <v>2733</v>
      </c>
    </row>
    <row r="1024">
      <c r="A1024" s="9" t="s">
        <v>2734</v>
      </c>
    </row>
    <row r="1025">
      <c r="A1025" s="9" t="s">
        <v>2735</v>
      </c>
    </row>
    <row r="1026">
      <c r="A1026" s="9" t="s">
        <v>2736</v>
      </c>
    </row>
    <row r="1027">
      <c r="A1027" s="9" t="s">
        <v>2737</v>
      </c>
    </row>
    <row r="1028">
      <c r="A1028" s="9" t="s">
        <v>2738</v>
      </c>
    </row>
    <row r="1029">
      <c r="A1029" s="9" t="s">
        <v>2739</v>
      </c>
    </row>
    <row r="1030">
      <c r="A1030" s="9" t="s">
        <v>2740</v>
      </c>
    </row>
    <row r="1031">
      <c r="A1031" s="9" t="s">
        <v>2741</v>
      </c>
    </row>
    <row r="1032">
      <c r="A1032" s="9" t="s">
        <v>2742</v>
      </c>
    </row>
    <row r="1033">
      <c r="A1033" s="9" t="s">
        <v>2743</v>
      </c>
    </row>
    <row r="1034">
      <c r="A1034" s="9" t="s">
        <v>2744</v>
      </c>
    </row>
    <row r="1035">
      <c r="A1035" s="9" t="s">
        <v>2745</v>
      </c>
    </row>
    <row r="1036">
      <c r="A1036" s="9" t="s">
        <v>2746</v>
      </c>
    </row>
    <row r="1037">
      <c r="A1037" s="9" t="s">
        <v>2747</v>
      </c>
    </row>
    <row r="1038">
      <c r="A1038" s="9" t="s">
        <v>2748</v>
      </c>
    </row>
    <row r="1039">
      <c r="A1039" s="9" t="s">
        <v>2749</v>
      </c>
    </row>
    <row r="1040">
      <c r="A1040" s="9" t="s">
        <v>2750</v>
      </c>
    </row>
    <row r="1041">
      <c r="A1041" s="9" t="s">
        <v>2751</v>
      </c>
    </row>
    <row r="1042">
      <c r="A1042" s="9" t="s">
        <v>2752</v>
      </c>
    </row>
    <row r="1043">
      <c r="A1043" s="9" t="s">
        <v>2753</v>
      </c>
    </row>
    <row r="1044">
      <c r="A1044" s="9" t="s">
        <v>2754</v>
      </c>
    </row>
    <row r="1045">
      <c r="A1045" s="9" t="s">
        <v>2755</v>
      </c>
    </row>
    <row r="1046">
      <c r="A1046" s="9" t="s">
        <v>2756</v>
      </c>
    </row>
    <row r="1047">
      <c r="A1047" s="9" t="s">
        <v>2757</v>
      </c>
    </row>
    <row r="1048">
      <c r="A1048" s="9" t="s">
        <v>2758</v>
      </c>
    </row>
    <row r="1049">
      <c r="A1049" s="9" t="s">
        <v>2759</v>
      </c>
    </row>
    <row r="1050">
      <c r="A1050" s="9" t="s">
        <v>2760</v>
      </c>
    </row>
    <row r="1051">
      <c r="A1051" s="9" t="s">
        <v>2761</v>
      </c>
    </row>
    <row r="1052">
      <c r="A1052" s="9" t="s">
        <v>2762</v>
      </c>
    </row>
    <row r="1053">
      <c r="A1053" s="9" t="s">
        <v>2763</v>
      </c>
    </row>
    <row r="1054">
      <c r="A1054" s="9" t="s">
        <v>2764</v>
      </c>
    </row>
    <row r="1055">
      <c r="A1055" s="9" t="s">
        <v>2765</v>
      </c>
    </row>
    <row r="1056">
      <c r="A1056" s="9" t="s">
        <v>2766</v>
      </c>
    </row>
    <row r="1057">
      <c r="A1057" s="9" t="s">
        <v>2767</v>
      </c>
    </row>
    <row r="1058">
      <c r="A1058" s="9" t="s">
        <v>2768</v>
      </c>
    </row>
    <row r="1059">
      <c r="A1059" s="9" t="s">
        <v>2769</v>
      </c>
    </row>
    <row r="1060">
      <c r="A1060" s="9" t="s">
        <v>2770</v>
      </c>
    </row>
    <row r="1061">
      <c r="A1061" s="9" t="s">
        <v>2771</v>
      </c>
    </row>
    <row r="1062">
      <c r="A1062" s="9" t="s">
        <v>2772</v>
      </c>
    </row>
    <row r="1063">
      <c r="A1063" s="9" t="s">
        <v>2773</v>
      </c>
    </row>
    <row r="1064">
      <c r="A1064" s="9" t="s">
        <v>2774</v>
      </c>
    </row>
    <row r="1065">
      <c r="A1065" s="9" t="s">
        <v>2775</v>
      </c>
    </row>
    <row r="1066">
      <c r="A1066" s="9" t="s">
        <v>2776</v>
      </c>
    </row>
    <row r="1067">
      <c r="A1067" s="9" t="s">
        <v>2777</v>
      </c>
    </row>
    <row r="1068">
      <c r="A1068" s="9" t="s">
        <v>2778</v>
      </c>
    </row>
    <row r="1069">
      <c r="A1069" s="9" t="s">
        <v>2779</v>
      </c>
    </row>
    <row r="1070">
      <c r="A1070" s="9" t="s">
        <v>2780</v>
      </c>
    </row>
    <row r="1071">
      <c r="A1071" s="9" t="s">
        <v>2781</v>
      </c>
    </row>
    <row r="1072">
      <c r="A1072" s="9" t="s">
        <v>2782</v>
      </c>
    </row>
    <row r="1073">
      <c r="A1073" s="9" t="s">
        <v>2783</v>
      </c>
    </row>
    <row r="1074">
      <c r="A1074" s="9" t="s">
        <v>2784</v>
      </c>
    </row>
    <row r="1075">
      <c r="A1075" s="9" t="s">
        <v>2785</v>
      </c>
    </row>
    <row r="1076">
      <c r="A1076" s="9" t="s">
        <v>2786</v>
      </c>
    </row>
    <row r="1077">
      <c r="A1077" s="9" t="s">
        <v>2787</v>
      </c>
    </row>
    <row r="1078">
      <c r="A1078" s="9" t="s">
        <v>2788</v>
      </c>
    </row>
    <row r="1079">
      <c r="A1079" s="9" t="s">
        <v>2789</v>
      </c>
    </row>
    <row r="1080">
      <c r="A1080" s="9" t="s">
        <v>2790</v>
      </c>
    </row>
    <row r="1081">
      <c r="A1081" s="9" t="s">
        <v>2791</v>
      </c>
    </row>
    <row r="1082">
      <c r="A1082" s="9" t="s">
        <v>2792</v>
      </c>
    </row>
    <row r="1083">
      <c r="A1083" s="9" t="s">
        <v>2793</v>
      </c>
    </row>
    <row r="1084">
      <c r="A1084" s="9" t="s">
        <v>2794</v>
      </c>
    </row>
    <row r="1085">
      <c r="A1085" s="9" t="s">
        <v>2795</v>
      </c>
    </row>
    <row r="1086">
      <c r="A1086" s="9" t="s">
        <v>2796</v>
      </c>
    </row>
    <row r="1087">
      <c r="A1087" s="9" t="s">
        <v>2797</v>
      </c>
    </row>
    <row r="1088">
      <c r="A1088" s="9" t="s">
        <v>2798</v>
      </c>
    </row>
    <row r="1089">
      <c r="A1089" s="9" t="s">
        <v>2799</v>
      </c>
    </row>
    <row r="1090">
      <c r="A1090" s="9" t="s">
        <v>2800</v>
      </c>
    </row>
    <row r="1091">
      <c r="A1091" s="9" t="s">
        <v>2801</v>
      </c>
    </row>
    <row r="1092">
      <c r="A1092" s="9" t="s">
        <v>2802</v>
      </c>
    </row>
    <row r="1093">
      <c r="A1093" s="9" t="s">
        <v>2803</v>
      </c>
    </row>
    <row r="1094">
      <c r="A1094" s="9" t="s">
        <v>2804</v>
      </c>
    </row>
    <row r="1095">
      <c r="A1095" s="9" t="s">
        <v>2805</v>
      </c>
    </row>
    <row r="1096">
      <c r="A1096" s="9" t="s">
        <v>2806</v>
      </c>
    </row>
    <row r="1097">
      <c r="A1097" s="9" t="s">
        <v>2807</v>
      </c>
    </row>
    <row r="1098">
      <c r="A1098" s="9" t="s">
        <v>2808</v>
      </c>
    </row>
    <row r="1099">
      <c r="A1099" s="9" t="s">
        <v>2809</v>
      </c>
    </row>
    <row r="1100">
      <c r="A1100" s="9" t="s">
        <v>2810</v>
      </c>
    </row>
    <row r="1101">
      <c r="A1101" s="9" t="s">
        <v>2811</v>
      </c>
    </row>
    <row r="1102">
      <c r="A1102" s="9" t="s">
        <v>2812</v>
      </c>
    </row>
    <row r="1103">
      <c r="A1103" s="9" t="s">
        <v>2813</v>
      </c>
    </row>
    <row r="1104">
      <c r="A1104" s="9" t="s">
        <v>2814</v>
      </c>
    </row>
    <row r="1105">
      <c r="A1105" s="9" t="s">
        <v>2815</v>
      </c>
    </row>
    <row r="1106">
      <c r="A1106" s="9" t="s">
        <v>2816</v>
      </c>
    </row>
    <row r="1107">
      <c r="A1107" s="9" t="s">
        <v>2817</v>
      </c>
    </row>
    <row r="1108">
      <c r="A1108" s="9" t="s">
        <v>2818</v>
      </c>
    </row>
    <row r="1109">
      <c r="A1109" s="9" t="s">
        <v>2819</v>
      </c>
    </row>
    <row r="1110">
      <c r="A1110" s="9" t="s">
        <v>2820</v>
      </c>
    </row>
    <row r="1111">
      <c r="A1111" s="9" t="s">
        <v>2821</v>
      </c>
    </row>
    <row r="1112">
      <c r="A1112" s="9" t="s">
        <v>2822</v>
      </c>
    </row>
    <row r="1113">
      <c r="A1113" s="9" t="s">
        <v>2823</v>
      </c>
    </row>
    <row r="1114">
      <c r="A1114" s="9" t="s">
        <v>2824</v>
      </c>
    </row>
    <row r="1115">
      <c r="A1115" s="9" t="s">
        <v>2825</v>
      </c>
    </row>
    <row r="1116">
      <c r="A1116" s="9" t="s">
        <v>1355</v>
      </c>
    </row>
    <row r="1117">
      <c r="A1117" s="9" t="s">
        <v>2826</v>
      </c>
    </row>
    <row r="1118">
      <c r="A1118" s="9" t="s">
        <v>2827</v>
      </c>
    </row>
    <row r="1119">
      <c r="A1119" s="9" t="s">
        <v>2828</v>
      </c>
    </row>
    <row r="1120">
      <c r="A1120" s="9" t="s">
        <v>2829</v>
      </c>
    </row>
    <row r="1121">
      <c r="A1121" s="9" t="s">
        <v>2830</v>
      </c>
    </row>
    <row r="1122">
      <c r="A1122" s="9" t="s">
        <v>2831</v>
      </c>
    </row>
    <row r="1123">
      <c r="A1123" s="9" t="s">
        <v>2832</v>
      </c>
    </row>
    <row r="1124">
      <c r="A1124" s="9" t="s">
        <v>2833</v>
      </c>
    </row>
    <row r="1125">
      <c r="A1125" s="9" t="s">
        <v>2834</v>
      </c>
    </row>
    <row r="1126">
      <c r="A1126" s="9" t="s">
        <v>2835</v>
      </c>
    </row>
    <row r="1127">
      <c r="A1127" s="9" t="s">
        <v>2836</v>
      </c>
    </row>
    <row r="1128">
      <c r="A1128" s="9" t="s">
        <v>2837</v>
      </c>
    </row>
    <row r="1129">
      <c r="A1129" s="9" t="s">
        <v>2838</v>
      </c>
    </row>
    <row r="1130">
      <c r="A1130" s="9" t="s">
        <v>2839</v>
      </c>
    </row>
    <row r="1131">
      <c r="A1131" s="9" t="s">
        <v>2840</v>
      </c>
    </row>
    <row r="1132">
      <c r="A1132" s="9" t="s">
        <v>2841</v>
      </c>
    </row>
    <row r="1133">
      <c r="A1133" s="9" t="s">
        <v>2842</v>
      </c>
    </row>
    <row r="1134">
      <c r="A1134" s="9" t="s">
        <v>2843</v>
      </c>
    </row>
    <row r="1135">
      <c r="A1135" s="9" t="s">
        <v>2844</v>
      </c>
    </row>
    <row r="1136">
      <c r="A1136" s="9" t="s">
        <v>2845</v>
      </c>
    </row>
    <row r="1137">
      <c r="A1137" s="9" t="s">
        <v>2846</v>
      </c>
    </row>
    <row r="1138">
      <c r="A1138" s="9" t="s">
        <v>2847</v>
      </c>
    </row>
    <row r="1139">
      <c r="A1139" s="9" t="s">
        <v>2848</v>
      </c>
    </row>
    <row r="1140">
      <c r="A1140" s="9" t="s">
        <v>2849</v>
      </c>
    </row>
    <row r="1141">
      <c r="A1141" s="9" t="s">
        <v>2850</v>
      </c>
    </row>
    <row r="1142">
      <c r="A1142" s="9" t="s">
        <v>2851</v>
      </c>
    </row>
    <row r="1143">
      <c r="A1143" s="9" t="s">
        <v>2852</v>
      </c>
    </row>
    <row r="1144">
      <c r="A1144" s="9" t="s">
        <v>2853</v>
      </c>
    </row>
    <row r="1145">
      <c r="A1145" s="9" t="s">
        <v>2854</v>
      </c>
    </row>
    <row r="1146">
      <c r="A1146" s="9" t="s">
        <v>2855</v>
      </c>
    </row>
    <row r="1147">
      <c r="A1147" s="9" t="s">
        <v>2856</v>
      </c>
    </row>
    <row r="1148">
      <c r="A1148" s="9" t="s">
        <v>2857</v>
      </c>
    </row>
    <row r="1149">
      <c r="A1149" s="9" t="s">
        <v>2858</v>
      </c>
    </row>
    <row r="1150">
      <c r="A1150" s="9" t="s">
        <v>2859</v>
      </c>
    </row>
    <row r="1151">
      <c r="A1151" s="9" t="s">
        <v>2860</v>
      </c>
    </row>
    <row r="1152">
      <c r="A1152" s="9" t="s">
        <v>2861</v>
      </c>
    </row>
    <row r="1153">
      <c r="A1153" s="9" t="s">
        <v>2862</v>
      </c>
    </row>
    <row r="1154">
      <c r="A1154" s="9" t="s">
        <v>2863</v>
      </c>
    </row>
    <row r="1155">
      <c r="A1155" s="9" t="s">
        <v>2864</v>
      </c>
    </row>
    <row r="1156">
      <c r="A1156" s="9" t="s">
        <v>2865</v>
      </c>
    </row>
    <row r="1157">
      <c r="A1157" s="9" t="s">
        <v>2866</v>
      </c>
    </row>
    <row r="1158">
      <c r="A1158" s="9" t="s">
        <v>2867</v>
      </c>
    </row>
    <row r="1159">
      <c r="A1159" s="9" t="s">
        <v>2868</v>
      </c>
    </row>
    <row r="1160">
      <c r="A1160" s="9" t="s">
        <v>2869</v>
      </c>
    </row>
    <row r="1161">
      <c r="A1161" s="9" t="s">
        <v>2870</v>
      </c>
    </row>
    <row r="1162">
      <c r="A1162" s="9" t="s">
        <v>2871</v>
      </c>
    </row>
    <row r="1163">
      <c r="A1163" s="9" t="s">
        <v>2872</v>
      </c>
    </row>
    <row r="1164">
      <c r="A1164" s="9" t="s">
        <v>2873</v>
      </c>
    </row>
    <row r="1165">
      <c r="A1165" s="9" t="s">
        <v>2874</v>
      </c>
    </row>
    <row r="1166">
      <c r="A1166" s="9" t="s">
        <v>2875</v>
      </c>
    </row>
    <row r="1167">
      <c r="A1167" s="9" t="s">
        <v>2876</v>
      </c>
    </row>
    <row r="1168">
      <c r="A1168" s="9" t="s">
        <v>2877</v>
      </c>
    </row>
    <row r="1169">
      <c r="A1169" s="9" t="s">
        <v>2878</v>
      </c>
    </row>
    <row r="1170">
      <c r="A1170" s="9" t="s">
        <v>2879</v>
      </c>
    </row>
    <row r="1171">
      <c r="A1171" s="9" t="s">
        <v>2880</v>
      </c>
    </row>
    <row r="1172">
      <c r="A1172" s="9" t="s">
        <v>2881</v>
      </c>
    </row>
    <row r="1173">
      <c r="A1173" s="9" t="s">
        <v>2882</v>
      </c>
    </row>
    <row r="1174">
      <c r="A1174" s="9" t="s">
        <v>2883</v>
      </c>
    </row>
    <row r="1175">
      <c r="A1175" s="9" t="s">
        <v>2884</v>
      </c>
    </row>
    <row r="1176">
      <c r="A1176" s="9" t="s">
        <v>2885</v>
      </c>
    </row>
    <row r="1177">
      <c r="A1177" s="9" t="s">
        <v>2886</v>
      </c>
    </row>
    <row r="1178">
      <c r="A1178" s="9" t="s">
        <v>2887</v>
      </c>
    </row>
    <row r="1179">
      <c r="A1179" s="9" t="s">
        <v>2888</v>
      </c>
    </row>
    <row r="1180">
      <c r="A1180" s="9" t="s">
        <v>2889</v>
      </c>
    </row>
    <row r="1181">
      <c r="A1181" s="9" t="s">
        <v>2890</v>
      </c>
    </row>
    <row r="1182">
      <c r="A1182" s="9" t="s">
        <v>2891</v>
      </c>
    </row>
    <row r="1183">
      <c r="A1183" s="9" t="s">
        <v>2892</v>
      </c>
    </row>
    <row r="1184">
      <c r="A1184" s="9" t="s">
        <v>2893</v>
      </c>
    </row>
    <row r="1185">
      <c r="A1185" s="9" t="s">
        <v>2894</v>
      </c>
    </row>
    <row r="1186">
      <c r="A1186" s="9" t="s">
        <v>2895</v>
      </c>
    </row>
    <row r="1187">
      <c r="A1187" s="9" t="s">
        <v>2896</v>
      </c>
    </row>
    <row r="1188">
      <c r="A1188" s="9" t="s">
        <v>2897</v>
      </c>
    </row>
    <row r="1189">
      <c r="A1189" s="9" t="s">
        <v>2898</v>
      </c>
    </row>
    <row r="1190">
      <c r="A1190" s="9" t="s">
        <v>2899</v>
      </c>
    </row>
    <row r="1191">
      <c r="A1191" s="9" t="s">
        <v>2900</v>
      </c>
    </row>
    <row r="1192">
      <c r="A1192" s="9" t="s">
        <v>2901</v>
      </c>
    </row>
    <row r="1193">
      <c r="A1193" s="9" t="s">
        <v>2902</v>
      </c>
    </row>
    <row r="1194">
      <c r="A1194" s="9" t="s">
        <v>2903</v>
      </c>
    </row>
    <row r="1195">
      <c r="A1195" s="9" t="s">
        <v>2904</v>
      </c>
    </row>
    <row r="1196">
      <c r="A1196" s="9" t="s">
        <v>2905</v>
      </c>
    </row>
    <row r="1197">
      <c r="A1197" s="9" t="s">
        <v>2906</v>
      </c>
    </row>
    <row r="1198">
      <c r="A1198" s="9" t="s">
        <v>2907</v>
      </c>
    </row>
    <row r="1199">
      <c r="A1199" s="9" t="s">
        <v>2908</v>
      </c>
    </row>
    <row r="1200">
      <c r="A1200" s="9" t="s">
        <v>2909</v>
      </c>
    </row>
    <row r="1201">
      <c r="A1201" s="9" t="s">
        <v>2910</v>
      </c>
    </row>
    <row r="1202">
      <c r="A1202" s="9" t="s">
        <v>2911</v>
      </c>
    </row>
    <row r="1203">
      <c r="A1203" s="9" t="s">
        <v>2912</v>
      </c>
    </row>
    <row r="1204">
      <c r="A1204" s="9" t="s">
        <v>2913</v>
      </c>
    </row>
    <row r="1205">
      <c r="A1205" s="9" t="s">
        <v>2914</v>
      </c>
    </row>
    <row r="1206">
      <c r="A1206" s="9" t="s">
        <v>2915</v>
      </c>
    </row>
    <row r="1207">
      <c r="A1207" s="9" t="s">
        <v>2916</v>
      </c>
    </row>
    <row r="1208">
      <c r="A1208" s="9" t="s">
        <v>2917</v>
      </c>
    </row>
    <row r="1209">
      <c r="A1209" s="9" t="s">
        <v>2918</v>
      </c>
    </row>
    <row r="1210">
      <c r="A1210" s="9" t="s">
        <v>2919</v>
      </c>
    </row>
    <row r="1211">
      <c r="A1211" s="9" t="s">
        <v>2920</v>
      </c>
    </row>
    <row r="1212">
      <c r="A1212" s="9" t="s">
        <v>2921</v>
      </c>
    </row>
    <row r="1213">
      <c r="A1213" s="9" t="s">
        <v>2922</v>
      </c>
    </row>
    <row r="1214">
      <c r="A1214" s="9" t="s">
        <v>2923</v>
      </c>
    </row>
    <row r="1215">
      <c r="A1215" s="9" t="s">
        <v>2924</v>
      </c>
    </row>
    <row r="1216">
      <c r="A1216" s="9" t="s">
        <v>2925</v>
      </c>
    </row>
    <row r="1217">
      <c r="A1217" s="9" t="s">
        <v>2926</v>
      </c>
    </row>
    <row r="1218">
      <c r="A1218" s="9" t="s">
        <v>2927</v>
      </c>
    </row>
    <row r="1219">
      <c r="A1219" s="9" t="s">
        <v>2928</v>
      </c>
    </row>
    <row r="1220">
      <c r="A1220" s="9" t="s">
        <v>2929</v>
      </c>
    </row>
    <row r="1221">
      <c r="A1221" s="9" t="s">
        <v>2930</v>
      </c>
    </row>
    <row r="1222">
      <c r="A1222" s="9" t="s">
        <v>2931</v>
      </c>
    </row>
    <row r="1223">
      <c r="A1223" s="9" t="s">
        <v>2932</v>
      </c>
    </row>
    <row r="1224">
      <c r="A1224" s="9" t="s">
        <v>2933</v>
      </c>
    </row>
    <row r="1225">
      <c r="A1225" s="9" t="s">
        <v>2934</v>
      </c>
    </row>
    <row r="1226">
      <c r="A1226" s="9" t="s">
        <v>2935</v>
      </c>
    </row>
    <row r="1227">
      <c r="A1227" s="9" t="s">
        <v>2936</v>
      </c>
    </row>
    <row r="1228">
      <c r="A1228" s="9" t="s">
        <v>2937</v>
      </c>
    </row>
    <row r="1229">
      <c r="A1229" s="9" t="s">
        <v>2938</v>
      </c>
    </row>
    <row r="1230">
      <c r="A1230" s="9" t="s">
        <v>2939</v>
      </c>
    </row>
    <row r="1231">
      <c r="A1231" s="9" t="s">
        <v>2940</v>
      </c>
    </row>
    <row r="1232">
      <c r="A1232" s="9" t="s">
        <v>2941</v>
      </c>
    </row>
    <row r="1233">
      <c r="A1233" s="9" t="s">
        <v>2942</v>
      </c>
    </row>
    <row r="1234">
      <c r="A1234" s="9" t="s">
        <v>2943</v>
      </c>
    </row>
    <row r="1235">
      <c r="A1235" s="9" t="s">
        <v>2944</v>
      </c>
    </row>
    <row r="1236">
      <c r="A1236" s="9" t="s">
        <v>2945</v>
      </c>
    </row>
    <row r="1237">
      <c r="A1237" s="9" t="s">
        <v>2946</v>
      </c>
    </row>
    <row r="1238">
      <c r="A1238" s="9" t="s">
        <v>2947</v>
      </c>
    </row>
    <row r="1239">
      <c r="A1239" s="9" t="s">
        <v>2948</v>
      </c>
    </row>
    <row r="1240">
      <c r="A1240" s="9" t="s">
        <v>2949</v>
      </c>
    </row>
    <row r="1241">
      <c r="A1241" s="9" t="s">
        <v>2950</v>
      </c>
    </row>
    <row r="1242">
      <c r="A1242" s="9" t="s">
        <v>2951</v>
      </c>
    </row>
    <row r="1243">
      <c r="A1243" s="9" t="s">
        <v>2952</v>
      </c>
    </row>
    <row r="1244">
      <c r="A1244" s="9" t="s">
        <v>2953</v>
      </c>
    </row>
    <row r="1245">
      <c r="A1245" s="9" t="s">
        <v>2954</v>
      </c>
    </row>
    <row r="1246">
      <c r="A1246" s="9" t="s">
        <v>2955</v>
      </c>
    </row>
    <row r="1247">
      <c r="A1247" s="9" t="s">
        <v>2956</v>
      </c>
    </row>
    <row r="1248">
      <c r="A1248" s="9" t="s">
        <v>2957</v>
      </c>
    </row>
    <row r="1249">
      <c r="A1249" s="9" t="s">
        <v>2958</v>
      </c>
    </row>
    <row r="1250">
      <c r="A1250" s="9" t="s">
        <v>2959</v>
      </c>
    </row>
    <row r="1251">
      <c r="A1251" s="9" t="s">
        <v>2960</v>
      </c>
    </row>
    <row r="1252">
      <c r="A1252" s="9" t="s">
        <v>2961</v>
      </c>
    </row>
    <row r="1253">
      <c r="A1253" s="9" t="s">
        <v>2962</v>
      </c>
    </row>
    <row r="1254">
      <c r="A1254" s="9" t="s">
        <v>2963</v>
      </c>
    </row>
    <row r="1255">
      <c r="A1255" s="9" t="s">
        <v>2964</v>
      </c>
    </row>
    <row r="1256">
      <c r="A1256" s="9" t="s">
        <v>2965</v>
      </c>
    </row>
    <row r="1257">
      <c r="A1257" s="9" t="s">
        <v>2966</v>
      </c>
    </row>
    <row r="1258">
      <c r="A1258" s="9" t="s">
        <v>2967</v>
      </c>
    </row>
    <row r="1259">
      <c r="A1259" s="9" t="s">
        <v>2968</v>
      </c>
    </row>
    <row r="1260">
      <c r="A1260" s="9" t="s">
        <v>2969</v>
      </c>
    </row>
    <row r="1261">
      <c r="A1261" s="9" t="s">
        <v>2970</v>
      </c>
    </row>
    <row r="1262">
      <c r="A1262" s="9" t="s">
        <v>2971</v>
      </c>
    </row>
    <row r="1263">
      <c r="A1263" s="9" t="s">
        <v>2972</v>
      </c>
    </row>
    <row r="1264">
      <c r="A1264" s="9" t="s">
        <v>2973</v>
      </c>
    </row>
    <row r="1265">
      <c r="A1265" s="9" t="s">
        <v>2974</v>
      </c>
    </row>
    <row r="1266">
      <c r="A1266" s="9" t="s">
        <v>2975</v>
      </c>
    </row>
    <row r="1267">
      <c r="A1267" s="9" t="s">
        <v>2976</v>
      </c>
    </row>
    <row r="1268">
      <c r="A1268" s="9" t="s">
        <v>2977</v>
      </c>
    </row>
    <row r="1269">
      <c r="A1269" s="9" t="s">
        <v>2978</v>
      </c>
    </row>
    <row r="1270">
      <c r="A1270" s="9" t="s">
        <v>2979</v>
      </c>
    </row>
    <row r="1271">
      <c r="A1271" s="9" t="s">
        <v>2980</v>
      </c>
    </row>
    <row r="1272">
      <c r="A1272" s="9" t="s">
        <v>2981</v>
      </c>
    </row>
    <row r="1273">
      <c r="A1273" s="9" t="s">
        <v>2982</v>
      </c>
    </row>
    <row r="1274">
      <c r="A1274" s="9" t="s">
        <v>2983</v>
      </c>
    </row>
    <row r="1275">
      <c r="A1275" s="9" t="s">
        <v>2984</v>
      </c>
    </row>
    <row r="1276">
      <c r="A1276" s="9" t="s">
        <v>2985</v>
      </c>
    </row>
    <row r="1277">
      <c r="A1277" s="9" t="s">
        <v>2986</v>
      </c>
    </row>
    <row r="1278">
      <c r="A1278" s="9" t="s">
        <v>2987</v>
      </c>
    </row>
    <row r="1279">
      <c r="A1279" s="9" t="s">
        <v>2988</v>
      </c>
    </row>
    <row r="1280">
      <c r="A1280" s="9" t="s">
        <v>2989</v>
      </c>
    </row>
    <row r="1281">
      <c r="A1281" s="9" t="s">
        <v>2990</v>
      </c>
    </row>
    <row r="1282">
      <c r="A1282" s="9" t="s">
        <v>2991</v>
      </c>
    </row>
    <row r="1283">
      <c r="A1283" s="9" t="s">
        <v>2992</v>
      </c>
    </row>
    <row r="1284">
      <c r="A1284" s="9" t="s">
        <v>2993</v>
      </c>
    </row>
    <row r="1285">
      <c r="A1285" s="9" t="s">
        <v>2994</v>
      </c>
    </row>
    <row r="1286">
      <c r="A1286" s="9" t="s">
        <v>2995</v>
      </c>
    </row>
    <row r="1287">
      <c r="A1287" s="9" t="s">
        <v>2996</v>
      </c>
    </row>
    <row r="1288">
      <c r="A1288" s="9" t="s">
        <v>2997</v>
      </c>
    </row>
    <row r="1289">
      <c r="A1289" s="9" t="s">
        <v>2998</v>
      </c>
    </row>
    <row r="1290">
      <c r="A1290" s="9" t="s">
        <v>2999</v>
      </c>
    </row>
    <row r="1291">
      <c r="A1291" s="9" t="s">
        <v>3000</v>
      </c>
    </row>
    <row r="1292">
      <c r="A1292" s="9" t="s">
        <v>3001</v>
      </c>
    </row>
    <row r="1293">
      <c r="A1293" s="9" t="s">
        <v>3002</v>
      </c>
    </row>
    <row r="1294">
      <c r="A1294" s="9" t="s">
        <v>3003</v>
      </c>
    </row>
    <row r="1295">
      <c r="A1295" s="9" t="s">
        <v>3004</v>
      </c>
    </row>
    <row r="1296">
      <c r="A1296" s="9" t="s">
        <v>3005</v>
      </c>
    </row>
    <row r="1297">
      <c r="A1297" s="9" t="s">
        <v>3006</v>
      </c>
    </row>
    <row r="1298">
      <c r="A1298" s="9" t="s">
        <v>1618</v>
      </c>
    </row>
    <row r="1299">
      <c r="A1299" s="9" t="s">
        <v>3007</v>
      </c>
    </row>
    <row r="1300">
      <c r="A1300" s="9" t="s">
        <v>3008</v>
      </c>
    </row>
    <row r="1301">
      <c r="A1301" s="9" t="s">
        <v>3009</v>
      </c>
    </row>
    <row r="1302">
      <c r="A1302" s="9" t="s">
        <v>3010</v>
      </c>
    </row>
    <row r="1303">
      <c r="A1303" s="9" t="s">
        <v>3011</v>
      </c>
    </row>
    <row r="1304">
      <c r="A1304" s="9" t="s">
        <v>3012</v>
      </c>
    </row>
    <row r="1305">
      <c r="A1305" s="9" t="s">
        <v>3013</v>
      </c>
    </row>
    <row r="1306">
      <c r="A1306" s="9" t="s">
        <v>3014</v>
      </c>
    </row>
    <row r="1307">
      <c r="A1307" s="9" t="s">
        <v>3015</v>
      </c>
    </row>
    <row r="1308">
      <c r="A1308" s="9" t="s">
        <v>3016</v>
      </c>
    </row>
    <row r="1309">
      <c r="A1309" s="9" t="s">
        <v>3017</v>
      </c>
    </row>
    <row r="1310">
      <c r="A1310" s="9" t="s">
        <v>3018</v>
      </c>
    </row>
    <row r="1311">
      <c r="A1311" s="9" t="s">
        <v>3019</v>
      </c>
    </row>
    <row r="1312">
      <c r="A1312" s="9" t="s">
        <v>3020</v>
      </c>
    </row>
    <row r="1313">
      <c r="A1313" s="9" t="s">
        <v>3021</v>
      </c>
    </row>
    <row r="1314">
      <c r="A1314" s="9" t="s">
        <v>3022</v>
      </c>
    </row>
    <row r="1315">
      <c r="A1315" s="9" t="s">
        <v>3023</v>
      </c>
    </row>
    <row r="1316">
      <c r="A1316" s="9" t="s">
        <v>3024</v>
      </c>
    </row>
    <row r="1317">
      <c r="A1317" s="9" t="s">
        <v>3025</v>
      </c>
    </row>
    <row r="1318">
      <c r="A1318" s="9" t="s">
        <v>3026</v>
      </c>
    </row>
    <row r="1319">
      <c r="A1319" s="9" t="s">
        <v>3027</v>
      </c>
    </row>
    <row r="1320">
      <c r="A1320" s="9" t="s">
        <v>3028</v>
      </c>
    </row>
    <row r="1321">
      <c r="A1321" s="9" t="s">
        <v>3029</v>
      </c>
    </row>
    <row r="1322">
      <c r="A1322" s="9" t="s">
        <v>3030</v>
      </c>
    </row>
    <row r="1323">
      <c r="A1323" s="9" t="s">
        <v>3031</v>
      </c>
    </row>
    <row r="1324">
      <c r="A1324" s="9" t="s">
        <v>3032</v>
      </c>
    </row>
    <row r="1325">
      <c r="A1325" s="9" t="s">
        <v>3033</v>
      </c>
    </row>
    <row r="1326">
      <c r="A1326" s="9" t="s">
        <v>3034</v>
      </c>
    </row>
    <row r="1327">
      <c r="A1327" s="9" t="s">
        <v>3035</v>
      </c>
    </row>
    <row r="1328">
      <c r="A1328" s="9" t="s">
        <v>3036</v>
      </c>
    </row>
    <row r="1329">
      <c r="A1329" s="9" t="s">
        <v>3037</v>
      </c>
    </row>
    <row r="1330">
      <c r="A1330" s="9" t="s">
        <v>3038</v>
      </c>
    </row>
    <row r="1331">
      <c r="A1331" s="9" t="s">
        <v>3039</v>
      </c>
    </row>
    <row r="1332">
      <c r="A1332" s="9" t="s">
        <v>3040</v>
      </c>
    </row>
    <row r="1333">
      <c r="A1333" s="9" t="s">
        <v>3041</v>
      </c>
    </row>
    <row r="1334">
      <c r="A1334" s="9" t="s">
        <v>3042</v>
      </c>
    </row>
    <row r="1335">
      <c r="A1335" s="9" t="s">
        <v>3043</v>
      </c>
    </row>
    <row r="1336">
      <c r="A1336" s="9" t="s">
        <v>3044</v>
      </c>
    </row>
    <row r="1337">
      <c r="A1337" s="9" t="s">
        <v>3045</v>
      </c>
    </row>
    <row r="1338">
      <c r="A1338" s="9" t="s">
        <v>3046</v>
      </c>
    </row>
    <row r="1339">
      <c r="A1339" s="9" t="s">
        <v>3047</v>
      </c>
    </row>
    <row r="1340">
      <c r="A1340" s="9" t="s">
        <v>3048</v>
      </c>
    </row>
    <row r="1341">
      <c r="A1341" s="9" t="s">
        <v>3049</v>
      </c>
    </row>
    <row r="1342">
      <c r="A1342" s="9" t="s">
        <v>3050</v>
      </c>
    </row>
    <row r="1343">
      <c r="A1343" s="9" t="s">
        <v>3051</v>
      </c>
    </row>
    <row r="1344">
      <c r="A1344" s="9" t="s">
        <v>3052</v>
      </c>
    </row>
    <row r="1345">
      <c r="A1345" s="9" t="s">
        <v>3053</v>
      </c>
    </row>
    <row r="1346">
      <c r="A1346" s="9" t="s">
        <v>3054</v>
      </c>
    </row>
    <row r="1347">
      <c r="A1347" s="9" t="s">
        <v>3055</v>
      </c>
    </row>
    <row r="1348">
      <c r="A1348" s="9" t="s">
        <v>3056</v>
      </c>
    </row>
    <row r="1349">
      <c r="A1349" s="9" t="s">
        <v>3057</v>
      </c>
    </row>
    <row r="1350">
      <c r="A1350" s="9" t="s">
        <v>3058</v>
      </c>
    </row>
    <row r="1351">
      <c r="A1351" s="9" t="s">
        <v>3059</v>
      </c>
    </row>
    <row r="1352">
      <c r="A1352" s="9" t="s">
        <v>3060</v>
      </c>
    </row>
    <row r="1353">
      <c r="A1353" s="9" t="s">
        <v>3061</v>
      </c>
    </row>
    <row r="1354">
      <c r="A1354" s="9" t="s">
        <v>3062</v>
      </c>
    </row>
    <row r="1355">
      <c r="A1355" s="9" t="s">
        <v>3063</v>
      </c>
    </row>
    <row r="1356">
      <c r="A1356" s="9" t="s">
        <v>3064</v>
      </c>
    </row>
    <row r="1357">
      <c r="A1357" s="9" t="s">
        <v>3065</v>
      </c>
    </row>
    <row r="1358">
      <c r="A1358" s="9" t="s">
        <v>3066</v>
      </c>
    </row>
    <row r="1359">
      <c r="A1359" s="9" t="s">
        <v>3067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</cols>
  <sheetData>
    <row r="1">
      <c r="A1" s="9" t="s">
        <v>3068</v>
      </c>
      <c r="B1" s="9" t="s">
        <v>2</v>
      </c>
    </row>
    <row r="2">
      <c r="A2" s="9" t="s">
        <v>3069</v>
      </c>
      <c r="B2" s="9" t="s">
        <v>224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</cols>
  <sheetData>
    <row r="1">
      <c r="A1" s="51" t="s">
        <v>3070</v>
      </c>
      <c r="B1" s="51" t="s">
        <v>3071</v>
      </c>
    </row>
    <row r="2">
      <c r="A2" s="51" t="s">
        <v>3072</v>
      </c>
      <c r="B2" s="9" t="s">
        <v>3073</v>
      </c>
    </row>
    <row r="3">
      <c r="A3" s="51" t="s">
        <v>3074</v>
      </c>
      <c r="B3" s="9" t="s">
        <v>3075</v>
      </c>
    </row>
    <row r="4">
      <c r="A4" s="51" t="s">
        <v>3076</v>
      </c>
      <c r="B4" s="9" t="s">
        <v>3077</v>
      </c>
    </row>
    <row r="5">
      <c r="A5" s="51" t="s">
        <v>3078</v>
      </c>
      <c r="B5" s="9" t="s">
        <v>3079</v>
      </c>
    </row>
    <row r="6">
      <c r="A6" s="51" t="s">
        <v>3080</v>
      </c>
      <c r="B6" s="9" t="s">
        <v>3081</v>
      </c>
    </row>
    <row r="7">
      <c r="A7" s="51" t="s">
        <v>3082</v>
      </c>
      <c r="B7" s="9" t="s">
        <v>3083</v>
      </c>
    </row>
    <row r="8">
      <c r="A8" s="51" t="s">
        <v>3084</v>
      </c>
      <c r="B8" s="9" t="s">
        <v>3085</v>
      </c>
    </row>
    <row r="9">
      <c r="A9" s="51" t="s">
        <v>3086</v>
      </c>
      <c r="B9" s="9" t="s">
        <v>3087</v>
      </c>
    </row>
    <row r="10">
      <c r="A10" s="52"/>
    </row>
    <row r="11">
      <c r="A11" s="52"/>
    </row>
    <row r="12">
      <c r="A12" s="52"/>
    </row>
    <row r="13">
      <c r="A13" s="52"/>
    </row>
    <row r="14">
      <c r="A14" s="52"/>
    </row>
    <row r="15">
      <c r="A15" s="52"/>
    </row>
    <row r="16">
      <c r="A16" s="52"/>
    </row>
    <row r="17">
      <c r="A17" s="52"/>
    </row>
    <row r="18">
      <c r="A18" s="52"/>
    </row>
    <row r="19">
      <c r="A19" s="52"/>
    </row>
    <row r="20">
      <c r="A20" s="52"/>
    </row>
    <row r="21">
      <c r="A21" s="52"/>
    </row>
    <row r="22">
      <c r="A22" s="52"/>
    </row>
    <row r="23">
      <c r="A23" s="52"/>
    </row>
    <row r="24">
      <c r="A24" s="52"/>
    </row>
    <row r="25">
      <c r="A25" s="52"/>
    </row>
    <row r="26">
      <c r="A26" s="52"/>
    </row>
    <row r="27">
      <c r="A27" s="52"/>
    </row>
    <row r="28">
      <c r="A28" s="52"/>
    </row>
    <row r="29">
      <c r="A29" s="52"/>
    </row>
    <row r="30">
      <c r="A30" s="52"/>
    </row>
    <row r="31">
      <c r="A31" s="52"/>
    </row>
    <row r="32">
      <c r="A32" s="52"/>
    </row>
    <row r="33">
      <c r="A33" s="52"/>
    </row>
    <row r="34">
      <c r="A34" s="52"/>
    </row>
    <row r="35">
      <c r="A35" s="52"/>
    </row>
    <row r="36">
      <c r="A36" s="52"/>
    </row>
    <row r="37">
      <c r="A37" s="52"/>
    </row>
    <row r="38">
      <c r="A38" s="52"/>
    </row>
    <row r="39">
      <c r="A39" s="52"/>
    </row>
    <row r="40">
      <c r="A40" s="52"/>
    </row>
    <row r="41">
      <c r="A41" s="52"/>
    </row>
    <row r="42">
      <c r="A42" s="52"/>
    </row>
    <row r="43">
      <c r="A43" s="52"/>
    </row>
    <row r="44">
      <c r="A44" s="52"/>
    </row>
    <row r="45">
      <c r="A45" s="52"/>
    </row>
    <row r="46">
      <c r="A46" s="52"/>
    </row>
    <row r="47">
      <c r="A47" s="52"/>
    </row>
    <row r="48">
      <c r="A48" s="52"/>
    </row>
    <row r="49">
      <c r="A49" s="52"/>
    </row>
    <row r="50">
      <c r="A50" s="52"/>
    </row>
    <row r="51">
      <c r="A51" s="52"/>
    </row>
    <row r="52">
      <c r="A52" s="52"/>
    </row>
    <row r="53">
      <c r="A53" s="52"/>
    </row>
    <row r="54">
      <c r="A54" s="52"/>
    </row>
    <row r="55">
      <c r="A55" s="52"/>
    </row>
    <row r="56">
      <c r="A56" s="52"/>
    </row>
    <row r="57">
      <c r="A57" s="52"/>
    </row>
    <row r="58">
      <c r="A58" s="52"/>
    </row>
    <row r="59">
      <c r="A59" s="52"/>
    </row>
    <row r="60">
      <c r="A60" s="52"/>
    </row>
    <row r="61">
      <c r="A61" s="52"/>
    </row>
    <row r="62">
      <c r="A62" s="52"/>
    </row>
    <row r="63">
      <c r="A63" s="52"/>
    </row>
    <row r="64">
      <c r="A64" s="52"/>
    </row>
    <row r="65">
      <c r="A65" s="52"/>
    </row>
    <row r="66">
      <c r="A66" s="52"/>
    </row>
    <row r="67">
      <c r="A67" s="52"/>
    </row>
    <row r="68">
      <c r="A68" s="52"/>
    </row>
    <row r="69">
      <c r="A69" s="52"/>
    </row>
    <row r="70">
      <c r="A70" s="52"/>
    </row>
    <row r="71">
      <c r="A71" s="52"/>
    </row>
    <row r="72">
      <c r="A72" s="52"/>
    </row>
    <row r="73">
      <c r="A73" s="52"/>
    </row>
    <row r="74">
      <c r="A74" s="52"/>
    </row>
    <row r="75">
      <c r="A75" s="52"/>
    </row>
    <row r="76">
      <c r="A76" s="52"/>
    </row>
    <row r="77">
      <c r="A77" s="52"/>
    </row>
    <row r="78">
      <c r="A78" s="52"/>
    </row>
    <row r="79">
      <c r="A79" s="52"/>
    </row>
    <row r="80">
      <c r="A80" s="52"/>
    </row>
    <row r="81">
      <c r="A81" s="52"/>
    </row>
    <row r="82">
      <c r="A82" s="52"/>
    </row>
    <row r="83">
      <c r="A83" s="52"/>
    </row>
    <row r="84">
      <c r="A84" s="52"/>
    </row>
    <row r="85">
      <c r="A85" s="52"/>
    </row>
    <row r="86">
      <c r="A86" s="52"/>
    </row>
    <row r="87">
      <c r="A87" s="52"/>
    </row>
    <row r="88">
      <c r="A88" s="52"/>
    </row>
    <row r="89">
      <c r="A89" s="52"/>
    </row>
    <row r="90">
      <c r="A90" s="52"/>
    </row>
    <row r="91">
      <c r="A91" s="52"/>
    </row>
    <row r="92">
      <c r="A92" s="52"/>
    </row>
    <row r="93">
      <c r="A93" s="52"/>
    </row>
    <row r="94">
      <c r="A94" s="52"/>
    </row>
    <row r="95">
      <c r="A95" s="52"/>
    </row>
    <row r="96">
      <c r="A96" s="52"/>
    </row>
    <row r="97">
      <c r="A97" s="52"/>
    </row>
    <row r="98">
      <c r="A98" s="52"/>
    </row>
    <row r="99">
      <c r="A99" s="52"/>
    </row>
    <row r="100">
      <c r="A100" s="52"/>
    </row>
    <row r="101">
      <c r="A101" s="52"/>
    </row>
    <row r="102">
      <c r="A102" s="52"/>
    </row>
    <row r="103">
      <c r="A103" s="52"/>
    </row>
    <row r="104">
      <c r="A104" s="52"/>
    </row>
    <row r="105">
      <c r="A105" s="52"/>
    </row>
    <row r="106">
      <c r="A106" s="52"/>
    </row>
    <row r="107">
      <c r="A107" s="52"/>
    </row>
    <row r="108">
      <c r="A108" s="52"/>
    </row>
    <row r="109">
      <c r="A109" s="52"/>
    </row>
    <row r="110">
      <c r="A110" s="52"/>
    </row>
    <row r="111">
      <c r="A111" s="52"/>
    </row>
    <row r="112">
      <c r="A112" s="52"/>
    </row>
    <row r="113">
      <c r="A113" s="52"/>
    </row>
    <row r="114">
      <c r="A114" s="52"/>
    </row>
    <row r="115">
      <c r="A115" s="52"/>
    </row>
    <row r="116">
      <c r="A116" s="52"/>
    </row>
    <row r="117">
      <c r="A117" s="52"/>
    </row>
    <row r="118">
      <c r="A118" s="52"/>
    </row>
    <row r="119">
      <c r="A119" s="52"/>
    </row>
    <row r="120">
      <c r="A120" s="52"/>
    </row>
    <row r="121">
      <c r="A121" s="52"/>
    </row>
    <row r="122">
      <c r="A122" s="52"/>
    </row>
    <row r="123">
      <c r="A123" s="52"/>
    </row>
    <row r="124">
      <c r="A124" s="52"/>
    </row>
    <row r="125">
      <c r="A125" s="52"/>
    </row>
    <row r="126">
      <c r="A126" s="52"/>
    </row>
    <row r="127">
      <c r="A127" s="52"/>
    </row>
    <row r="128">
      <c r="A128" s="52"/>
    </row>
    <row r="129">
      <c r="A129" s="52"/>
    </row>
    <row r="130">
      <c r="A130" s="52"/>
    </row>
    <row r="131">
      <c r="A131" s="52"/>
    </row>
    <row r="132">
      <c r="A132" s="52"/>
    </row>
    <row r="133">
      <c r="A133" s="52"/>
    </row>
    <row r="134">
      <c r="A134" s="52"/>
    </row>
    <row r="135">
      <c r="A135" s="52"/>
    </row>
    <row r="136">
      <c r="A136" s="52"/>
    </row>
    <row r="137">
      <c r="A137" s="52"/>
    </row>
    <row r="138">
      <c r="A138" s="52"/>
    </row>
    <row r="139">
      <c r="A139" s="52"/>
    </row>
    <row r="140">
      <c r="A140" s="52"/>
    </row>
    <row r="141">
      <c r="A141" s="52"/>
    </row>
    <row r="142">
      <c r="A142" s="52"/>
    </row>
    <row r="143">
      <c r="A143" s="52"/>
    </row>
    <row r="144">
      <c r="A144" s="52"/>
    </row>
    <row r="145">
      <c r="A145" s="52"/>
    </row>
    <row r="146">
      <c r="A146" s="52"/>
    </row>
    <row r="147">
      <c r="A147" s="52"/>
    </row>
    <row r="148">
      <c r="A148" s="52"/>
    </row>
    <row r="149">
      <c r="A149" s="52"/>
    </row>
    <row r="150">
      <c r="A150" s="52"/>
    </row>
    <row r="151">
      <c r="A151" s="52"/>
    </row>
    <row r="152">
      <c r="A152" s="52"/>
    </row>
    <row r="153">
      <c r="A153" s="52"/>
    </row>
    <row r="154">
      <c r="A154" s="52"/>
    </row>
    <row r="155">
      <c r="A155" s="52"/>
    </row>
    <row r="156">
      <c r="A156" s="52"/>
    </row>
    <row r="157">
      <c r="A157" s="52"/>
    </row>
    <row r="158">
      <c r="A158" s="52"/>
    </row>
    <row r="159">
      <c r="A159" s="52"/>
    </row>
    <row r="160">
      <c r="A160" s="52"/>
    </row>
    <row r="161">
      <c r="A161" s="52"/>
    </row>
    <row r="162">
      <c r="A162" s="52"/>
    </row>
    <row r="163">
      <c r="A163" s="52"/>
    </row>
    <row r="164">
      <c r="A164" s="52"/>
    </row>
    <row r="165">
      <c r="A165" s="52"/>
    </row>
    <row r="166">
      <c r="A166" s="52"/>
    </row>
    <row r="167">
      <c r="A167" s="52"/>
    </row>
    <row r="168">
      <c r="A168" s="52"/>
    </row>
    <row r="169">
      <c r="A169" s="52"/>
    </row>
    <row r="170">
      <c r="A170" s="52"/>
    </row>
    <row r="171">
      <c r="A171" s="52"/>
    </row>
    <row r="172">
      <c r="A172" s="52"/>
    </row>
    <row r="173">
      <c r="A173" s="52"/>
    </row>
    <row r="174">
      <c r="A174" s="52"/>
    </row>
    <row r="175">
      <c r="A175" s="52"/>
    </row>
    <row r="176">
      <c r="A176" s="52"/>
    </row>
    <row r="177">
      <c r="A177" s="52"/>
    </row>
    <row r="178">
      <c r="A178" s="52"/>
    </row>
    <row r="179">
      <c r="A179" s="52"/>
    </row>
    <row r="180">
      <c r="A180" s="52"/>
    </row>
    <row r="181">
      <c r="A181" s="52"/>
    </row>
    <row r="182">
      <c r="A182" s="52"/>
    </row>
    <row r="183">
      <c r="A183" s="52"/>
    </row>
    <row r="184">
      <c r="A184" s="52"/>
    </row>
    <row r="185">
      <c r="A185" s="52"/>
    </row>
    <row r="186">
      <c r="A186" s="52"/>
    </row>
    <row r="187">
      <c r="A187" s="52"/>
    </row>
    <row r="188">
      <c r="A188" s="52"/>
    </row>
    <row r="189">
      <c r="A189" s="52"/>
    </row>
    <row r="190">
      <c r="A190" s="52"/>
    </row>
    <row r="191">
      <c r="A191" s="52"/>
    </row>
    <row r="192">
      <c r="A192" s="52"/>
    </row>
    <row r="193">
      <c r="A193" s="52"/>
    </row>
    <row r="194">
      <c r="A194" s="52"/>
    </row>
    <row r="195">
      <c r="A195" s="52"/>
    </row>
    <row r="196">
      <c r="A196" s="52"/>
    </row>
    <row r="197">
      <c r="A197" s="52"/>
    </row>
    <row r="198">
      <c r="A198" s="52"/>
    </row>
    <row r="199">
      <c r="A199" s="52"/>
    </row>
    <row r="200">
      <c r="A200" s="52"/>
    </row>
    <row r="201">
      <c r="A201" s="52"/>
    </row>
    <row r="202">
      <c r="A202" s="52"/>
    </row>
    <row r="203">
      <c r="A203" s="52"/>
    </row>
    <row r="204">
      <c r="A204" s="52"/>
    </row>
    <row r="205">
      <c r="A205" s="52"/>
    </row>
    <row r="206">
      <c r="A206" s="52"/>
    </row>
    <row r="207">
      <c r="A207" s="52"/>
    </row>
    <row r="208">
      <c r="A208" s="52"/>
    </row>
    <row r="209">
      <c r="A209" s="52"/>
    </row>
    <row r="210">
      <c r="A210" s="52"/>
    </row>
    <row r="211">
      <c r="A211" s="52"/>
    </row>
    <row r="212">
      <c r="A212" s="52"/>
    </row>
    <row r="213">
      <c r="A213" s="52"/>
    </row>
    <row r="214">
      <c r="A214" s="52"/>
    </row>
    <row r="215">
      <c r="A215" s="52"/>
    </row>
    <row r="216">
      <c r="A216" s="52"/>
    </row>
    <row r="217">
      <c r="A217" s="52"/>
    </row>
    <row r="218">
      <c r="A218" s="52"/>
    </row>
    <row r="219">
      <c r="A219" s="52"/>
    </row>
    <row r="220">
      <c r="A220" s="52"/>
    </row>
    <row r="221">
      <c r="A221" s="52"/>
    </row>
    <row r="222">
      <c r="A222" s="52"/>
    </row>
    <row r="223">
      <c r="A223" s="52"/>
    </row>
    <row r="224">
      <c r="A224" s="52"/>
    </row>
    <row r="225">
      <c r="A225" s="52"/>
    </row>
    <row r="226">
      <c r="A226" s="52"/>
    </row>
    <row r="227">
      <c r="A227" s="52"/>
    </row>
    <row r="228">
      <c r="A228" s="52"/>
    </row>
    <row r="229">
      <c r="A229" s="52"/>
    </row>
    <row r="230">
      <c r="A230" s="52"/>
    </row>
    <row r="231">
      <c r="A231" s="52"/>
    </row>
    <row r="232">
      <c r="A232" s="52"/>
    </row>
    <row r="233">
      <c r="A233" s="52"/>
    </row>
    <row r="234">
      <c r="A234" s="52"/>
    </row>
    <row r="235">
      <c r="A235" s="52"/>
    </row>
    <row r="236">
      <c r="A236" s="52"/>
    </row>
    <row r="237">
      <c r="A237" s="52"/>
    </row>
    <row r="238">
      <c r="A238" s="52"/>
    </row>
    <row r="239">
      <c r="A239" s="52"/>
    </row>
    <row r="240">
      <c r="A240" s="52"/>
    </row>
    <row r="241">
      <c r="A241" s="52"/>
    </row>
    <row r="242">
      <c r="A242" s="52"/>
    </row>
    <row r="243">
      <c r="A243" s="52"/>
    </row>
    <row r="244">
      <c r="A244" s="52"/>
    </row>
    <row r="245">
      <c r="A245" s="52"/>
    </row>
    <row r="246">
      <c r="A246" s="52"/>
    </row>
    <row r="247">
      <c r="A247" s="52"/>
    </row>
    <row r="248">
      <c r="A248" s="52"/>
    </row>
    <row r="249">
      <c r="A249" s="52"/>
    </row>
    <row r="250">
      <c r="A250" s="52"/>
    </row>
    <row r="251">
      <c r="A251" s="52"/>
    </row>
    <row r="252">
      <c r="A252" s="52"/>
    </row>
    <row r="253">
      <c r="A253" s="52"/>
    </row>
    <row r="254">
      <c r="A254" s="52"/>
    </row>
    <row r="255">
      <c r="A255" s="52"/>
    </row>
    <row r="256">
      <c r="A256" s="52"/>
    </row>
    <row r="257">
      <c r="A257" s="52"/>
    </row>
    <row r="258">
      <c r="A258" s="52"/>
    </row>
    <row r="259">
      <c r="A259" s="52"/>
    </row>
    <row r="260">
      <c r="A260" s="52"/>
    </row>
    <row r="261">
      <c r="A261" s="52"/>
    </row>
    <row r="262">
      <c r="A262" s="52"/>
    </row>
    <row r="263">
      <c r="A263" s="52"/>
    </row>
    <row r="264">
      <c r="A264" s="52"/>
    </row>
    <row r="265">
      <c r="A265" s="52"/>
    </row>
    <row r="266">
      <c r="A266" s="52"/>
    </row>
    <row r="267">
      <c r="A267" s="52"/>
    </row>
    <row r="268">
      <c r="A268" s="52"/>
    </row>
    <row r="269">
      <c r="A269" s="52"/>
    </row>
    <row r="270">
      <c r="A270" s="52"/>
    </row>
    <row r="271">
      <c r="A271" s="52"/>
    </row>
    <row r="272">
      <c r="A272" s="52"/>
    </row>
    <row r="273">
      <c r="A273" s="52"/>
    </row>
    <row r="274">
      <c r="A274" s="52"/>
    </row>
    <row r="275">
      <c r="A275" s="52"/>
    </row>
    <row r="276">
      <c r="A276" s="52"/>
    </row>
    <row r="277">
      <c r="A277" s="52"/>
    </row>
    <row r="278">
      <c r="A278" s="52"/>
    </row>
    <row r="279">
      <c r="A279" s="52"/>
    </row>
    <row r="280">
      <c r="A280" s="52"/>
    </row>
    <row r="281">
      <c r="A281" s="52"/>
    </row>
    <row r="282">
      <c r="A282" s="52"/>
    </row>
    <row r="283">
      <c r="A283" s="52"/>
    </row>
    <row r="284">
      <c r="A284" s="52"/>
    </row>
    <row r="285">
      <c r="A285" s="52"/>
    </row>
    <row r="286">
      <c r="A286" s="52"/>
    </row>
    <row r="287">
      <c r="A287" s="52"/>
    </row>
    <row r="288">
      <c r="A288" s="52"/>
    </row>
    <row r="289">
      <c r="A289" s="52"/>
    </row>
    <row r="290">
      <c r="A290" s="52"/>
    </row>
    <row r="291">
      <c r="A291" s="52"/>
    </row>
    <row r="292">
      <c r="A292" s="52"/>
    </row>
    <row r="293">
      <c r="A293" s="52"/>
    </row>
    <row r="294">
      <c r="A294" s="52"/>
    </row>
    <row r="295">
      <c r="A295" s="52"/>
    </row>
    <row r="296">
      <c r="A296" s="52"/>
    </row>
    <row r="297">
      <c r="A297" s="52"/>
    </row>
    <row r="298">
      <c r="A298" s="52"/>
    </row>
    <row r="299">
      <c r="A299" s="52"/>
    </row>
    <row r="300">
      <c r="A300" s="52"/>
    </row>
    <row r="301">
      <c r="A301" s="52"/>
    </row>
    <row r="302">
      <c r="A302" s="52"/>
    </row>
    <row r="303">
      <c r="A303" s="52"/>
    </row>
    <row r="304">
      <c r="A304" s="52"/>
    </row>
    <row r="305">
      <c r="A305" s="52"/>
    </row>
    <row r="306">
      <c r="A306" s="52"/>
    </row>
    <row r="307">
      <c r="A307" s="52"/>
    </row>
    <row r="308">
      <c r="A308" s="52"/>
    </row>
    <row r="309">
      <c r="A309" s="52"/>
    </row>
    <row r="310">
      <c r="A310" s="52"/>
    </row>
    <row r="311">
      <c r="A311" s="52"/>
    </row>
    <row r="312">
      <c r="A312" s="52"/>
    </row>
    <row r="313">
      <c r="A313" s="52"/>
    </row>
    <row r="314">
      <c r="A314" s="52"/>
    </row>
    <row r="315">
      <c r="A315" s="52"/>
    </row>
    <row r="316">
      <c r="A316" s="52"/>
    </row>
    <row r="317">
      <c r="A317" s="52"/>
    </row>
    <row r="318">
      <c r="A318" s="52"/>
    </row>
    <row r="319">
      <c r="A319" s="52"/>
    </row>
    <row r="320">
      <c r="A320" s="52"/>
    </row>
    <row r="321">
      <c r="A321" s="52"/>
    </row>
    <row r="322">
      <c r="A322" s="52"/>
    </row>
    <row r="323">
      <c r="A323" s="52"/>
    </row>
    <row r="324">
      <c r="A324" s="52"/>
    </row>
    <row r="325">
      <c r="A325" s="52"/>
    </row>
    <row r="326">
      <c r="A326" s="52"/>
    </row>
    <row r="327">
      <c r="A327" s="52"/>
    </row>
    <row r="328">
      <c r="A328" s="52"/>
    </row>
    <row r="329">
      <c r="A329" s="52"/>
    </row>
    <row r="330">
      <c r="A330" s="52"/>
    </row>
    <row r="331">
      <c r="A331" s="52"/>
    </row>
    <row r="332">
      <c r="A332" s="52"/>
    </row>
    <row r="333">
      <c r="A333" s="52"/>
    </row>
    <row r="334">
      <c r="A334" s="52"/>
    </row>
    <row r="335">
      <c r="A335" s="52"/>
    </row>
    <row r="336">
      <c r="A336" s="52"/>
    </row>
    <row r="337">
      <c r="A337" s="52"/>
    </row>
    <row r="338">
      <c r="A338" s="52"/>
    </row>
    <row r="339">
      <c r="A339" s="52"/>
    </row>
    <row r="340">
      <c r="A340" s="52"/>
    </row>
    <row r="341">
      <c r="A341" s="52"/>
    </row>
    <row r="342">
      <c r="A342" s="52"/>
    </row>
    <row r="343">
      <c r="A343" s="52"/>
    </row>
    <row r="344">
      <c r="A344" s="52"/>
    </row>
    <row r="345">
      <c r="A345" s="52"/>
    </row>
    <row r="346">
      <c r="A346" s="52"/>
    </row>
    <row r="347">
      <c r="A347" s="52"/>
    </row>
    <row r="348">
      <c r="A348" s="52"/>
    </row>
    <row r="349">
      <c r="A349" s="52"/>
    </row>
    <row r="350">
      <c r="A350" s="52"/>
    </row>
    <row r="351">
      <c r="A351" s="52"/>
    </row>
    <row r="352">
      <c r="A352" s="52"/>
    </row>
    <row r="353">
      <c r="A353" s="52"/>
    </row>
    <row r="354">
      <c r="A354" s="52"/>
    </row>
    <row r="355">
      <c r="A355" s="52"/>
    </row>
    <row r="356">
      <c r="A356" s="52"/>
    </row>
    <row r="357">
      <c r="A357" s="52"/>
    </row>
    <row r="358">
      <c r="A358" s="52"/>
    </row>
    <row r="359">
      <c r="A359" s="52"/>
    </row>
    <row r="360">
      <c r="A360" s="52"/>
    </row>
    <row r="361">
      <c r="A361" s="52"/>
    </row>
    <row r="362">
      <c r="A362" s="52"/>
    </row>
    <row r="363">
      <c r="A363" s="52"/>
    </row>
    <row r="364">
      <c r="A364" s="52"/>
    </row>
    <row r="365">
      <c r="A365" s="52"/>
    </row>
    <row r="366">
      <c r="A366" s="52"/>
    </row>
    <row r="367">
      <c r="A367" s="52"/>
    </row>
    <row r="368">
      <c r="A368" s="52"/>
    </row>
    <row r="369">
      <c r="A369" s="52"/>
    </row>
    <row r="370">
      <c r="A370" s="52"/>
    </row>
    <row r="371">
      <c r="A371" s="52"/>
    </row>
    <row r="372">
      <c r="A372" s="52"/>
    </row>
    <row r="373">
      <c r="A373" s="52"/>
    </row>
    <row r="374">
      <c r="A374" s="52"/>
    </row>
    <row r="375">
      <c r="A375" s="52"/>
    </row>
    <row r="376">
      <c r="A376" s="52"/>
    </row>
    <row r="377">
      <c r="A377" s="52"/>
    </row>
    <row r="378">
      <c r="A378" s="52"/>
    </row>
    <row r="379">
      <c r="A379" s="52"/>
    </row>
    <row r="380">
      <c r="A380" s="52"/>
    </row>
    <row r="381">
      <c r="A381" s="52"/>
    </row>
    <row r="382">
      <c r="A382" s="52"/>
    </row>
    <row r="383">
      <c r="A383" s="52"/>
    </row>
    <row r="384">
      <c r="A384" s="52"/>
    </row>
    <row r="385">
      <c r="A385" s="52"/>
    </row>
    <row r="386">
      <c r="A386" s="52"/>
    </row>
    <row r="387">
      <c r="A387" s="52"/>
    </row>
    <row r="388">
      <c r="A388" s="52"/>
    </row>
    <row r="389">
      <c r="A389" s="52"/>
    </row>
    <row r="390">
      <c r="A390" s="52"/>
    </row>
    <row r="391">
      <c r="A391" s="52"/>
    </row>
    <row r="392">
      <c r="A392" s="52"/>
    </row>
    <row r="393">
      <c r="A393" s="52"/>
    </row>
    <row r="394">
      <c r="A394" s="52"/>
    </row>
    <row r="395">
      <c r="A395" s="52"/>
    </row>
    <row r="396">
      <c r="A396" s="52"/>
    </row>
    <row r="397">
      <c r="A397" s="52"/>
    </row>
    <row r="398">
      <c r="A398" s="52"/>
    </row>
    <row r="399">
      <c r="A399" s="52"/>
    </row>
    <row r="400">
      <c r="A400" s="52"/>
    </row>
    <row r="401">
      <c r="A401" s="52"/>
    </row>
    <row r="402">
      <c r="A402" s="52"/>
    </row>
    <row r="403">
      <c r="A403" s="52"/>
    </row>
    <row r="404">
      <c r="A404" s="52"/>
    </row>
    <row r="405">
      <c r="A405" s="52"/>
    </row>
    <row r="406">
      <c r="A406" s="52"/>
    </row>
    <row r="407">
      <c r="A407" s="52"/>
    </row>
    <row r="408">
      <c r="A408" s="52"/>
    </row>
    <row r="409">
      <c r="A409" s="52"/>
    </row>
    <row r="410">
      <c r="A410" s="52"/>
    </row>
    <row r="411">
      <c r="A411" s="52"/>
    </row>
    <row r="412">
      <c r="A412" s="52"/>
    </row>
    <row r="413">
      <c r="A413" s="52"/>
    </row>
    <row r="414">
      <c r="A414" s="52"/>
    </row>
    <row r="415">
      <c r="A415" s="52"/>
    </row>
    <row r="416">
      <c r="A416" s="52"/>
    </row>
    <row r="417">
      <c r="A417" s="52"/>
    </row>
    <row r="418">
      <c r="A418" s="52"/>
    </row>
    <row r="419">
      <c r="A419" s="52"/>
    </row>
    <row r="420">
      <c r="A420" s="52"/>
    </row>
    <row r="421">
      <c r="A421" s="52"/>
    </row>
    <row r="422">
      <c r="A422" s="52"/>
    </row>
    <row r="423">
      <c r="A423" s="52"/>
    </row>
    <row r="424">
      <c r="A424" s="52"/>
    </row>
    <row r="425">
      <c r="A425" s="52"/>
    </row>
    <row r="426">
      <c r="A426" s="52"/>
    </row>
    <row r="427">
      <c r="A427" s="52"/>
    </row>
    <row r="428">
      <c r="A428" s="52"/>
    </row>
    <row r="429">
      <c r="A429" s="52"/>
    </row>
    <row r="430">
      <c r="A430" s="52"/>
    </row>
    <row r="431">
      <c r="A431" s="52"/>
    </row>
    <row r="432">
      <c r="A432" s="52"/>
    </row>
    <row r="433">
      <c r="A433" s="52"/>
    </row>
    <row r="434">
      <c r="A434" s="52"/>
    </row>
    <row r="435">
      <c r="A435" s="52"/>
    </row>
    <row r="436">
      <c r="A436" s="52"/>
    </row>
    <row r="437">
      <c r="A437" s="52"/>
    </row>
    <row r="438">
      <c r="A438" s="52"/>
    </row>
    <row r="439">
      <c r="A439" s="52"/>
    </row>
    <row r="440">
      <c r="A440" s="52"/>
    </row>
    <row r="441">
      <c r="A441" s="52"/>
    </row>
    <row r="442">
      <c r="A442" s="52"/>
    </row>
    <row r="443">
      <c r="A443" s="52"/>
    </row>
    <row r="444">
      <c r="A444" s="52"/>
    </row>
    <row r="445">
      <c r="A445" s="52"/>
    </row>
    <row r="446">
      <c r="A446" s="52"/>
    </row>
    <row r="447">
      <c r="A447" s="52"/>
    </row>
    <row r="448">
      <c r="A448" s="52"/>
    </row>
    <row r="449">
      <c r="A449" s="52"/>
    </row>
    <row r="450">
      <c r="A450" s="52"/>
    </row>
    <row r="451">
      <c r="A451" s="52"/>
    </row>
    <row r="452">
      <c r="A452" s="52"/>
    </row>
    <row r="453">
      <c r="A453" s="52"/>
    </row>
    <row r="454">
      <c r="A454" s="52"/>
    </row>
    <row r="455">
      <c r="A455" s="52"/>
    </row>
    <row r="456">
      <c r="A456" s="52"/>
    </row>
    <row r="457">
      <c r="A457" s="52"/>
    </row>
    <row r="458">
      <c r="A458" s="52"/>
    </row>
    <row r="459">
      <c r="A459" s="52"/>
    </row>
    <row r="460">
      <c r="A460" s="52"/>
    </row>
    <row r="461">
      <c r="A461" s="52"/>
    </row>
    <row r="462">
      <c r="A462" s="52"/>
    </row>
    <row r="463">
      <c r="A463" s="52"/>
    </row>
    <row r="464">
      <c r="A464" s="52"/>
    </row>
    <row r="465">
      <c r="A465" s="52"/>
    </row>
    <row r="466">
      <c r="A466" s="52"/>
    </row>
    <row r="467">
      <c r="A467" s="52"/>
    </row>
    <row r="468">
      <c r="A468" s="52"/>
    </row>
    <row r="469">
      <c r="A469" s="52"/>
    </row>
    <row r="470">
      <c r="A470" s="52"/>
    </row>
    <row r="471">
      <c r="A471" s="52"/>
    </row>
    <row r="472">
      <c r="A472" s="52"/>
    </row>
    <row r="473">
      <c r="A473" s="52"/>
    </row>
    <row r="474">
      <c r="A474" s="52"/>
    </row>
    <row r="475">
      <c r="A475" s="52"/>
    </row>
    <row r="476">
      <c r="A476" s="52"/>
    </row>
    <row r="477">
      <c r="A477" s="52"/>
    </row>
    <row r="478">
      <c r="A478" s="52"/>
    </row>
    <row r="479">
      <c r="A479" s="52"/>
    </row>
    <row r="480">
      <c r="A480" s="52"/>
    </row>
    <row r="481">
      <c r="A481" s="52"/>
    </row>
    <row r="482">
      <c r="A482" s="52"/>
    </row>
    <row r="483">
      <c r="A483" s="52"/>
    </row>
    <row r="484">
      <c r="A484" s="52"/>
    </row>
    <row r="485">
      <c r="A485" s="52"/>
    </row>
    <row r="486">
      <c r="A486" s="52"/>
    </row>
    <row r="487">
      <c r="A487" s="52"/>
    </row>
    <row r="488">
      <c r="A488" s="52"/>
    </row>
    <row r="489">
      <c r="A489" s="52"/>
    </row>
    <row r="490">
      <c r="A490" s="52"/>
    </row>
    <row r="491">
      <c r="A491" s="52"/>
    </row>
    <row r="492">
      <c r="A492" s="52"/>
    </row>
    <row r="493">
      <c r="A493" s="52"/>
    </row>
    <row r="494">
      <c r="A494" s="52"/>
    </row>
    <row r="495">
      <c r="A495" s="52"/>
    </row>
    <row r="496">
      <c r="A496" s="52"/>
    </row>
    <row r="497">
      <c r="A497" s="52"/>
    </row>
    <row r="498">
      <c r="A498" s="52"/>
    </row>
    <row r="499">
      <c r="A499" s="52"/>
    </row>
    <row r="500">
      <c r="A500" s="52"/>
    </row>
    <row r="501">
      <c r="A501" s="52"/>
    </row>
    <row r="502">
      <c r="A502" s="52"/>
    </row>
    <row r="503">
      <c r="A503" s="52"/>
    </row>
    <row r="504">
      <c r="A504" s="52"/>
    </row>
    <row r="505">
      <c r="A505" s="52"/>
    </row>
    <row r="506">
      <c r="A506" s="52"/>
    </row>
    <row r="507">
      <c r="A507" s="52"/>
    </row>
    <row r="508">
      <c r="A508" s="52"/>
    </row>
    <row r="509">
      <c r="A509" s="52"/>
    </row>
    <row r="510">
      <c r="A510" s="52"/>
    </row>
    <row r="511">
      <c r="A511" s="52"/>
    </row>
    <row r="512">
      <c r="A512" s="52"/>
    </row>
    <row r="513">
      <c r="A513" s="52"/>
    </row>
    <row r="514">
      <c r="A514" s="52"/>
    </row>
    <row r="515">
      <c r="A515" s="52"/>
    </row>
    <row r="516">
      <c r="A516" s="52"/>
    </row>
    <row r="517">
      <c r="A517" s="52"/>
    </row>
    <row r="518">
      <c r="A518" s="52"/>
    </row>
    <row r="519">
      <c r="A519" s="52"/>
    </row>
    <row r="520">
      <c r="A520" s="52"/>
    </row>
    <row r="521">
      <c r="A521" s="52"/>
    </row>
    <row r="522">
      <c r="A522" s="52"/>
    </row>
    <row r="523">
      <c r="A523" s="52"/>
    </row>
    <row r="524">
      <c r="A524" s="52"/>
    </row>
    <row r="525">
      <c r="A525" s="52"/>
    </row>
    <row r="526">
      <c r="A526" s="52"/>
    </row>
    <row r="527">
      <c r="A527" s="52"/>
    </row>
    <row r="528">
      <c r="A528" s="52"/>
    </row>
    <row r="529">
      <c r="A529" s="52"/>
    </row>
    <row r="530">
      <c r="A530" s="52"/>
    </row>
    <row r="531">
      <c r="A531" s="52"/>
    </row>
    <row r="532">
      <c r="A532" s="52"/>
    </row>
    <row r="533">
      <c r="A533" s="52"/>
    </row>
    <row r="534">
      <c r="A534" s="52"/>
    </row>
    <row r="535">
      <c r="A535" s="52"/>
    </row>
    <row r="536">
      <c r="A536" s="52"/>
    </row>
    <row r="537">
      <c r="A537" s="52"/>
    </row>
    <row r="538">
      <c r="A538" s="52"/>
    </row>
    <row r="539">
      <c r="A539" s="52"/>
    </row>
    <row r="540">
      <c r="A540" s="52"/>
    </row>
    <row r="541">
      <c r="A541" s="52"/>
    </row>
    <row r="542">
      <c r="A542" s="52"/>
    </row>
    <row r="543">
      <c r="A543" s="52"/>
    </row>
    <row r="544">
      <c r="A544" s="52"/>
    </row>
    <row r="545">
      <c r="A545" s="52"/>
    </row>
    <row r="546">
      <c r="A546" s="52"/>
    </row>
    <row r="547">
      <c r="A547" s="52"/>
    </row>
    <row r="548">
      <c r="A548" s="52"/>
    </row>
    <row r="549">
      <c r="A549" s="52"/>
    </row>
    <row r="550">
      <c r="A550" s="52"/>
    </row>
    <row r="551">
      <c r="A551" s="52"/>
    </row>
    <row r="552">
      <c r="A552" s="52"/>
    </row>
    <row r="553">
      <c r="A553" s="52"/>
    </row>
    <row r="554">
      <c r="A554" s="52"/>
    </row>
    <row r="555">
      <c r="A555" s="52"/>
    </row>
    <row r="556">
      <c r="A556" s="52"/>
    </row>
    <row r="557">
      <c r="A557" s="52"/>
    </row>
    <row r="558">
      <c r="A558" s="52"/>
    </row>
    <row r="559">
      <c r="A559" s="52"/>
    </row>
    <row r="560">
      <c r="A560" s="52"/>
    </row>
    <row r="561">
      <c r="A561" s="52"/>
    </row>
    <row r="562">
      <c r="A562" s="52"/>
    </row>
    <row r="563">
      <c r="A563" s="52"/>
    </row>
    <row r="564">
      <c r="A564" s="52"/>
    </row>
    <row r="565">
      <c r="A565" s="52"/>
    </row>
    <row r="566">
      <c r="A566" s="52"/>
    </row>
    <row r="567">
      <c r="A567" s="52"/>
    </row>
    <row r="568">
      <c r="A568" s="52"/>
    </row>
    <row r="569">
      <c r="A569" s="52"/>
    </row>
    <row r="570">
      <c r="A570" s="52"/>
    </row>
    <row r="571">
      <c r="A571" s="52"/>
    </row>
    <row r="572">
      <c r="A572" s="52"/>
    </row>
    <row r="573">
      <c r="A573" s="52"/>
    </row>
    <row r="574">
      <c r="A574" s="52"/>
    </row>
    <row r="575">
      <c r="A575" s="52"/>
    </row>
    <row r="576">
      <c r="A576" s="52"/>
    </row>
    <row r="577">
      <c r="A577" s="52"/>
    </row>
    <row r="578">
      <c r="A578" s="52"/>
    </row>
    <row r="579">
      <c r="A579" s="52"/>
    </row>
    <row r="580">
      <c r="A580" s="52"/>
    </row>
    <row r="581">
      <c r="A581" s="52"/>
    </row>
    <row r="582">
      <c r="A582" s="52"/>
    </row>
    <row r="583">
      <c r="A583" s="52"/>
    </row>
    <row r="584">
      <c r="A584" s="52"/>
    </row>
    <row r="585">
      <c r="A585" s="52"/>
    </row>
    <row r="586">
      <c r="A586" s="52"/>
    </row>
    <row r="587">
      <c r="A587" s="52"/>
    </row>
    <row r="588">
      <c r="A588" s="52"/>
    </row>
    <row r="589">
      <c r="A589" s="52"/>
    </row>
    <row r="590">
      <c r="A590" s="52"/>
    </row>
    <row r="591">
      <c r="A591" s="52"/>
    </row>
    <row r="592">
      <c r="A592" s="52"/>
    </row>
    <row r="593">
      <c r="A593" s="52"/>
    </row>
    <row r="594">
      <c r="A594" s="52"/>
    </row>
    <row r="595">
      <c r="A595" s="52"/>
    </row>
    <row r="596">
      <c r="A596" s="52"/>
    </row>
    <row r="597">
      <c r="A597" s="52"/>
    </row>
    <row r="598">
      <c r="A598" s="52"/>
    </row>
    <row r="599">
      <c r="A599" s="52"/>
    </row>
    <row r="600">
      <c r="A600" s="52"/>
    </row>
    <row r="601">
      <c r="A601" s="52"/>
    </row>
    <row r="602">
      <c r="A602" s="52"/>
    </row>
    <row r="603">
      <c r="A603" s="52"/>
    </row>
    <row r="604">
      <c r="A604" s="52"/>
    </row>
    <row r="605">
      <c r="A605" s="52"/>
    </row>
    <row r="606">
      <c r="A606" s="52"/>
    </row>
    <row r="607">
      <c r="A607" s="52"/>
    </row>
    <row r="608">
      <c r="A608" s="52"/>
    </row>
    <row r="609">
      <c r="A609" s="52"/>
    </row>
    <row r="610">
      <c r="A610" s="52"/>
    </row>
    <row r="611">
      <c r="A611" s="52"/>
    </row>
    <row r="612">
      <c r="A612" s="52"/>
    </row>
    <row r="613">
      <c r="A613" s="52"/>
    </row>
    <row r="614">
      <c r="A614" s="52"/>
    </row>
    <row r="615">
      <c r="A615" s="52"/>
    </row>
    <row r="616">
      <c r="A616" s="52"/>
    </row>
    <row r="617">
      <c r="A617" s="52"/>
    </row>
    <row r="618">
      <c r="A618" s="52"/>
    </row>
    <row r="619">
      <c r="A619" s="52"/>
    </row>
    <row r="620">
      <c r="A620" s="52"/>
    </row>
    <row r="621">
      <c r="A621" s="52"/>
    </row>
    <row r="622">
      <c r="A622" s="52"/>
    </row>
    <row r="623">
      <c r="A623" s="52"/>
    </row>
    <row r="624">
      <c r="A624" s="52"/>
    </row>
    <row r="625">
      <c r="A625" s="52"/>
    </row>
    <row r="626">
      <c r="A626" s="52"/>
    </row>
    <row r="627">
      <c r="A627" s="52"/>
    </row>
    <row r="628">
      <c r="A628" s="52"/>
    </row>
    <row r="629">
      <c r="A629" s="52"/>
    </row>
    <row r="630">
      <c r="A630" s="52"/>
    </row>
    <row r="631">
      <c r="A631" s="52"/>
    </row>
    <row r="632">
      <c r="A632" s="52"/>
    </row>
    <row r="633">
      <c r="A633" s="52"/>
    </row>
    <row r="634">
      <c r="A634" s="52"/>
    </row>
    <row r="635">
      <c r="A635" s="52"/>
    </row>
    <row r="636">
      <c r="A636" s="52"/>
    </row>
    <row r="637">
      <c r="A637" s="52"/>
    </row>
    <row r="638">
      <c r="A638" s="52"/>
    </row>
    <row r="639">
      <c r="A639" s="52"/>
    </row>
    <row r="640">
      <c r="A640" s="52"/>
    </row>
    <row r="641">
      <c r="A641" s="52"/>
    </row>
    <row r="642">
      <c r="A642" s="52"/>
    </row>
    <row r="643">
      <c r="A643" s="52"/>
    </row>
    <row r="644">
      <c r="A644" s="52"/>
    </row>
    <row r="645">
      <c r="A645" s="52"/>
    </row>
    <row r="646">
      <c r="A646" s="52"/>
    </row>
    <row r="647">
      <c r="A647" s="52"/>
    </row>
    <row r="648">
      <c r="A648" s="52"/>
    </row>
    <row r="649">
      <c r="A649" s="52"/>
    </row>
    <row r="650">
      <c r="A650" s="52"/>
    </row>
    <row r="651">
      <c r="A651" s="52"/>
    </row>
    <row r="652">
      <c r="A652" s="52"/>
    </row>
    <row r="653">
      <c r="A653" s="52"/>
    </row>
    <row r="654">
      <c r="A654" s="52"/>
    </row>
    <row r="655">
      <c r="A655" s="52"/>
    </row>
    <row r="656">
      <c r="A656" s="52"/>
    </row>
    <row r="657">
      <c r="A657" s="52"/>
    </row>
    <row r="658">
      <c r="A658" s="52"/>
    </row>
    <row r="659">
      <c r="A659" s="52"/>
    </row>
    <row r="660">
      <c r="A660" s="52"/>
    </row>
    <row r="661">
      <c r="A661" s="52"/>
    </row>
    <row r="662">
      <c r="A662" s="52"/>
    </row>
    <row r="663">
      <c r="A663" s="52"/>
    </row>
    <row r="664">
      <c r="A664" s="52"/>
    </row>
    <row r="665">
      <c r="A665" s="52"/>
    </row>
    <row r="666">
      <c r="A666" s="52"/>
    </row>
    <row r="667">
      <c r="A667" s="52"/>
    </row>
    <row r="668">
      <c r="A668" s="52"/>
    </row>
    <row r="669">
      <c r="A669" s="52"/>
    </row>
    <row r="670">
      <c r="A670" s="52"/>
    </row>
    <row r="671">
      <c r="A671" s="52"/>
    </row>
    <row r="672">
      <c r="A672" s="52"/>
    </row>
    <row r="673">
      <c r="A673" s="52"/>
    </row>
    <row r="674">
      <c r="A674" s="52"/>
    </row>
    <row r="675">
      <c r="A675" s="52"/>
    </row>
    <row r="676">
      <c r="A676" s="52"/>
    </row>
    <row r="677">
      <c r="A677" s="52"/>
    </row>
    <row r="678">
      <c r="A678" s="52"/>
    </row>
    <row r="679">
      <c r="A679" s="52"/>
    </row>
    <row r="680">
      <c r="A680" s="52"/>
    </row>
    <row r="681">
      <c r="A681" s="52"/>
    </row>
    <row r="682">
      <c r="A682" s="52"/>
    </row>
    <row r="683">
      <c r="A683" s="52"/>
    </row>
    <row r="684">
      <c r="A684" s="52"/>
    </row>
    <row r="685">
      <c r="A685" s="52"/>
    </row>
    <row r="686">
      <c r="A686" s="52"/>
    </row>
    <row r="687">
      <c r="A687" s="52"/>
    </row>
    <row r="688">
      <c r="A688" s="52"/>
    </row>
    <row r="689">
      <c r="A689" s="52"/>
    </row>
    <row r="690">
      <c r="A690" s="52"/>
    </row>
    <row r="691">
      <c r="A691" s="52"/>
    </row>
    <row r="692">
      <c r="A692" s="52"/>
    </row>
    <row r="693">
      <c r="A693" s="52"/>
    </row>
    <row r="694">
      <c r="A694" s="52"/>
    </row>
    <row r="695">
      <c r="A695" s="52"/>
    </row>
    <row r="696">
      <c r="A696" s="52"/>
    </row>
    <row r="697">
      <c r="A697" s="52"/>
    </row>
    <row r="698">
      <c r="A698" s="52"/>
    </row>
    <row r="699">
      <c r="A699" s="52"/>
    </row>
    <row r="700">
      <c r="A700" s="52"/>
    </row>
    <row r="701">
      <c r="A701" s="52"/>
    </row>
    <row r="702">
      <c r="A702" s="52"/>
    </row>
    <row r="703">
      <c r="A703" s="52"/>
    </row>
    <row r="704">
      <c r="A704" s="52"/>
    </row>
    <row r="705">
      <c r="A705" s="52"/>
    </row>
    <row r="706">
      <c r="A706" s="52"/>
    </row>
    <row r="707">
      <c r="A707" s="52"/>
    </row>
    <row r="708">
      <c r="A708" s="52"/>
    </row>
    <row r="709">
      <c r="A709" s="52"/>
    </row>
    <row r="710">
      <c r="A710" s="52"/>
    </row>
    <row r="711">
      <c r="A711" s="52"/>
    </row>
    <row r="712">
      <c r="A712" s="52"/>
    </row>
    <row r="713">
      <c r="A713" s="52"/>
    </row>
    <row r="714">
      <c r="A714" s="52"/>
    </row>
    <row r="715">
      <c r="A715" s="52"/>
    </row>
    <row r="716">
      <c r="A716" s="52"/>
    </row>
    <row r="717">
      <c r="A717" s="52"/>
    </row>
    <row r="718">
      <c r="A718" s="52"/>
    </row>
    <row r="719">
      <c r="A719" s="52"/>
    </row>
    <row r="720">
      <c r="A720" s="52"/>
    </row>
    <row r="721">
      <c r="A721" s="52"/>
    </row>
    <row r="722">
      <c r="A722" s="52"/>
    </row>
    <row r="723">
      <c r="A723" s="52"/>
    </row>
    <row r="724">
      <c r="A724" s="52"/>
    </row>
    <row r="725">
      <c r="A725" s="52"/>
    </row>
    <row r="726">
      <c r="A726" s="52"/>
    </row>
    <row r="727">
      <c r="A727" s="52"/>
    </row>
    <row r="728">
      <c r="A728" s="52"/>
    </row>
    <row r="729">
      <c r="A729" s="52"/>
    </row>
    <row r="730">
      <c r="A730" s="52"/>
    </row>
    <row r="731">
      <c r="A731" s="52"/>
    </row>
    <row r="732">
      <c r="A732" s="52"/>
    </row>
    <row r="733">
      <c r="A733" s="52"/>
    </row>
    <row r="734">
      <c r="A734" s="52"/>
    </row>
    <row r="735">
      <c r="A735" s="52"/>
    </row>
    <row r="736">
      <c r="A736" s="52"/>
    </row>
    <row r="737">
      <c r="A737" s="52"/>
    </row>
    <row r="738">
      <c r="A738" s="52"/>
    </row>
    <row r="739">
      <c r="A739" s="52"/>
    </row>
    <row r="740">
      <c r="A740" s="52"/>
    </row>
    <row r="741">
      <c r="A741" s="52"/>
    </row>
    <row r="742">
      <c r="A742" s="52"/>
    </row>
    <row r="743">
      <c r="A743" s="52"/>
    </row>
    <row r="744">
      <c r="A744" s="52"/>
    </row>
    <row r="745">
      <c r="A745" s="52"/>
    </row>
    <row r="746">
      <c r="A746" s="52"/>
    </row>
    <row r="747">
      <c r="A747" s="52"/>
    </row>
    <row r="748">
      <c r="A748" s="52"/>
    </row>
    <row r="749">
      <c r="A749" s="52"/>
    </row>
    <row r="750">
      <c r="A750" s="52"/>
    </row>
    <row r="751">
      <c r="A751" s="52"/>
    </row>
    <row r="752">
      <c r="A752" s="52"/>
    </row>
    <row r="753">
      <c r="A753" s="52"/>
    </row>
    <row r="754">
      <c r="A754" s="52"/>
    </row>
    <row r="755">
      <c r="A755" s="52"/>
    </row>
    <row r="756">
      <c r="A756" s="52"/>
    </row>
    <row r="757">
      <c r="A757" s="52"/>
    </row>
    <row r="758">
      <c r="A758" s="52"/>
    </row>
    <row r="759">
      <c r="A759" s="52"/>
    </row>
    <row r="760">
      <c r="A760" s="52"/>
    </row>
    <row r="761">
      <c r="A761" s="52"/>
    </row>
    <row r="762">
      <c r="A762" s="52"/>
    </row>
    <row r="763">
      <c r="A763" s="52"/>
    </row>
    <row r="764">
      <c r="A764" s="52"/>
    </row>
    <row r="765">
      <c r="A765" s="52"/>
    </row>
    <row r="766">
      <c r="A766" s="52"/>
    </row>
    <row r="767">
      <c r="A767" s="52"/>
    </row>
    <row r="768">
      <c r="A768" s="52"/>
    </row>
    <row r="769">
      <c r="A769" s="52"/>
    </row>
    <row r="770">
      <c r="A770" s="52"/>
    </row>
    <row r="771">
      <c r="A771" s="52"/>
    </row>
    <row r="772">
      <c r="A772" s="52"/>
    </row>
    <row r="773">
      <c r="A773" s="52"/>
    </row>
    <row r="774">
      <c r="A774" s="52"/>
    </row>
    <row r="775">
      <c r="A775" s="52"/>
    </row>
    <row r="776">
      <c r="A776" s="52"/>
    </row>
    <row r="777">
      <c r="A777" s="52"/>
    </row>
    <row r="778">
      <c r="A778" s="52"/>
    </row>
    <row r="779">
      <c r="A779" s="52"/>
    </row>
    <row r="780">
      <c r="A780" s="52"/>
    </row>
    <row r="781">
      <c r="A781" s="52"/>
    </row>
    <row r="782">
      <c r="A782" s="52"/>
    </row>
    <row r="783">
      <c r="A783" s="52"/>
    </row>
    <row r="784">
      <c r="A784" s="52"/>
    </row>
    <row r="785">
      <c r="A785" s="52"/>
    </row>
    <row r="786">
      <c r="A786" s="52"/>
    </row>
    <row r="787">
      <c r="A787" s="52"/>
    </row>
    <row r="788">
      <c r="A788" s="52"/>
    </row>
    <row r="789">
      <c r="A789" s="52"/>
    </row>
    <row r="790">
      <c r="A790" s="52"/>
    </row>
    <row r="791">
      <c r="A791" s="52"/>
    </row>
    <row r="792">
      <c r="A792" s="52"/>
    </row>
    <row r="793">
      <c r="A793" s="52"/>
    </row>
    <row r="794">
      <c r="A794" s="52"/>
    </row>
    <row r="795">
      <c r="A795" s="52"/>
    </row>
    <row r="796">
      <c r="A796" s="52"/>
    </row>
    <row r="797">
      <c r="A797" s="52"/>
    </row>
    <row r="798">
      <c r="A798" s="52"/>
    </row>
    <row r="799">
      <c r="A799" s="52"/>
    </row>
    <row r="800">
      <c r="A800" s="52"/>
    </row>
    <row r="801">
      <c r="A801" s="52"/>
    </row>
    <row r="802">
      <c r="A802" s="52"/>
    </row>
    <row r="803">
      <c r="A803" s="52"/>
    </row>
    <row r="804">
      <c r="A804" s="52"/>
    </row>
    <row r="805">
      <c r="A805" s="52"/>
    </row>
    <row r="806">
      <c r="A806" s="52"/>
    </row>
    <row r="807">
      <c r="A807" s="52"/>
    </row>
    <row r="808">
      <c r="A808" s="52"/>
    </row>
    <row r="809">
      <c r="A809" s="52"/>
    </row>
    <row r="810">
      <c r="A810" s="52"/>
    </row>
    <row r="811">
      <c r="A811" s="52"/>
    </row>
    <row r="812">
      <c r="A812" s="52"/>
    </row>
    <row r="813">
      <c r="A813" s="52"/>
    </row>
    <row r="814">
      <c r="A814" s="52"/>
    </row>
    <row r="815">
      <c r="A815" s="52"/>
    </row>
    <row r="816">
      <c r="A816" s="52"/>
    </row>
    <row r="817">
      <c r="A817" s="52"/>
    </row>
    <row r="818">
      <c r="A818" s="52"/>
    </row>
    <row r="819">
      <c r="A819" s="52"/>
    </row>
    <row r="820">
      <c r="A820" s="52"/>
    </row>
    <row r="821">
      <c r="A821" s="52"/>
    </row>
    <row r="822">
      <c r="A822" s="52"/>
    </row>
    <row r="823">
      <c r="A823" s="52"/>
    </row>
    <row r="824">
      <c r="A824" s="52"/>
    </row>
    <row r="825">
      <c r="A825" s="52"/>
    </row>
    <row r="826">
      <c r="A826" s="52"/>
    </row>
    <row r="827">
      <c r="A827" s="52"/>
    </row>
    <row r="828">
      <c r="A828" s="52"/>
    </row>
    <row r="829">
      <c r="A829" s="52"/>
    </row>
    <row r="830">
      <c r="A830" s="52"/>
    </row>
    <row r="831">
      <c r="A831" s="52"/>
    </row>
    <row r="832">
      <c r="A832" s="52"/>
    </row>
    <row r="833">
      <c r="A833" s="52"/>
    </row>
    <row r="834">
      <c r="A834" s="52"/>
    </row>
    <row r="835">
      <c r="A835" s="52"/>
    </row>
    <row r="836">
      <c r="A836" s="52"/>
    </row>
    <row r="837">
      <c r="A837" s="52"/>
    </row>
    <row r="838">
      <c r="A838" s="52"/>
    </row>
    <row r="839">
      <c r="A839" s="52"/>
    </row>
    <row r="840">
      <c r="A840" s="52"/>
    </row>
    <row r="841">
      <c r="A841" s="52"/>
    </row>
    <row r="842">
      <c r="A842" s="52"/>
    </row>
    <row r="843">
      <c r="A843" s="52"/>
    </row>
    <row r="844">
      <c r="A844" s="52"/>
    </row>
    <row r="845">
      <c r="A845" s="52"/>
    </row>
    <row r="846">
      <c r="A846" s="52"/>
    </row>
    <row r="847">
      <c r="A847" s="52"/>
    </row>
    <row r="848">
      <c r="A848" s="52"/>
    </row>
    <row r="849">
      <c r="A849" s="52"/>
    </row>
    <row r="850">
      <c r="A850" s="52"/>
    </row>
    <row r="851">
      <c r="A851" s="52"/>
    </row>
    <row r="852">
      <c r="A852" s="52"/>
    </row>
    <row r="853">
      <c r="A853" s="52"/>
    </row>
    <row r="854">
      <c r="A854" s="52"/>
    </row>
    <row r="855">
      <c r="A855" s="52"/>
    </row>
    <row r="856">
      <c r="A856" s="52"/>
    </row>
    <row r="857">
      <c r="A857" s="52"/>
    </row>
    <row r="858">
      <c r="A858" s="52"/>
    </row>
    <row r="859">
      <c r="A859" s="52"/>
    </row>
    <row r="860">
      <c r="A860" s="52"/>
    </row>
    <row r="861">
      <c r="A861" s="52"/>
    </row>
    <row r="862">
      <c r="A862" s="52"/>
    </row>
    <row r="863">
      <c r="A863" s="52"/>
    </row>
    <row r="864">
      <c r="A864" s="52"/>
    </row>
    <row r="865">
      <c r="A865" s="52"/>
    </row>
    <row r="866">
      <c r="A866" s="52"/>
    </row>
    <row r="867">
      <c r="A867" s="52"/>
    </row>
    <row r="868">
      <c r="A868" s="52"/>
    </row>
    <row r="869">
      <c r="A869" s="52"/>
    </row>
    <row r="870">
      <c r="A870" s="52"/>
    </row>
    <row r="871">
      <c r="A871" s="52"/>
    </row>
    <row r="872">
      <c r="A872" s="52"/>
    </row>
    <row r="873">
      <c r="A873" s="52"/>
    </row>
    <row r="874">
      <c r="A874" s="52"/>
    </row>
    <row r="875">
      <c r="A875" s="52"/>
    </row>
    <row r="876">
      <c r="A876" s="52"/>
    </row>
    <row r="877">
      <c r="A877" s="52"/>
    </row>
    <row r="878">
      <c r="A878" s="52"/>
    </row>
    <row r="879">
      <c r="A879" s="52"/>
    </row>
    <row r="880">
      <c r="A880" s="52"/>
    </row>
    <row r="881">
      <c r="A881" s="52"/>
    </row>
    <row r="882">
      <c r="A882" s="52"/>
    </row>
    <row r="883">
      <c r="A883" s="52"/>
    </row>
    <row r="884">
      <c r="A884" s="52"/>
    </row>
    <row r="885">
      <c r="A885" s="52"/>
    </row>
    <row r="886">
      <c r="A886" s="52"/>
    </row>
    <row r="887">
      <c r="A887" s="52"/>
    </row>
    <row r="888">
      <c r="A888" s="52"/>
    </row>
    <row r="889">
      <c r="A889" s="52"/>
    </row>
    <row r="890">
      <c r="A890" s="52"/>
    </row>
    <row r="891">
      <c r="A891" s="52"/>
    </row>
    <row r="892">
      <c r="A892" s="52"/>
    </row>
    <row r="893">
      <c r="A893" s="52"/>
    </row>
    <row r="894">
      <c r="A894" s="52"/>
    </row>
    <row r="895">
      <c r="A895" s="52"/>
    </row>
    <row r="896">
      <c r="A896" s="52"/>
    </row>
    <row r="897">
      <c r="A897" s="52"/>
    </row>
    <row r="898">
      <c r="A898" s="52"/>
    </row>
    <row r="899">
      <c r="A899" s="52"/>
    </row>
    <row r="900">
      <c r="A900" s="52"/>
    </row>
    <row r="901">
      <c r="A901" s="52"/>
    </row>
    <row r="902">
      <c r="A902" s="52"/>
    </row>
    <row r="903">
      <c r="A903" s="52"/>
    </row>
    <row r="904">
      <c r="A904" s="52"/>
    </row>
    <row r="905">
      <c r="A905" s="52"/>
    </row>
    <row r="906">
      <c r="A906" s="52"/>
    </row>
    <row r="907">
      <c r="A907" s="52"/>
    </row>
    <row r="908">
      <c r="A908" s="52"/>
    </row>
    <row r="909">
      <c r="A909" s="52"/>
    </row>
    <row r="910">
      <c r="A910" s="52"/>
    </row>
    <row r="911">
      <c r="A911" s="52"/>
    </row>
    <row r="912">
      <c r="A912" s="52"/>
    </row>
    <row r="913">
      <c r="A913" s="52"/>
    </row>
    <row r="914">
      <c r="A914" s="52"/>
    </row>
    <row r="915">
      <c r="A915" s="52"/>
    </row>
    <row r="916">
      <c r="A916" s="52"/>
    </row>
    <row r="917">
      <c r="A917" s="52"/>
    </row>
    <row r="918">
      <c r="A918" s="52"/>
    </row>
    <row r="919">
      <c r="A919" s="52"/>
    </row>
    <row r="920">
      <c r="A920" s="52"/>
    </row>
    <row r="921">
      <c r="A921" s="52"/>
    </row>
    <row r="922">
      <c r="A922" s="52"/>
    </row>
    <row r="923">
      <c r="A923" s="52"/>
    </row>
    <row r="924">
      <c r="A924" s="52"/>
    </row>
    <row r="925">
      <c r="A925" s="52"/>
    </row>
    <row r="926">
      <c r="A926" s="52"/>
    </row>
    <row r="927">
      <c r="A927" s="52"/>
    </row>
    <row r="928">
      <c r="A928" s="52"/>
    </row>
    <row r="929">
      <c r="A929" s="52"/>
    </row>
    <row r="930">
      <c r="A930" s="52"/>
    </row>
    <row r="931">
      <c r="A931" s="52"/>
    </row>
    <row r="932">
      <c r="A932" s="52"/>
    </row>
    <row r="933">
      <c r="A933" s="52"/>
    </row>
    <row r="934">
      <c r="A934" s="52"/>
    </row>
    <row r="935">
      <c r="A935" s="52"/>
    </row>
    <row r="936">
      <c r="A936" s="52"/>
    </row>
    <row r="937">
      <c r="A937" s="52"/>
    </row>
    <row r="938">
      <c r="A938" s="52"/>
    </row>
    <row r="939">
      <c r="A939" s="52"/>
    </row>
    <row r="940">
      <c r="A940" s="52"/>
    </row>
    <row r="941">
      <c r="A941" s="52"/>
    </row>
    <row r="942">
      <c r="A942" s="52"/>
    </row>
    <row r="943">
      <c r="A943" s="52"/>
    </row>
    <row r="944">
      <c r="A944" s="52"/>
    </row>
    <row r="945">
      <c r="A945" s="52"/>
    </row>
    <row r="946">
      <c r="A946" s="52"/>
    </row>
    <row r="947">
      <c r="A947" s="52"/>
    </row>
    <row r="948">
      <c r="A948" s="52"/>
    </row>
    <row r="949">
      <c r="A949" s="52"/>
    </row>
    <row r="950">
      <c r="A950" s="52"/>
    </row>
    <row r="951">
      <c r="A951" s="52"/>
    </row>
    <row r="952">
      <c r="A952" s="52"/>
    </row>
    <row r="953">
      <c r="A953" s="52"/>
    </row>
    <row r="954">
      <c r="A954" s="52"/>
    </row>
    <row r="955">
      <c r="A955" s="52"/>
    </row>
    <row r="956">
      <c r="A956" s="52"/>
    </row>
    <row r="957">
      <c r="A957" s="52"/>
    </row>
    <row r="958">
      <c r="A958" s="52"/>
    </row>
    <row r="959">
      <c r="A959" s="52"/>
    </row>
    <row r="960">
      <c r="A960" s="52"/>
    </row>
    <row r="961">
      <c r="A961" s="52"/>
    </row>
    <row r="962">
      <c r="A962" s="52"/>
    </row>
    <row r="963">
      <c r="A963" s="52"/>
    </row>
    <row r="964">
      <c r="A964" s="52"/>
    </row>
    <row r="965">
      <c r="A965" s="52"/>
    </row>
    <row r="966">
      <c r="A966" s="52"/>
    </row>
    <row r="967">
      <c r="A967" s="52"/>
    </row>
    <row r="968">
      <c r="A968" s="52"/>
    </row>
    <row r="969">
      <c r="A969" s="52"/>
    </row>
    <row r="970">
      <c r="A970" s="52"/>
    </row>
    <row r="971">
      <c r="A971" s="52"/>
    </row>
    <row r="972">
      <c r="A972" s="52"/>
    </row>
    <row r="973">
      <c r="A973" s="52"/>
    </row>
    <row r="974">
      <c r="A974" s="52"/>
    </row>
    <row r="975">
      <c r="A975" s="52"/>
    </row>
    <row r="976">
      <c r="A976" s="52"/>
    </row>
    <row r="977">
      <c r="A977" s="52"/>
    </row>
    <row r="978">
      <c r="A978" s="52"/>
    </row>
    <row r="979">
      <c r="A979" s="52"/>
    </row>
    <row r="980">
      <c r="A980" s="52"/>
    </row>
    <row r="981">
      <c r="A981" s="52"/>
    </row>
    <row r="982">
      <c r="A982" s="52"/>
    </row>
    <row r="983">
      <c r="A983" s="52"/>
    </row>
    <row r="984">
      <c r="A984" s="52"/>
    </row>
    <row r="985">
      <c r="A985" s="52"/>
    </row>
    <row r="986">
      <c r="A986" s="52"/>
    </row>
    <row r="987">
      <c r="A987" s="52"/>
    </row>
    <row r="988">
      <c r="A988" s="52"/>
    </row>
    <row r="989">
      <c r="A989" s="52"/>
    </row>
    <row r="990">
      <c r="A990" s="52"/>
    </row>
    <row r="991">
      <c r="A991" s="52"/>
    </row>
    <row r="992">
      <c r="A992" s="52"/>
    </row>
    <row r="993">
      <c r="A993" s="52"/>
    </row>
    <row r="994">
      <c r="A994" s="52"/>
    </row>
    <row r="995">
      <c r="A995" s="52"/>
    </row>
    <row r="996">
      <c r="A996" s="52"/>
    </row>
    <row r="997">
      <c r="A997" s="52"/>
    </row>
    <row r="998">
      <c r="A998" s="52"/>
    </row>
    <row r="999">
      <c r="A999" s="52"/>
    </row>
    <row r="1000">
      <c r="A1000" s="5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5" max="5" width="14.75"/>
  </cols>
  <sheetData>
    <row r="1">
      <c r="A1" s="51" t="s">
        <v>3088</v>
      </c>
      <c r="B1" s="9" t="s">
        <v>0</v>
      </c>
      <c r="C1" s="9" t="s">
        <v>3070</v>
      </c>
      <c r="D1" s="9" t="s">
        <v>3089</v>
      </c>
      <c r="E1" s="9" t="s">
        <v>3090</v>
      </c>
    </row>
    <row r="2">
      <c r="A2" s="53">
        <f>IFERROR(__xludf.DUMMYFUNCTION("FILTER(Words!A:B,Words!C:C=""Adjectives"")"),29.0)</f>
        <v>29</v>
      </c>
      <c r="B2" s="16" t="str">
        <f>IFERROR(__xludf.DUMMYFUNCTION("""COMPUTED_VALUE"""),"above")</f>
        <v>above</v>
      </c>
      <c r="C2" s="9" t="s">
        <v>3076</v>
      </c>
      <c r="D2" s="9" t="s">
        <v>3091</v>
      </c>
      <c r="E2" s="9" t="s">
        <v>3092</v>
      </c>
    </row>
    <row r="3">
      <c r="A3" s="53">
        <f>IFERROR(__xludf.DUMMYFUNCTION("""COMPUTED_VALUE"""),40.0)</f>
        <v>40</v>
      </c>
      <c r="B3" s="16" t="str">
        <f>IFERROR(__xludf.DUMMYFUNCTION("""COMPUTED_VALUE"""),"adult")</f>
        <v>adult</v>
      </c>
      <c r="C3" s="9" t="s">
        <v>3076</v>
      </c>
      <c r="D3" s="54" t="s">
        <v>3093</v>
      </c>
      <c r="E3" s="54" t="s">
        <v>3094</v>
      </c>
    </row>
    <row r="4">
      <c r="A4" s="53">
        <f>IFERROR(__xludf.DUMMYFUNCTION("""COMPUTED_VALUE"""),43.0)</f>
        <v>43</v>
      </c>
      <c r="B4" s="16" t="str">
        <f>IFERROR(__xludf.DUMMYFUNCTION("""COMPUTED_VALUE"""),"aesthetic")</f>
        <v>aesthetic</v>
      </c>
      <c r="C4" s="9" t="s">
        <v>3076</v>
      </c>
      <c r="D4" s="54" t="s">
        <v>3095</v>
      </c>
      <c r="E4" s="54" t="s">
        <v>3096</v>
      </c>
    </row>
    <row r="5">
      <c r="A5" s="53">
        <f>IFERROR(__xludf.DUMMYFUNCTION("""COMPUTED_VALUE"""),50.0)</f>
        <v>50</v>
      </c>
      <c r="B5" s="16" t="str">
        <f>IFERROR(__xludf.DUMMYFUNCTION("""COMPUTED_VALUE"""),"alive")</f>
        <v>alive</v>
      </c>
      <c r="C5" s="9" t="s">
        <v>3076</v>
      </c>
      <c r="D5" s="54" t="s">
        <v>3097</v>
      </c>
      <c r="E5" s="54" t="s">
        <v>3098</v>
      </c>
    </row>
    <row r="6">
      <c r="A6" s="53">
        <f>IFERROR(__xludf.DUMMYFUNCTION("""COMPUTED_VALUE"""),52.0)</f>
        <v>52</v>
      </c>
      <c r="B6" s="16" t="str">
        <f>IFERROR(__xludf.DUMMYFUNCTION("""COMPUTED_VALUE"""),"alone")</f>
        <v>alone</v>
      </c>
      <c r="C6" s="9" t="s">
        <v>3076</v>
      </c>
      <c r="D6" s="54" t="s">
        <v>3099</v>
      </c>
      <c r="E6" s="54" t="s">
        <v>3100</v>
      </c>
    </row>
    <row r="7">
      <c r="A7" s="53">
        <f>IFERROR(__xludf.DUMMYFUNCTION("""COMPUTED_VALUE"""),54.0)</f>
        <v>54</v>
      </c>
      <c r="B7" s="16" t="str">
        <f>IFERROR(__xludf.DUMMYFUNCTION("""COMPUTED_VALUE"""),"alternative")</f>
        <v>alternative</v>
      </c>
      <c r="C7" s="9" t="s">
        <v>3076</v>
      </c>
      <c r="D7" s="54" t="s">
        <v>3101</v>
      </c>
      <c r="E7" s="54" t="s">
        <v>3102</v>
      </c>
    </row>
    <row r="8">
      <c r="A8" s="53">
        <f>IFERROR(__xludf.DUMMYFUNCTION("""COMPUTED_VALUE"""),56.0)</f>
        <v>56</v>
      </c>
      <c r="B8" s="16" t="str">
        <f>IFERROR(__xludf.DUMMYFUNCTION("""COMPUTED_VALUE"""),"amazing")</f>
        <v>amazing</v>
      </c>
      <c r="C8" s="9" t="s">
        <v>3076</v>
      </c>
      <c r="D8" s="54" t="s">
        <v>3103</v>
      </c>
      <c r="E8" s="54" t="s">
        <v>3104</v>
      </c>
    </row>
    <row r="9">
      <c r="A9" s="53">
        <f>IFERROR(__xludf.DUMMYFUNCTION("""COMPUTED_VALUE"""),57.0)</f>
        <v>57</v>
      </c>
      <c r="B9" s="16" t="str">
        <f>IFERROR(__xludf.DUMMYFUNCTION("""COMPUTED_VALUE"""),"ambiguous")</f>
        <v>ambiguous</v>
      </c>
      <c r="C9" s="9" t="s">
        <v>3076</v>
      </c>
      <c r="D9" s="54" t="s">
        <v>3105</v>
      </c>
      <c r="E9" s="54" t="s">
        <v>3106</v>
      </c>
    </row>
    <row r="10">
      <c r="A10" s="53">
        <f>IFERROR(__xludf.DUMMYFUNCTION("""COMPUTED_VALUE"""),63.0)</f>
        <v>63</v>
      </c>
      <c r="B10" s="16" t="str">
        <f>IFERROR(__xludf.DUMMYFUNCTION("""COMPUTED_VALUE"""),"ancient")</f>
        <v>ancient</v>
      </c>
      <c r="C10" s="9" t="s">
        <v>3076</v>
      </c>
      <c r="D10" s="54" t="s">
        <v>3107</v>
      </c>
      <c r="E10" s="54" t="s">
        <v>3108</v>
      </c>
    </row>
    <row r="11">
      <c r="A11" s="53">
        <f>IFERROR(__xludf.DUMMYFUNCTION("""COMPUTED_VALUE"""),67.0)</f>
        <v>67</v>
      </c>
      <c r="B11" s="16" t="str">
        <f>IFERROR(__xludf.DUMMYFUNCTION("""COMPUTED_VALUE"""),"angry")</f>
        <v>angry</v>
      </c>
      <c r="C11" s="9" t="s">
        <v>3076</v>
      </c>
      <c r="D11" s="54" t="s">
        <v>3109</v>
      </c>
      <c r="E11" s="54" t="s">
        <v>3110</v>
      </c>
    </row>
    <row r="12">
      <c r="A12" s="53">
        <f>IFERROR(__xludf.DUMMYFUNCTION("""COMPUTED_VALUE"""),68.0)</f>
        <v>68</v>
      </c>
      <c r="B12" s="16" t="str">
        <f>IFERROR(__xludf.DUMMYFUNCTION("""COMPUTED_VALUE"""),"angry")</f>
        <v>angry</v>
      </c>
      <c r="C12" s="9" t="s">
        <v>3076</v>
      </c>
      <c r="D12" s="54" t="s">
        <v>3111</v>
      </c>
      <c r="E12" s="54" t="s">
        <v>3112</v>
      </c>
    </row>
    <row r="13">
      <c r="A13" s="53">
        <f>IFERROR(__xludf.DUMMYFUNCTION("""COMPUTED_VALUE"""),70.0)</f>
        <v>70</v>
      </c>
      <c r="B13" s="16" t="str">
        <f>IFERROR(__xludf.DUMMYFUNCTION("""COMPUTED_VALUE"""),"annual")</f>
        <v>annual</v>
      </c>
      <c r="C13" s="9" t="s">
        <v>3076</v>
      </c>
      <c r="D13" s="54" t="s">
        <v>3113</v>
      </c>
      <c r="E13" s="54" t="s">
        <v>3114</v>
      </c>
    </row>
    <row r="14">
      <c r="A14" s="53">
        <f>IFERROR(__xludf.DUMMYFUNCTION("""COMPUTED_VALUE"""),71.0)</f>
        <v>71</v>
      </c>
      <c r="B14" s="16" t="str">
        <f>IFERROR(__xludf.DUMMYFUNCTION("""COMPUTED_VALUE"""),"another")</f>
        <v>another</v>
      </c>
      <c r="C14" s="9" t="s">
        <v>3076</v>
      </c>
      <c r="D14" s="54" t="s">
        <v>3115</v>
      </c>
      <c r="E14" s="54" t="s">
        <v>3116</v>
      </c>
    </row>
    <row r="15">
      <c r="A15" s="53">
        <f>IFERROR(__xludf.DUMMYFUNCTION("""COMPUTED_VALUE"""),76.0)</f>
        <v>76</v>
      </c>
      <c r="B15" s="16" t="str">
        <f>IFERROR(__xludf.DUMMYFUNCTION("""COMPUTED_VALUE"""),"anxious")</f>
        <v>anxious</v>
      </c>
      <c r="C15" s="9" t="s">
        <v>3076</v>
      </c>
      <c r="D15" s="54" t="s">
        <v>3117</v>
      </c>
      <c r="E15" s="54" t="s">
        <v>3118</v>
      </c>
    </row>
    <row r="16">
      <c r="A16" s="53">
        <f>IFERROR(__xludf.DUMMYFUNCTION("""COMPUTED_VALUE"""),80.0)</f>
        <v>80</v>
      </c>
      <c r="B16" s="16" t="str">
        <f>IFERROR(__xludf.DUMMYFUNCTION("""COMPUTED_VALUE"""),"appropriate")</f>
        <v>appropriate</v>
      </c>
      <c r="C16" s="9" t="s">
        <v>3076</v>
      </c>
      <c r="D16" s="54" t="s">
        <v>3119</v>
      </c>
      <c r="E16" s="54" t="s">
        <v>3120</v>
      </c>
    </row>
    <row r="17">
      <c r="A17" s="53">
        <f>IFERROR(__xludf.DUMMYFUNCTION("""COMPUTED_VALUE"""),103.0)</f>
        <v>103</v>
      </c>
      <c r="B17" s="16" t="str">
        <f>IFERROR(__xludf.DUMMYFUNCTION("""COMPUTED_VALUE"""),"average")</f>
        <v>average</v>
      </c>
      <c r="C17" s="9" t="s">
        <v>3076</v>
      </c>
      <c r="D17" s="54" t="s">
        <v>3121</v>
      </c>
      <c r="E17" s="54" t="s">
        <v>3122</v>
      </c>
    </row>
    <row r="18">
      <c r="A18" s="53">
        <f>IFERROR(__xludf.DUMMYFUNCTION("""COMPUTED_VALUE"""),105.0)</f>
        <v>105</v>
      </c>
      <c r="B18" s="16" t="str">
        <f>IFERROR(__xludf.DUMMYFUNCTION("""COMPUTED_VALUE"""),"baby")</f>
        <v>baby</v>
      </c>
      <c r="C18" s="9" t="s">
        <v>3076</v>
      </c>
      <c r="D18" s="54" t="s">
        <v>3123</v>
      </c>
      <c r="E18" s="54" t="s">
        <v>3124</v>
      </c>
    </row>
    <row r="19">
      <c r="A19" s="53">
        <f>IFERROR(__xludf.DUMMYFUNCTION("""COMPUTED_VALUE"""),110.0)</f>
        <v>110</v>
      </c>
      <c r="B19" s="16" t="str">
        <f>IFERROR(__xludf.DUMMYFUNCTION("""COMPUTED_VALUE"""),"back")</f>
        <v>back</v>
      </c>
      <c r="C19" s="9" t="s">
        <v>3076</v>
      </c>
      <c r="D19" s="54" t="s">
        <v>3125</v>
      </c>
      <c r="E19" s="54" t="s">
        <v>3126</v>
      </c>
    </row>
    <row r="20">
      <c r="A20" s="53">
        <f>IFERROR(__xludf.DUMMYFUNCTION("""COMPUTED_VALUE"""),116.0)</f>
        <v>116</v>
      </c>
      <c r="B20" s="16" t="str">
        <f>IFERROR(__xludf.DUMMYFUNCTION("""COMPUTED_VALUE"""),"bad")</f>
        <v>bad</v>
      </c>
      <c r="C20" s="9" t="s">
        <v>3076</v>
      </c>
      <c r="D20" s="54" t="s">
        <v>3127</v>
      </c>
      <c r="E20" s="54" t="s">
        <v>3128</v>
      </c>
    </row>
    <row r="21">
      <c r="A21" s="53">
        <f>IFERROR(__xludf.DUMMYFUNCTION("""COMPUTED_VALUE"""),132.0)</f>
        <v>132</v>
      </c>
      <c r="B21" s="16" t="str">
        <f>IFERROR(__xludf.DUMMYFUNCTION("""COMPUTED_VALUE"""),"beautiful")</f>
        <v>beautiful</v>
      </c>
      <c r="C21" s="9" t="s">
        <v>3076</v>
      </c>
      <c r="D21" s="54" t="s">
        <v>3129</v>
      </c>
      <c r="E21" s="54" t="s">
        <v>3130</v>
      </c>
    </row>
    <row r="22">
      <c r="A22" s="53">
        <f>IFERROR(__xludf.DUMMYFUNCTION("""COMPUTED_VALUE"""),136.0)</f>
        <v>136</v>
      </c>
      <c r="B22" s="16" t="str">
        <f>IFERROR(__xludf.DUMMYFUNCTION("""COMPUTED_VALUE"""),"beginning")</f>
        <v>beginning</v>
      </c>
      <c r="C22" s="9" t="s">
        <v>3076</v>
      </c>
      <c r="D22" s="54" t="s">
        <v>3131</v>
      </c>
      <c r="E22" s="54" t="s">
        <v>3132</v>
      </c>
    </row>
    <row r="23">
      <c r="A23" s="53">
        <f>IFERROR(__xludf.DUMMYFUNCTION("""COMPUTED_VALUE"""),142.0)</f>
        <v>142</v>
      </c>
      <c r="B23" s="16" t="str">
        <f>IFERROR(__xludf.DUMMYFUNCTION("""COMPUTED_VALUE"""),"believable")</f>
        <v>believable</v>
      </c>
      <c r="C23" s="9" t="s">
        <v>3076</v>
      </c>
      <c r="D23" s="54" t="s">
        <v>3133</v>
      </c>
      <c r="E23" s="54" t="s">
        <v>3134</v>
      </c>
    </row>
    <row r="24">
      <c r="A24" s="53">
        <f>IFERROR(__xludf.DUMMYFUNCTION("""COMPUTED_VALUE"""),151.0)</f>
        <v>151</v>
      </c>
      <c r="B24" s="16" t="str">
        <f>IFERROR(__xludf.DUMMYFUNCTION("""COMPUTED_VALUE"""),"big")</f>
        <v>big</v>
      </c>
      <c r="C24" s="9" t="s">
        <v>3076</v>
      </c>
      <c r="D24" s="54" t="s">
        <v>3135</v>
      </c>
      <c r="E24" s="54" t="s">
        <v>3136</v>
      </c>
    </row>
    <row r="25">
      <c r="A25" s="53">
        <f>IFERROR(__xludf.DUMMYFUNCTION("""COMPUTED_VALUE"""),155.0)</f>
        <v>155</v>
      </c>
      <c r="B25" s="16" t="str">
        <f>IFERROR(__xludf.DUMMYFUNCTION("""COMPUTED_VALUE"""),"bitter")</f>
        <v>bitter</v>
      </c>
      <c r="C25" s="9" t="s">
        <v>3076</v>
      </c>
      <c r="D25" s="54" t="s">
        <v>3137</v>
      </c>
      <c r="E25" s="54" t="s">
        <v>3138</v>
      </c>
    </row>
    <row r="26">
      <c r="A26" s="53">
        <f>IFERROR(__xludf.DUMMYFUNCTION("""COMPUTED_VALUE"""),156.0)</f>
        <v>156</v>
      </c>
      <c r="B26" s="16" t="str">
        <f>IFERROR(__xludf.DUMMYFUNCTION("""COMPUTED_VALUE"""),"black")</f>
        <v>black</v>
      </c>
      <c r="C26" s="9" t="s">
        <v>3076</v>
      </c>
      <c r="D26" s="54" t="s">
        <v>3139</v>
      </c>
      <c r="E26" s="54" t="s">
        <v>3140</v>
      </c>
    </row>
    <row r="27">
      <c r="A27" s="53">
        <f>IFERROR(__xludf.DUMMYFUNCTION("""COMPUTED_VALUE"""),160.0)</f>
        <v>160</v>
      </c>
      <c r="B27" s="16" t="str">
        <f>IFERROR(__xludf.DUMMYFUNCTION("""COMPUTED_VALUE"""),"blue")</f>
        <v>blue</v>
      </c>
      <c r="C27" s="9" t="s">
        <v>3076</v>
      </c>
      <c r="D27" s="54" t="s">
        <v>3141</v>
      </c>
      <c r="E27" s="54" t="s">
        <v>3142</v>
      </c>
    </row>
    <row r="28">
      <c r="A28" s="53">
        <f>IFERROR(__xludf.DUMMYFUNCTION("""COMPUTED_VALUE"""),164.0)</f>
        <v>164</v>
      </c>
      <c r="B28" s="16" t="str">
        <f>IFERROR(__xludf.DUMMYFUNCTION("""COMPUTED_VALUE"""),"boiled")</f>
        <v>boiled</v>
      </c>
      <c r="C28" s="9" t="s">
        <v>3076</v>
      </c>
      <c r="D28" s="54" t="s">
        <v>3143</v>
      </c>
      <c r="E28" s="54" t="s">
        <v>3144</v>
      </c>
    </row>
    <row r="29">
      <c r="A29" s="53">
        <f>IFERROR(__xludf.DUMMYFUNCTION("""COMPUTED_VALUE"""),168.0)</f>
        <v>168</v>
      </c>
      <c r="B29" s="16" t="str">
        <f>IFERROR(__xludf.DUMMYFUNCTION("""COMPUTED_VALUE"""),"bored")</f>
        <v>bored</v>
      </c>
      <c r="C29" s="9" t="s">
        <v>3076</v>
      </c>
      <c r="D29" s="54" t="s">
        <v>3145</v>
      </c>
      <c r="E29" s="54" t="s">
        <v>3146</v>
      </c>
    </row>
    <row r="30">
      <c r="A30" s="53">
        <f>IFERROR(__xludf.DUMMYFUNCTION("""COMPUTED_VALUE"""),179.0)</f>
        <v>179</v>
      </c>
      <c r="B30" s="16" t="str">
        <f>IFERROR(__xludf.DUMMYFUNCTION("""COMPUTED_VALUE"""),"brown")</f>
        <v>brown</v>
      </c>
      <c r="C30" s="9" t="s">
        <v>3076</v>
      </c>
      <c r="D30" s="54" t="s">
        <v>3147</v>
      </c>
      <c r="E30" s="54" t="s">
        <v>3148</v>
      </c>
    </row>
    <row r="31">
      <c r="A31" s="53">
        <f>IFERROR(__xludf.DUMMYFUNCTION("""COMPUTED_VALUE"""),181.0)</f>
        <v>181</v>
      </c>
      <c r="B31" s="16" t="str">
        <f>IFERROR(__xludf.DUMMYFUNCTION("""COMPUTED_VALUE"""),"bumpy")</f>
        <v>bumpy</v>
      </c>
      <c r="C31" s="9" t="s">
        <v>3076</v>
      </c>
      <c r="D31" s="54" t="s">
        <v>3149</v>
      </c>
      <c r="E31" s="54" t="s">
        <v>3150</v>
      </c>
    </row>
    <row r="32">
      <c r="A32" s="53">
        <f>IFERROR(__xludf.DUMMYFUNCTION("""COMPUTED_VALUE"""),207.0)</f>
        <v>207</v>
      </c>
      <c r="B32" s="16" t="str">
        <f>IFERROR(__xludf.DUMMYFUNCTION("""COMPUTED_VALUE"""),"centi-")</f>
        <v>centi-</v>
      </c>
      <c r="C32" s="9" t="s">
        <v>3076</v>
      </c>
      <c r="D32" s="54" t="s">
        <v>3151</v>
      </c>
      <c r="E32" s="54" t="s">
        <v>3152</v>
      </c>
    </row>
    <row r="33">
      <c r="A33" s="53">
        <f>IFERROR(__xludf.DUMMYFUNCTION("""COMPUTED_VALUE"""),219.0)</f>
        <v>219</v>
      </c>
      <c r="B33" s="16" t="str">
        <f>IFERROR(__xludf.DUMMYFUNCTION("""COMPUTED_VALUE"""),"child")</f>
        <v>child</v>
      </c>
      <c r="C33" s="9" t="s">
        <v>3076</v>
      </c>
      <c r="D33" s="54" t="s">
        <v>3153</v>
      </c>
      <c r="E33" s="54" t="s">
        <v>3154</v>
      </c>
    </row>
    <row r="34">
      <c r="A34" s="53">
        <f>IFERROR(__xludf.DUMMYFUNCTION("""COMPUTED_VALUE"""),233.0)</f>
        <v>233</v>
      </c>
      <c r="B34" s="16" t="str">
        <f>IFERROR(__xludf.DUMMYFUNCTION("""COMPUTED_VALUE"""),"cold")</f>
        <v>cold</v>
      </c>
      <c r="C34" s="9" t="s">
        <v>3076</v>
      </c>
      <c r="D34" s="54" t="s">
        <v>3155</v>
      </c>
      <c r="E34" s="54" t="s">
        <v>3156</v>
      </c>
    </row>
    <row r="35">
      <c r="A35" s="53">
        <f>IFERROR(__xludf.DUMMYFUNCTION("""COMPUTED_VALUE"""),237.0)</f>
        <v>237</v>
      </c>
      <c r="B35" s="16" t="str">
        <f>IFERROR(__xludf.DUMMYFUNCTION("""COMPUTED_VALUE"""),"colourful")</f>
        <v>colourful</v>
      </c>
      <c r="C35" s="9" t="s">
        <v>3076</v>
      </c>
      <c r="D35" s="54" t="s">
        <v>3157</v>
      </c>
      <c r="E35" s="54" t="s">
        <v>3158</v>
      </c>
    </row>
    <row r="36">
      <c r="A36" s="53">
        <f>IFERROR(__xludf.DUMMYFUNCTION("""COMPUTED_VALUE"""),247.0)</f>
        <v>247</v>
      </c>
      <c r="B36" s="16" t="str">
        <f>IFERROR(__xludf.DUMMYFUNCTION("""COMPUTED_VALUE"""),"confused")</f>
        <v>confused</v>
      </c>
      <c r="C36" s="9" t="s">
        <v>3076</v>
      </c>
      <c r="D36" s="54" t="s">
        <v>3159</v>
      </c>
      <c r="E36" s="54" t="s">
        <v>3160</v>
      </c>
    </row>
    <row r="37">
      <c r="A37" s="53">
        <f>IFERROR(__xludf.DUMMYFUNCTION("""COMPUTED_VALUE"""),248.0)</f>
        <v>248</v>
      </c>
      <c r="B37" s="16" t="str">
        <f>IFERROR(__xludf.DUMMYFUNCTION("""COMPUTED_VALUE"""),"cool")</f>
        <v>cool</v>
      </c>
      <c r="C37" s="9" t="s">
        <v>3076</v>
      </c>
      <c r="D37" s="54" t="s">
        <v>3161</v>
      </c>
      <c r="E37" s="54" t="s">
        <v>3162</v>
      </c>
    </row>
    <row r="38">
      <c r="A38" s="53">
        <f>IFERROR(__xludf.DUMMYFUNCTION("""COMPUTED_VALUE"""),260.0)</f>
        <v>260</v>
      </c>
      <c r="B38" s="16" t="str">
        <f>IFERROR(__xludf.DUMMYFUNCTION("""COMPUTED_VALUE"""),"creative")</f>
        <v>creative</v>
      </c>
      <c r="C38" s="9" t="s">
        <v>3076</v>
      </c>
      <c r="D38" s="54" t="s">
        <v>3163</v>
      </c>
      <c r="E38" s="54" t="s">
        <v>3164</v>
      </c>
    </row>
    <row r="39">
      <c r="A39" s="53">
        <f>IFERROR(__xludf.DUMMYFUNCTION("""COMPUTED_VALUE"""),268.0)</f>
        <v>268</v>
      </c>
      <c r="B39" s="16" t="str">
        <f>IFERROR(__xludf.DUMMYFUNCTION("""COMPUTED_VALUE"""),"curious")</f>
        <v>curious</v>
      </c>
      <c r="C39" s="9" t="s">
        <v>3076</v>
      </c>
      <c r="D39" s="54" t="s">
        <v>3165</v>
      </c>
      <c r="E39" s="54" t="s">
        <v>3166</v>
      </c>
    </row>
    <row r="40">
      <c r="A40" s="53">
        <f>IFERROR(__xludf.DUMMYFUNCTION("""COMPUTED_VALUE"""),271.0)</f>
        <v>271</v>
      </c>
      <c r="B40" s="16" t="str">
        <f>IFERROR(__xludf.DUMMYFUNCTION("""COMPUTED_VALUE"""),"curved")</f>
        <v>curved</v>
      </c>
      <c r="C40" s="9" t="s">
        <v>3076</v>
      </c>
      <c r="D40" s="54" t="s">
        <v>3167</v>
      </c>
      <c r="E40" s="54" t="s">
        <v>3168</v>
      </c>
    </row>
    <row r="41">
      <c r="A41" s="53">
        <f>IFERROR(__xludf.DUMMYFUNCTION("""COMPUTED_VALUE"""),285.0)</f>
        <v>285</v>
      </c>
      <c r="B41" s="16" t="str">
        <f>IFERROR(__xludf.DUMMYFUNCTION("""COMPUTED_VALUE"""),"delicious")</f>
        <v>delicious</v>
      </c>
      <c r="C41" s="9" t="s">
        <v>3076</v>
      </c>
      <c r="D41" s="54" t="s">
        <v>3163</v>
      </c>
      <c r="E41" s="54" t="s">
        <v>3164</v>
      </c>
    </row>
    <row r="42">
      <c r="A42" s="53">
        <f>IFERROR(__xludf.DUMMYFUNCTION("""COMPUTED_VALUE"""),293.0)</f>
        <v>293</v>
      </c>
      <c r="B42" s="16" t="str">
        <f>IFERROR(__xludf.DUMMYFUNCTION("""COMPUTED_VALUE"""),"different")</f>
        <v>different</v>
      </c>
      <c r="C42" s="9" t="s">
        <v>3076</v>
      </c>
      <c r="D42" s="54" t="s">
        <v>3169</v>
      </c>
      <c r="E42" s="54" t="s">
        <v>3170</v>
      </c>
    </row>
    <row r="43">
      <c r="A43" s="53">
        <f>IFERROR(__xludf.DUMMYFUNCTION("""COMPUTED_VALUE"""),311.0)</f>
        <v>311</v>
      </c>
      <c r="B43" s="16" t="str">
        <f>IFERROR(__xludf.DUMMYFUNCTION("""COMPUTED_VALUE"""),"down")</f>
        <v>down</v>
      </c>
      <c r="C43" s="9" t="s">
        <v>3076</v>
      </c>
      <c r="D43" s="54" t="s">
        <v>3171</v>
      </c>
      <c r="E43" s="54" t="s">
        <v>3172</v>
      </c>
    </row>
    <row r="44">
      <c r="A44" s="53">
        <f>IFERROR(__xludf.DUMMYFUNCTION("""COMPUTED_VALUE"""),314.0)</f>
        <v>314</v>
      </c>
      <c r="B44" s="16" t="str">
        <f>IFERROR(__xludf.DUMMYFUNCTION("""COMPUTED_VALUE"""),"dramatic")</f>
        <v>dramatic</v>
      </c>
      <c r="C44" s="9" t="s">
        <v>3076</v>
      </c>
      <c r="D44" s="54" t="s">
        <v>3173</v>
      </c>
      <c r="E44" s="54" t="s">
        <v>3174</v>
      </c>
    </row>
    <row r="45">
      <c r="A45" s="53">
        <f>IFERROR(__xludf.DUMMYFUNCTION("""COMPUTED_VALUE"""),322.0)</f>
        <v>322</v>
      </c>
      <c r="B45" s="16" t="str">
        <f>IFERROR(__xludf.DUMMYFUNCTION("""COMPUTED_VALUE"""),"eager")</f>
        <v>eager</v>
      </c>
      <c r="C45" s="9" t="s">
        <v>3076</v>
      </c>
      <c r="D45" s="54" t="s">
        <v>3175</v>
      </c>
      <c r="E45" s="54" t="s">
        <v>3176</v>
      </c>
    </row>
    <row r="46">
      <c r="A46" s="53">
        <f>IFERROR(__xludf.DUMMYFUNCTION("""COMPUTED_VALUE"""),333.0)</f>
        <v>333</v>
      </c>
      <c r="B46" s="16" t="str">
        <f>IFERROR(__xludf.DUMMYFUNCTION("""COMPUTED_VALUE"""),"elder")</f>
        <v>elder</v>
      </c>
      <c r="C46" s="9" t="s">
        <v>3076</v>
      </c>
      <c r="D46" s="54" t="s">
        <v>3177</v>
      </c>
      <c r="E46" s="54" t="s">
        <v>3178</v>
      </c>
    </row>
    <row r="47">
      <c r="A47" s="53">
        <f>IFERROR(__xludf.DUMMYFUNCTION("""COMPUTED_VALUE"""),335.0)</f>
        <v>335</v>
      </c>
      <c r="B47" s="16" t="str">
        <f>IFERROR(__xludf.DUMMYFUNCTION("""COMPUTED_VALUE"""),"elderly")</f>
        <v>elderly</v>
      </c>
      <c r="C47" s="9" t="s">
        <v>3076</v>
      </c>
      <c r="D47" s="54" t="s">
        <v>3179</v>
      </c>
      <c r="E47" s="54" t="s">
        <v>3180</v>
      </c>
    </row>
    <row r="48">
      <c r="A48" s="53">
        <f>IFERROR(__xludf.DUMMYFUNCTION("""COMPUTED_VALUE"""),336.0)</f>
        <v>336</v>
      </c>
      <c r="B48" s="16" t="str">
        <f>IFERROR(__xludf.DUMMYFUNCTION("""COMPUTED_VALUE"""),"electronic")</f>
        <v>electronic</v>
      </c>
      <c r="C48" s="9" t="s">
        <v>3076</v>
      </c>
      <c r="D48" s="54" t="s">
        <v>3181</v>
      </c>
      <c r="E48" s="54" t="s">
        <v>3182</v>
      </c>
    </row>
    <row r="49">
      <c r="A49" s="53">
        <f>IFERROR(__xludf.DUMMYFUNCTION("""COMPUTED_VALUE"""),338.0)</f>
        <v>338</v>
      </c>
      <c r="B49" s="16" t="str">
        <f>IFERROR(__xludf.DUMMYFUNCTION("""COMPUTED_VALUE"""),"embarrassed")</f>
        <v>embarrassed</v>
      </c>
      <c r="C49" s="9" t="s">
        <v>3076</v>
      </c>
      <c r="D49" s="54" t="s">
        <v>3183</v>
      </c>
      <c r="E49" s="54" t="s">
        <v>3184</v>
      </c>
    </row>
    <row r="50">
      <c r="A50" s="53">
        <f>IFERROR(__xludf.DUMMYFUNCTION("""COMPUTED_VALUE"""),340.0)</f>
        <v>340</v>
      </c>
      <c r="B50" s="16" t="str">
        <f>IFERROR(__xludf.DUMMYFUNCTION("""COMPUTED_VALUE"""),"end")</f>
        <v>end</v>
      </c>
      <c r="C50" s="9" t="s">
        <v>3076</v>
      </c>
      <c r="D50" s="54" t="s">
        <v>3185</v>
      </c>
      <c r="E50" s="54" t="s">
        <v>3186</v>
      </c>
    </row>
    <row r="51">
      <c r="A51" s="53">
        <f>IFERROR(__xludf.DUMMYFUNCTION("""COMPUTED_VALUE"""),345.0)</f>
        <v>345</v>
      </c>
      <c r="B51" s="16" t="str">
        <f>IFERROR(__xludf.DUMMYFUNCTION("""COMPUTED_VALUE"""),"envious")</f>
        <v>envious</v>
      </c>
      <c r="C51" s="9" t="s">
        <v>3076</v>
      </c>
      <c r="D51" s="54" t="s">
        <v>3187</v>
      </c>
      <c r="E51" s="54" t="s">
        <v>3188</v>
      </c>
    </row>
    <row r="52">
      <c r="A52" s="53">
        <f>IFERROR(__xludf.DUMMYFUNCTION("""COMPUTED_VALUE"""),355.0)</f>
        <v>355</v>
      </c>
      <c r="B52" s="16" t="str">
        <f>IFERROR(__xludf.DUMMYFUNCTION("""COMPUTED_VALUE"""),"excited")</f>
        <v>excited</v>
      </c>
      <c r="C52" s="9" t="s">
        <v>3076</v>
      </c>
      <c r="D52" s="54" t="s">
        <v>3189</v>
      </c>
      <c r="E52" s="54" t="s">
        <v>3190</v>
      </c>
    </row>
    <row r="53">
      <c r="A53" s="53">
        <f>IFERROR(__xludf.DUMMYFUNCTION("""COMPUTED_VALUE"""),356.0)</f>
        <v>356</v>
      </c>
      <c r="B53" s="16" t="str">
        <f>IFERROR(__xludf.DUMMYFUNCTION("""COMPUTED_VALUE"""),"exciting")</f>
        <v>exciting</v>
      </c>
      <c r="C53" s="9" t="s">
        <v>3076</v>
      </c>
      <c r="D53" s="54" t="s">
        <v>3191</v>
      </c>
      <c r="E53" s="54" t="s">
        <v>3192</v>
      </c>
    </row>
    <row r="54">
      <c r="A54" s="53">
        <f>IFERROR(__xludf.DUMMYFUNCTION("""COMPUTED_VALUE"""),368.0)</f>
        <v>368</v>
      </c>
      <c r="B54" s="16" t="str">
        <f>IFERROR(__xludf.DUMMYFUNCTION("""COMPUTED_VALUE"""),"fat")</f>
        <v>fat</v>
      </c>
      <c r="C54" s="9" t="s">
        <v>3076</v>
      </c>
      <c r="D54" s="54" t="s">
        <v>3193</v>
      </c>
      <c r="E54" s="54" t="s">
        <v>3194</v>
      </c>
    </row>
    <row r="55">
      <c r="A55" s="53">
        <f>IFERROR(__xludf.DUMMYFUNCTION("""COMPUTED_VALUE"""),370.0)</f>
        <v>370</v>
      </c>
      <c r="B55" s="16" t="str">
        <f>IFERROR(__xludf.DUMMYFUNCTION("""COMPUTED_VALUE"""),"favourite")</f>
        <v>favourite</v>
      </c>
      <c r="C55" s="9" t="s">
        <v>3076</v>
      </c>
      <c r="D55" s="54" t="s">
        <v>3195</v>
      </c>
      <c r="E55" s="54" t="s">
        <v>3196</v>
      </c>
    </row>
    <row r="56">
      <c r="A56" s="53">
        <f>IFERROR(__xludf.DUMMYFUNCTION("""COMPUTED_VALUE"""),382.0)</f>
        <v>382</v>
      </c>
      <c r="B56" s="16" t="str">
        <f>IFERROR(__xludf.DUMMYFUNCTION("""COMPUTED_VALUE"""),"fluffy")</f>
        <v>fluffy</v>
      </c>
      <c r="C56" s="9" t="s">
        <v>3076</v>
      </c>
      <c r="D56" s="54" t="s">
        <v>3197</v>
      </c>
      <c r="E56" s="54" t="s">
        <v>3198</v>
      </c>
    </row>
    <row r="57">
      <c r="A57" s="53">
        <f>IFERROR(__xludf.DUMMYFUNCTION("""COMPUTED_VALUE"""),394.0)</f>
        <v>394</v>
      </c>
      <c r="B57" s="16" t="str">
        <f>IFERROR(__xludf.DUMMYFUNCTION("""COMPUTED_VALUE"""),"fried")</f>
        <v>fried</v>
      </c>
      <c r="C57" s="9" t="s">
        <v>3076</v>
      </c>
      <c r="D57" s="54" t="s">
        <v>3199</v>
      </c>
      <c r="E57" s="54" t="s">
        <v>3200</v>
      </c>
    </row>
    <row r="58">
      <c r="A58" s="53">
        <f>IFERROR(__xludf.DUMMYFUNCTION("""COMPUTED_VALUE"""),398.0)</f>
        <v>398</v>
      </c>
      <c r="B58" s="16" t="str">
        <f>IFERROR(__xludf.DUMMYFUNCTION("""COMPUTED_VALUE"""),"friendly")</f>
        <v>friendly</v>
      </c>
      <c r="C58" s="9" t="s">
        <v>3076</v>
      </c>
      <c r="D58" s="54" t="s">
        <v>3201</v>
      </c>
      <c r="E58" s="54" t="s">
        <v>3202</v>
      </c>
    </row>
    <row r="59">
      <c r="A59" s="53">
        <f>IFERROR(__xludf.DUMMYFUNCTION("""COMPUTED_VALUE"""),401.0)</f>
        <v>401</v>
      </c>
      <c r="B59" s="16" t="str">
        <f>IFERROR(__xludf.DUMMYFUNCTION("""COMPUTED_VALUE"""),"Frustrated")</f>
        <v>Frustrated</v>
      </c>
      <c r="C59" s="9" t="s">
        <v>3076</v>
      </c>
      <c r="D59" s="54" t="s">
        <v>3199</v>
      </c>
      <c r="E59" s="54" t="s">
        <v>3200</v>
      </c>
    </row>
    <row r="60">
      <c r="A60" s="53">
        <f>IFERROR(__xludf.DUMMYFUNCTION("""COMPUTED_VALUE"""),402.0)</f>
        <v>402</v>
      </c>
      <c r="B60" s="16" t="str">
        <f>IFERROR(__xludf.DUMMYFUNCTION("""COMPUTED_VALUE"""),"fun")</f>
        <v>fun</v>
      </c>
      <c r="C60" s="9" t="s">
        <v>3076</v>
      </c>
      <c r="D60" s="54" t="s">
        <v>3203</v>
      </c>
      <c r="E60" s="54" t="s">
        <v>3204</v>
      </c>
    </row>
    <row r="61">
      <c r="A61" s="53">
        <f>IFERROR(__xludf.DUMMYFUNCTION("""COMPUTED_VALUE"""),403.0)</f>
        <v>403</v>
      </c>
      <c r="B61" s="16" t="str">
        <f>IFERROR(__xludf.DUMMYFUNCTION("""COMPUTED_VALUE"""),"funny")</f>
        <v>funny</v>
      </c>
      <c r="C61" s="9" t="s">
        <v>3076</v>
      </c>
      <c r="D61" s="54" t="s">
        <v>3205</v>
      </c>
      <c r="E61" s="54" t="s">
        <v>3206</v>
      </c>
    </row>
    <row r="62">
      <c r="A62" s="53">
        <f>IFERROR(__xludf.DUMMYFUNCTION("""COMPUTED_VALUE"""),411.0)</f>
        <v>411</v>
      </c>
      <c r="B62" s="16" t="str">
        <f>IFERROR(__xludf.DUMMYFUNCTION("""COMPUTED_VALUE"""),"goal")</f>
        <v>goal</v>
      </c>
      <c r="C62" s="9" t="s">
        <v>3076</v>
      </c>
      <c r="D62" s="54" t="s">
        <v>3207</v>
      </c>
      <c r="E62" s="54" t="s">
        <v>3208</v>
      </c>
    </row>
    <row r="63">
      <c r="A63" s="53">
        <f>IFERROR(__xludf.DUMMYFUNCTION("""COMPUTED_VALUE"""),415.0)</f>
        <v>415</v>
      </c>
      <c r="B63" s="16" t="str">
        <f>IFERROR(__xludf.DUMMYFUNCTION("""COMPUTED_VALUE"""),"good")</f>
        <v>good</v>
      </c>
      <c r="C63" s="9" t="s">
        <v>3076</v>
      </c>
      <c r="D63" s="54" t="s">
        <v>3209</v>
      </c>
      <c r="E63" s="54" t="s">
        <v>3210</v>
      </c>
    </row>
    <row r="64">
      <c r="A64" s="53">
        <f>IFERROR(__xludf.DUMMYFUNCTION("""COMPUTED_VALUE"""),419.0)</f>
        <v>419</v>
      </c>
      <c r="B64" s="16" t="str">
        <f>IFERROR(__xludf.DUMMYFUNCTION("""COMPUTED_VALUE"""),"gram")</f>
        <v>gram</v>
      </c>
      <c r="C64" s="9" t="s">
        <v>3076</v>
      </c>
      <c r="D64" s="54" t="s">
        <v>3211</v>
      </c>
      <c r="E64" s="54" t="s">
        <v>3212</v>
      </c>
    </row>
    <row r="65">
      <c r="A65" s="53">
        <f>IFERROR(__xludf.DUMMYFUNCTION("""COMPUTED_VALUE"""),423.0)</f>
        <v>423</v>
      </c>
      <c r="B65" s="16" t="str">
        <f>IFERROR(__xludf.DUMMYFUNCTION("""COMPUTED_VALUE"""),"graphic")</f>
        <v>graphic</v>
      </c>
      <c r="C65" s="9" t="s">
        <v>3076</v>
      </c>
      <c r="D65" s="54" t="s">
        <v>3213</v>
      </c>
      <c r="E65" s="54" t="s">
        <v>3214</v>
      </c>
    </row>
    <row r="66">
      <c r="A66" s="53">
        <f>IFERROR(__xludf.DUMMYFUNCTION("""COMPUTED_VALUE"""),424.0)</f>
        <v>424</v>
      </c>
      <c r="B66" s="16" t="str">
        <f>IFERROR(__xludf.DUMMYFUNCTION("""COMPUTED_VALUE"""),"grateful")</f>
        <v>grateful</v>
      </c>
      <c r="C66" s="9" t="s">
        <v>3076</v>
      </c>
      <c r="D66" s="54" t="s">
        <v>3215</v>
      </c>
      <c r="E66" s="54" t="s">
        <v>3216</v>
      </c>
    </row>
    <row r="67">
      <c r="A67" s="53">
        <f>IFERROR(__xludf.DUMMYFUNCTION("""COMPUTED_VALUE"""),425.0)</f>
        <v>425</v>
      </c>
      <c r="B67" s="16" t="str">
        <f>IFERROR(__xludf.DUMMYFUNCTION("""COMPUTED_VALUE"""),"greater than")</f>
        <v>greater than</v>
      </c>
      <c r="C67" s="9" t="s">
        <v>3076</v>
      </c>
      <c r="D67" s="54" t="s">
        <v>3215</v>
      </c>
      <c r="E67" s="54" t="s">
        <v>3216</v>
      </c>
    </row>
    <row r="68">
      <c r="A68" s="53">
        <f>IFERROR(__xludf.DUMMYFUNCTION("""COMPUTED_VALUE"""),427.0)</f>
        <v>427</v>
      </c>
      <c r="B68" s="16" t="str">
        <f>IFERROR(__xludf.DUMMYFUNCTION("""COMPUTED_VALUE"""),"green")</f>
        <v>green</v>
      </c>
      <c r="C68" s="9" t="s">
        <v>3076</v>
      </c>
      <c r="D68" s="54" t="s">
        <v>3217</v>
      </c>
      <c r="E68" s="54" t="s">
        <v>3218</v>
      </c>
    </row>
    <row r="69">
      <c r="A69" s="53">
        <f>IFERROR(__xludf.DUMMYFUNCTION("""COMPUTED_VALUE"""),440.0)</f>
        <v>440</v>
      </c>
      <c r="B69" s="16" t="str">
        <f>IFERROR(__xludf.DUMMYFUNCTION("""COMPUTED_VALUE"""),"happy")</f>
        <v>happy</v>
      </c>
      <c r="C69" s="9" t="s">
        <v>3076</v>
      </c>
      <c r="D69" s="54" t="s">
        <v>3217</v>
      </c>
      <c r="E69" s="54" t="s">
        <v>3218</v>
      </c>
    </row>
    <row r="70">
      <c r="A70" s="53">
        <f>IFERROR(__xludf.DUMMYFUNCTION("""COMPUTED_VALUE"""),448.0)</f>
        <v>448</v>
      </c>
      <c r="B70" s="16" t="str">
        <f>IFERROR(__xludf.DUMMYFUNCTION("""COMPUTED_VALUE"""),"heavy")</f>
        <v>heavy</v>
      </c>
      <c r="C70" s="9" t="s">
        <v>3076</v>
      </c>
      <c r="D70" s="54" t="s">
        <v>3219</v>
      </c>
      <c r="E70" s="54" t="s">
        <v>3220</v>
      </c>
    </row>
    <row r="71">
      <c r="A71" s="53">
        <f>IFERROR(__xludf.DUMMYFUNCTION("""COMPUTED_VALUE"""),450.0)</f>
        <v>450</v>
      </c>
      <c r="B71" s="16" t="str">
        <f>IFERROR(__xludf.DUMMYFUNCTION("""COMPUTED_VALUE"""),"helpful")</f>
        <v>helpful</v>
      </c>
      <c r="C71" s="9" t="s">
        <v>3076</v>
      </c>
      <c r="D71" s="54" t="s">
        <v>3221</v>
      </c>
      <c r="E71" s="54" t="s">
        <v>3222</v>
      </c>
    </row>
    <row r="72">
      <c r="A72" s="53">
        <f>IFERROR(__xludf.DUMMYFUNCTION("""COMPUTED_VALUE"""),454.0)</f>
        <v>454</v>
      </c>
      <c r="B72" s="16" t="str">
        <f>IFERROR(__xludf.DUMMYFUNCTION("""COMPUTED_VALUE"""),"her")</f>
        <v>her</v>
      </c>
      <c r="C72" s="9" t="s">
        <v>3076</v>
      </c>
      <c r="D72" s="54" t="s">
        <v>3223</v>
      </c>
      <c r="E72" s="54" t="s">
        <v>3224</v>
      </c>
    </row>
    <row r="73">
      <c r="A73" s="53">
        <f>IFERROR(__xludf.DUMMYFUNCTION("""COMPUTED_VALUE"""),457.0)</f>
        <v>457</v>
      </c>
      <c r="B73" s="16" t="str">
        <f>IFERROR(__xludf.DUMMYFUNCTION("""COMPUTED_VALUE"""),"high-pitched")</f>
        <v>high-pitched</v>
      </c>
      <c r="C73" s="9" t="s">
        <v>3076</v>
      </c>
      <c r="D73" s="54" t="s">
        <v>3225</v>
      </c>
      <c r="E73" s="54" t="s">
        <v>3226</v>
      </c>
    </row>
    <row r="74">
      <c r="A74" s="53">
        <f>IFERROR(__xludf.DUMMYFUNCTION("""COMPUTED_VALUE"""),467.0)</f>
        <v>467</v>
      </c>
      <c r="B74" s="16" t="str">
        <f>IFERROR(__xludf.DUMMYFUNCTION("""COMPUTED_VALUE"""),"hot")</f>
        <v>hot</v>
      </c>
      <c r="C74" s="9" t="s">
        <v>3076</v>
      </c>
      <c r="D74" s="54" t="s">
        <v>3227</v>
      </c>
      <c r="E74" s="54" t="s">
        <v>3228</v>
      </c>
    </row>
    <row r="75">
      <c r="A75" s="53">
        <f>IFERROR(__xludf.DUMMYFUNCTION("""COMPUTED_VALUE"""),473.0)</f>
        <v>473</v>
      </c>
      <c r="B75" s="16" t="str">
        <f>IFERROR(__xludf.DUMMYFUNCTION("""COMPUTED_VALUE"""),"hungry")</f>
        <v>hungry</v>
      </c>
      <c r="C75" s="9" t="s">
        <v>3076</v>
      </c>
      <c r="D75" s="54" t="s">
        <v>3229</v>
      </c>
      <c r="E75" s="54" t="s">
        <v>3230</v>
      </c>
    </row>
    <row r="76">
      <c r="A76" s="53">
        <f>IFERROR(__xludf.DUMMYFUNCTION("""COMPUTED_VALUE"""),478.0)</f>
        <v>478</v>
      </c>
      <c r="B76" s="16" t="str">
        <f>IFERROR(__xludf.DUMMYFUNCTION("""COMPUTED_VALUE"""),"ill")</f>
        <v>ill</v>
      </c>
      <c r="C76" s="9" t="s">
        <v>3076</v>
      </c>
      <c r="D76" s="54" t="s">
        <v>3231</v>
      </c>
      <c r="E76" s="54" t="s">
        <v>3232</v>
      </c>
    </row>
    <row r="77">
      <c r="A77" s="53">
        <f>IFERROR(__xludf.DUMMYFUNCTION("""COMPUTED_VALUE"""),486.0)</f>
        <v>486</v>
      </c>
      <c r="B77" s="16" t="str">
        <f>IFERROR(__xludf.DUMMYFUNCTION("""COMPUTED_VALUE"""),"impatient")</f>
        <v>impatient</v>
      </c>
      <c r="C77" s="9" t="s">
        <v>3076</v>
      </c>
      <c r="D77" s="54" t="s">
        <v>3233</v>
      </c>
      <c r="E77" s="54" t="s">
        <v>3234</v>
      </c>
    </row>
    <row r="78">
      <c r="A78" s="53">
        <f>IFERROR(__xludf.DUMMYFUNCTION("""COMPUTED_VALUE"""),488.0)</f>
        <v>488</v>
      </c>
      <c r="B78" s="16" t="str">
        <f>IFERROR(__xludf.DUMMYFUNCTION("""COMPUTED_VALUE"""),"important")</f>
        <v>important</v>
      </c>
      <c r="C78" s="9" t="s">
        <v>3076</v>
      </c>
      <c r="D78" s="54" t="s">
        <v>3235</v>
      </c>
      <c r="E78" s="54" t="s">
        <v>3236</v>
      </c>
    </row>
    <row r="79">
      <c r="A79" s="53">
        <f>IFERROR(__xludf.DUMMYFUNCTION("""COMPUTED_VALUE"""),491.0)</f>
        <v>491</v>
      </c>
      <c r="B79" s="16" t="str">
        <f>IFERROR(__xludf.DUMMYFUNCTION("""COMPUTED_VALUE"""),"in")</f>
        <v>in</v>
      </c>
      <c r="C79" s="9" t="s">
        <v>3076</v>
      </c>
      <c r="D79" s="54" t="s">
        <v>3237</v>
      </c>
      <c r="E79" s="54" t="s">
        <v>3238</v>
      </c>
    </row>
    <row r="80">
      <c r="A80" s="53">
        <f>IFERROR(__xludf.DUMMYFUNCTION("""COMPUTED_VALUE"""),495.0)</f>
        <v>495</v>
      </c>
      <c r="B80" s="16" t="str">
        <f>IFERROR(__xludf.DUMMYFUNCTION("""COMPUTED_VALUE"""),"infant")</f>
        <v>infant</v>
      </c>
      <c r="C80" s="9" t="s">
        <v>3076</v>
      </c>
      <c r="D80" s="54" t="s">
        <v>3237</v>
      </c>
      <c r="E80" s="54" t="s">
        <v>3238</v>
      </c>
    </row>
    <row r="81">
      <c r="A81" s="53">
        <f>IFERROR(__xludf.DUMMYFUNCTION("""COMPUTED_VALUE"""),500.0)</f>
        <v>500</v>
      </c>
      <c r="B81" s="16" t="str">
        <f>IFERROR(__xludf.DUMMYFUNCTION("""COMPUTED_VALUE"""),"intense")</f>
        <v>intense</v>
      </c>
      <c r="C81" s="9" t="s">
        <v>3076</v>
      </c>
      <c r="D81" s="54" t="s">
        <v>3239</v>
      </c>
      <c r="E81" s="54" t="s">
        <v>3240</v>
      </c>
    </row>
    <row r="82">
      <c r="A82" s="53">
        <f>IFERROR(__xludf.DUMMYFUNCTION("""COMPUTED_VALUE"""),501.0)</f>
        <v>501</v>
      </c>
      <c r="B82" s="16" t="str">
        <f>IFERROR(__xludf.DUMMYFUNCTION("""COMPUTED_VALUE"""),"international")</f>
        <v>international</v>
      </c>
      <c r="C82" s="9" t="s">
        <v>3076</v>
      </c>
      <c r="D82" s="54" t="s">
        <v>3241</v>
      </c>
      <c r="E82" s="54" t="s">
        <v>3242</v>
      </c>
    </row>
    <row r="83">
      <c r="A83" s="53">
        <f>IFERROR(__xludf.DUMMYFUNCTION("""COMPUTED_VALUE"""),503.0)</f>
        <v>503</v>
      </c>
      <c r="B83" s="16" t="str">
        <f>IFERROR(__xludf.DUMMYFUNCTION("""COMPUTED_VALUE"""),"intersecting")</f>
        <v>intersecting</v>
      </c>
      <c r="C83" s="9" t="s">
        <v>3076</v>
      </c>
      <c r="D83" s="54" t="s">
        <v>3243</v>
      </c>
      <c r="E83" s="54" t="s">
        <v>3244</v>
      </c>
    </row>
    <row r="84">
      <c r="A84" s="53">
        <f>IFERROR(__xludf.DUMMYFUNCTION("""COMPUTED_VALUE"""),513.0)</f>
        <v>513</v>
      </c>
      <c r="B84" s="16" t="str">
        <f>IFERROR(__xludf.DUMMYFUNCTION("""COMPUTED_VALUE"""),"jealous")</f>
        <v>jealous</v>
      </c>
      <c r="C84" s="9" t="s">
        <v>3076</v>
      </c>
      <c r="D84" s="54" t="s">
        <v>3245</v>
      </c>
      <c r="E84" s="54" t="s">
        <v>3246</v>
      </c>
    </row>
    <row r="85">
      <c r="A85" s="53">
        <f>IFERROR(__xludf.DUMMYFUNCTION("""COMPUTED_VALUE"""),524.0)</f>
        <v>524</v>
      </c>
      <c r="B85" s="16" t="str">
        <f>IFERROR(__xludf.DUMMYFUNCTION("""COMPUTED_VALUE"""),"kick")</f>
        <v>kick</v>
      </c>
      <c r="C85" s="9" t="s">
        <v>3076</v>
      </c>
      <c r="D85" s="54" t="s">
        <v>3235</v>
      </c>
      <c r="E85" s="54" t="s">
        <v>3236</v>
      </c>
    </row>
    <row r="86">
      <c r="A86" s="53">
        <f>IFERROR(__xludf.DUMMYFUNCTION("""COMPUTED_VALUE"""),526.0)</f>
        <v>526</v>
      </c>
      <c r="B86" s="16" t="str">
        <f>IFERROR(__xludf.DUMMYFUNCTION("""COMPUTED_VALUE"""),"kilo-")</f>
        <v>kilo-</v>
      </c>
      <c r="C86" s="9" t="s">
        <v>3076</v>
      </c>
      <c r="D86" s="54" t="s">
        <v>3237</v>
      </c>
      <c r="E86" s="54" t="s">
        <v>3238</v>
      </c>
    </row>
    <row r="87">
      <c r="A87" s="53">
        <f>IFERROR(__xludf.DUMMYFUNCTION("""COMPUTED_VALUE"""),532.0)</f>
        <v>532</v>
      </c>
      <c r="B87" s="16" t="str">
        <f>IFERROR(__xludf.DUMMYFUNCTION("""COMPUTED_VALUE"""),"large")</f>
        <v>large</v>
      </c>
      <c r="C87" s="9" t="s">
        <v>3076</v>
      </c>
      <c r="D87" s="54" t="s">
        <v>3235</v>
      </c>
      <c r="E87" s="54" t="s">
        <v>3236</v>
      </c>
    </row>
    <row r="88">
      <c r="A88" s="53">
        <f>IFERROR(__xludf.DUMMYFUNCTION("""COMPUTED_VALUE"""),543.0)</f>
        <v>543</v>
      </c>
      <c r="B88" s="16" t="str">
        <f>IFERROR(__xludf.DUMMYFUNCTION("""COMPUTED_VALUE"""),"left")</f>
        <v>left</v>
      </c>
      <c r="C88" s="9" t="s">
        <v>3076</v>
      </c>
      <c r="D88" s="54" t="s">
        <v>3247</v>
      </c>
      <c r="E88" s="54" t="s">
        <v>3248</v>
      </c>
    </row>
    <row r="89">
      <c r="A89" s="53">
        <f>IFERROR(__xludf.DUMMYFUNCTION("""COMPUTED_VALUE"""),550.0)</f>
        <v>550</v>
      </c>
      <c r="B89" s="16" t="str">
        <f>IFERROR(__xludf.DUMMYFUNCTION("""COMPUTED_VALUE"""),"less than")</f>
        <v>less than</v>
      </c>
      <c r="C89" s="9" t="s">
        <v>3076</v>
      </c>
      <c r="D89" s="54" t="s">
        <v>3249</v>
      </c>
      <c r="E89" s="54" t="s">
        <v>3250</v>
      </c>
    </row>
    <row r="90">
      <c r="A90" s="53">
        <f>IFERROR(__xludf.DUMMYFUNCTION("""COMPUTED_VALUE"""),554.0)</f>
        <v>554</v>
      </c>
      <c r="B90" s="16" t="str">
        <f>IFERROR(__xludf.DUMMYFUNCTION("""COMPUTED_VALUE"""),"light")</f>
        <v>light</v>
      </c>
      <c r="C90" s="9" t="s">
        <v>3076</v>
      </c>
      <c r="D90" s="54" t="s">
        <v>3251</v>
      </c>
      <c r="E90" s="54" t="s">
        <v>3252</v>
      </c>
    </row>
    <row r="91">
      <c r="A91" s="53">
        <f>IFERROR(__xludf.DUMMYFUNCTION("""COMPUTED_VALUE"""),564.0)</f>
        <v>564</v>
      </c>
      <c r="B91" s="16" t="str">
        <f>IFERROR(__xludf.DUMMYFUNCTION("""COMPUTED_VALUE"""),"like")</f>
        <v>like</v>
      </c>
      <c r="C91" s="9" t="s">
        <v>3076</v>
      </c>
      <c r="D91" s="54" t="s">
        <v>3253</v>
      </c>
      <c r="E91" s="54" t="s">
        <v>3254</v>
      </c>
    </row>
    <row r="92">
      <c r="A92" s="53">
        <f>IFERROR(__xludf.DUMMYFUNCTION("""COMPUTED_VALUE"""),573.0)</f>
        <v>573</v>
      </c>
      <c r="B92" s="16" t="str">
        <f>IFERROR(__xludf.DUMMYFUNCTION("""COMPUTED_VALUE"""),"litre")</f>
        <v>litre</v>
      </c>
      <c r="C92" s="9" t="s">
        <v>3076</v>
      </c>
      <c r="D92" s="54" t="s">
        <v>3255</v>
      </c>
      <c r="E92" s="54" t="s">
        <v>3256</v>
      </c>
    </row>
    <row r="93">
      <c r="A93" s="53">
        <f>IFERROR(__xludf.DUMMYFUNCTION("""COMPUTED_VALUE"""),576.0)</f>
        <v>576</v>
      </c>
      <c r="B93" s="16" t="str">
        <f>IFERROR(__xludf.DUMMYFUNCTION("""COMPUTED_VALUE"""),"lonely")</f>
        <v>lonely</v>
      </c>
      <c r="C93" s="9" t="s">
        <v>3076</v>
      </c>
      <c r="D93" s="54" t="s">
        <v>3257</v>
      </c>
      <c r="E93" s="54" t="s">
        <v>3258</v>
      </c>
    </row>
    <row r="94">
      <c r="A94" s="53">
        <f>IFERROR(__xludf.DUMMYFUNCTION("""COMPUTED_VALUE"""),577.0)</f>
        <v>577</v>
      </c>
      <c r="B94" s="16" t="str">
        <f>IFERROR(__xludf.DUMMYFUNCTION("""COMPUTED_VALUE"""),"long")</f>
        <v>long</v>
      </c>
      <c r="C94" s="9" t="s">
        <v>3076</v>
      </c>
      <c r="D94" s="54" t="s">
        <v>3259</v>
      </c>
      <c r="E94" s="54" t="s">
        <v>3260</v>
      </c>
    </row>
    <row r="95">
      <c r="A95" s="53">
        <f>IFERROR(__xludf.DUMMYFUNCTION("""COMPUTED_VALUE"""),584.0)</f>
        <v>584</v>
      </c>
      <c r="B95" s="16" t="str">
        <f>IFERROR(__xludf.DUMMYFUNCTION("""COMPUTED_VALUE"""),"mad")</f>
        <v>mad</v>
      </c>
      <c r="C95" s="9" t="s">
        <v>3076</v>
      </c>
      <c r="D95" s="54" t="s">
        <v>3261</v>
      </c>
      <c r="E95" s="54" t="s">
        <v>3262</v>
      </c>
    </row>
    <row r="96">
      <c r="A96" s="53">
        <f>IFERROR(__xludf.DUMMYFUNCTION("""COMPUTED_VALUE"""),597.0)</f>
        <v>597</v>
      </c>
      <c r="B96" s="16" t="str">
        <f>IFERROR(__xludf.DUMMYFUNCTION("""COMPUTED_VALUE"""),"metre")</f>
        <v>metre</v>
      </c>
      <c r="C96" s="9" t="s">
        <v>3076</v>
      </c>
      <c r="D96" s="54" t="s">
        <v>3263</v>
      </c>
      <c r="E96" s="54" t="s">
        <v>3264</v>
      </c>
    </row>
    <row r="97">
      <c r="A97" s="53">
        <f>IFERROR(__xludf.DUMMYFUNCTION("""COMPUTED_VALUE"""),599.0)</f>
        <v>599</v>
      </c>
      <c r="B97" s="16" t="str">
        <f>IFERROR(__xludf.DUMMYFUNCTION("""COMPUTED_VALUE"""),"middle")</f>
        <v>middle</v>
      </c>
      <c r="C97" s="9" t="s">
        <v>3076</v>
      </c>
      <c r="D97" s="54" t="s">
        <v>3265</v>
      </c>
      <c r="E97" s="54" t="s">
        <v>3266</v>
      </c>
    </row>
    <row r="98">
      <c r="A98" s="53">
        <f>IFERROR(__xludf.DUMMYFUNCTION("""COMPUTED_VALUE"""),601.0)</f>
        <v>601</v>
      </c>
      <c r="B98" s="16" t="str">
        <f>IFERROR(__xludf.DUMMYFUNCTION("""COMPUTED_VALUE"""),"middle")</f>
        <v>middle</v>
      </c>
      <c r="C98" s="9" t="s">
        <v>3076</v>
      </c>
    </row>
    <row r="99">
      <c r="A99" s="53">
        <f>IFERROR(__xludf.DUMMYFUNCTION("""COMPUTED_VALUE"""),602.0)</f>
        <v>602</v>
      </c>
      <c r="B99" s="16" t="str">
        <f>IFERROR(__xludf.DUMMYFUNCTION("""COMPUTED_VALUE"""),"middle-aged")</f>
        <v>middle-aged</v>
      </c>
      <c r="C99" s="9" t="s">
        <v>3076</v>
      </c>
    </row>
    <row r="100">
      <c r="A100" s="53">
        <f>IFERROR(__xludf.DUMMYFUNCTION("""COMPUTED_VALUE"""),604.0)</f>
        <v>604</v>
      </c>
      <c r="B100" s="16" t="str">
        <f>IFERROR(__xludf.DUMMYFUNCTION("""COMPUTED_VALUE"""),"milli-")</f>
        <v>milli-</v>
      </c>
      <c r="C100" s="9" t="s">
        <v>3076</v>
      </c>
      <c r="D100" s="54" t="s">
        <v>3165</v>
      </c>
      <c r="E100" s="54" t="s">
        <v>3166</v>
      </c>
    </row>
    <row r="101">
      <c r="A101" s="53">
        <f>IFERROR(__xludf.DUMMYFUNCTION("""COMPUTED_VALUE"""),620.0)</f>
        <v>620</v>
      </c>
      <c r="B101" s="16" t="str">
        <f>IFERROR(__xludf.DUMMYFUNCTION("""COMPUTED_VALUE"""),"musical")</f>
        <v>musical</v>
      </c>
      <c r="C101" s="9" t="s">
        <v>3076</v>
      </c>
      <c r="D101" s="54" t="s">
        <v>3267</v>
      </c>
      <c r="E101" s="54" t="s">
        <v>3268</v>
      </c>
    </row>
    <row r="102">
      <c r="A102" s="53">
        <f>IFERROR(__xludf.DUMMYFUNCTION("""COMPUTED_VALUE"""),623.0)</f>
        <v>623</v>
      </c>
      <c r="B102" s="16" t="str">
        <f>IFERROR(__xludf.DUMMYFUNCTION("""COMPUTED_VALUE"""),"my")</f>
        <v>my</v>
      </c>
      <c r="C102" s="9" t="s">
        <v>3076</v>
      </c>
      <c r="D102" s="54" t="s">
        <v>3167</v>
      </c>
      <c r="E102" s="54" t="s">
        <v>3168</v>
      </c>
    </row>
    <row r="103">
      <c r="A103" s="53">
        <f>IFERROR(__xludf.DUMMYFUNCTION("""COMPUTED_VALUE"""),629.0)</f>
        <v>629</v>
      </c>
      <c r="B103" s="16" t="str">
        <f>IFERROR(__xludf.DUMMYFUNCTION("""COMPUTED_VALUE"""),"narrow")</f>
        <v>narrow</v>
      </c>
      <c r="C103" s="9" t="s">
        <v>3076</v>
      </c>
      <c r="D103" s="54" t="s">
        <v>3269</v>
      </c>
      <c r="E103" s="54" t="s">
        <v>3270</v>
      </c>
    </row>
    <row r="104">
      <c r="A104" s="53">
        <f>IFERROR(__xludf.DUMMYFUNCTION("""COMPUTED_VALUE"""),637.0)</f>
        <v>637</v>
      </c>
      <c r="B104" s="16" t="str">
        <f>IFERROR(__xludf.DUMMYFUNCTION("""COMPUTED_VALUE"""),"nervous")</f>
        <v>nervous</v>
      </c>
      <c r="C104" s="9" t="s">
        <v>3076</v>
      </c>
      <c r="D104" s="54" t="s">
        <v>3271</v>
      </c>
      <c r="E104" s="54" t="s">
        <v>3272</v>
      </c>
    </row>
    <row r="105">
      <c r="A105" s="53">
        <f>IFERROR(__xludf.DUMMYFUNCTION("""COMPUTED_VALUE"""),640.0)</f>
        <v>640</v>
      </c>
      <c r="B105" s="16" t="str">
        <f>IFERROR(__xludf.DUMMYFUNCTION("""COMPUTED_VALUE"""),"next")</f>
        <v>next</v>
      </c>
      <c r="C105" s="9" t="s">
        <v>3076</v>
      </c>
      <c r="D105" s="54" t="s">
        <v>3251</v>
      </c>
      <c r="E105" s="54" t="s">
        <v>3252</v>
      </c>
    </row>
    <row r="106">
      <c r="A106" s="53">
        <f>IFERROR(__xludf.DUMMYFUNCTION("""COMPUTED_VALUE"""),649.0)</f>
        <v>649</v>
      </c>
      <c r="B106" s="16" t="str">
        <f>IFERROR(__xludf.DUMMYFUNCTION("""COMPUTED_VALUE"""),"nice")</f>
        <v>nice</v>
      </c>
      <c r="C106" s="9" t="s">
        <v>3076</v>
      </c>
      <c r="D106" s="54" t="s">
        <v>3273</v>
      </c>
      <c r="E106" s="54" t="s">
        <v>3274</v>
      </c>
    </row>
    <row r="107">
      <c r="A107" s="53">
        <f>IFERROR(__xludf.DUMMYFUNCTION("""COMPUTED_VALUE"""),652.0)</f>
        <v>652</v>
      </c>
      <c r="B107" s="16" t="str">
        <f>IFERROR(__xludf.DUMMYFUNCTION("""COMPUTED_VALUE"""),"noisy")</f>
        <v>noisy</v>
      </c>
      <c r="C107" s="9" t="s">
        <v>3076</v>
      </c>
      <c r="D107" s="54" t="s">
        <v>3275</v>
      </c>
      <c r="E107" s="54" t="s">
        <v>3276</v>
      </c>
    </row>
    <row r="108">
      <c r="A108" s="53">
        <f>IFERROR(__xludf.DUMMYFUNCTION("""COMPUTED_VALUE"""),662.0)</f>
        <v>662</v>
      </c>
      <c r="B108" s="16" t="str">
        <f>IFERROR(__xludf.DUMMYFUNCTION("""COMPUTED_VALUE"""),"older")</f>
        <v>older</v>
      </c>
      <c r="C108" s="9" t="s">
        <v>3076</v>
      </c>
      <c r="D108" s="54" t="s">
        <v>3253</v>
      </c>
      <c r="E108" s="54" t="s">
        <v>3254</v>
      </c>
    </row>
    <row r="109">
      <c r="A109" s="53">
        <f>IFERROR(__xludf.DUMMYFUNCTION("""COMPUTED_VALUE"""),664.0)</f>
        <v>664</v>
      </c>
      <c r="B109" s="16" t="str">
        <f>IFERROR(__xludf.DUMMYFUNCTION("""COMPUTED_VALUE"""),"orange")</f>
        <v>orange</v>
      </c>
      <c r="C109" s="9" t="s">
        <v>3076</v>
      </c>
      <c r="D109" s="54" t="s">
        <v>3277</v>
      </c>
      <c r="E109" s="54" t="s">
        <v>3278</v>
      </c>
    </row>
    <row r="110">
      <c r="A110" s="53">
        <f>IFERROR(__xludf.DUMMYFUNCTION("""COMPUTED_VALUE"""),665.0)</f>
        <v>665</v>
      </c>
      <c r="B110" s="16" t="str">
        <f>IFERROR(__xludf.DUMMYFUNCTION("""COMPUTED_VALUE"""),"original")</f>
        <v>original</v>
      </c>
      <c r="C110" s="9" t="s">
        <v>3076</v>
      </c>
      <c r="D110" s="54" t="s">
        <v>3279</v>
      </c>
      <c r="E110" s="54" t="s">
        <v>3280</v>
      </c>
    </row>
    <row r="111">
      <c r="A111" s="53">
        <f>IFERROR(__xludf.DUMMYFUNCTION("""COMPUTED_VALUE"""),666.0)</f>
        <v>666</v>
      </c>
      <c r="B111" s="16" t="str">
        <f>IFERROR(__xludf.DUMMYFUNCTION("""COMPUTED_VALUE"""),"outstanding")</f>
        <v>outstanding</v>
      </c>
      <c r="C111" s="9" t="s">
        <v>3076</v>
      </c>
      <c r="D111" s="54" t="s">
        <v>3281</v>
      </c>
      <c r="E111" s="54" t="s">
        <v>3282</v>
      </c>
    </row>
    <row r="112">
      <c r="A112" s="53">
        <f>IFERROR(__xludf.DUMMYFUNCTION("""COMPUTED_VALUE"""),667.0)</f>
        <v>667</v>
      </c>
      <c r="B112" s="16" t="str">
        <f>IFERROR(__xludf.DUMMYFUNCTION("""COMPUTED_VALUE"""),"oval")</f>
        <v>oval</v>
      </c>
      <c r="C112" s="9" t="s">
        <v>3076</v>
      </c>
      <c r="D112" s="54" t="s">
        <v>3283</v>
      </c>
      <c r="E112" s="54" t="s">
        <v>3284</v>
      </c>
    </row>
    <row r="113">
      <c r="A113" s="53">
        <f>IFERROR(__xludf.DUMMYFUNCTION("""COMPUTED_VALUE"""),671.0)</f>
        <v>671</v>
      </c>
      <c r="B113" s="16" t="str">
        <f>IFERROR(__xludf.DUMMYFUNCTION("""COMPUTED_VALUE"""),"over")</f>
        <v>over</v>
      </c>
      <c r="C113" s="9" t="s">
        <v>3076</v>
      </c>
      <c r="D113" s="54" t="s">
        <v>3149</v>
      </c>
      <c r="E113" s="54" t="s">
        <v>3150</v>
      </c>
    </row>
    <row r="114">
      <c r="A114" s="53">
        <f>IFERROR(__xludf.DUMMYFUNCTION("""COMPUTED_VALUE"""),675.0)</f>
        <v>675</v>
      </c>
      <c r="B114" s="16" t="str">
        <f>IFERROR(__xludf.DUMMYFUNCTION("""COMPUTED_VALUE"""),"overjoyed")</f>
        <v>overjoyed</v>
      </c>
      <c r="C114" s="9" t="s">
        <v>3076</v>
      </c>
      <c r="D114" s="54" t="s">
        <v>3285</v>
      </c>
      <c r="E114" s="54" t="s">
        <v>3286</v>
      </c>
    </row>
    <row r="115">
      <c r="A115" s="53">
        <f>IFERROR(__xludf.DUMMYFUNCTION("""COMPUTED_VALUE"""),678.0)</f>
        <v>678</v>
      </c>
      <c r="B115" s="16" t="str">
        <f>IFERROR(__xludf.DUMMYFUNCTION("""COMPUTED_VALUE"""),"parallel")</f>
        <v>parallel</v>
      </c>
      <c r="C115" s="9" t="s">
        <v>3076</v>
      </c>
      <c r="D115" s="54" t="s">
        <v>3287</v>
      </c>
      <c r="E115" s="54" t="s">
        <v>3288</v>
      </c>
    </row>
    <row r="116">
      <c r="A116" s="53">
        <f>IFERROR(__xludf.DUMMYFUNCTION("""COMPUTED_VALUE"""),686.0)</f>
        <v>686</v>
      </c>
      <c r="B116" s="16" t="str">
        <f>IFERROR(__xludf.DUMMYFUNCTION("""COMPUTED_VALUE"""),"perpendicular")</f>
        <v>perpendicular</v>
      </c>
      <c r="C116" s="9" t="s">
        <v>3076</v>
      </c>
      <c r="D116" s="54" t="s">
        <v>3289</v>
      </c>
      <c r="E116" s="54" t="s">
        <v>3290</v>
      </c>
    </row>
    <row r="117">
      <c r="A117" s="53">
        <f>IFERROR(__xludf.DUMMYFUNCTION("""COMPUTED_VALUE"""),695.0)</f>
        <v>695</v>
      </c>
      <c r="B117" s="16" t="str">
        <f>IFERROR(__xludf.DUMMYFUNCTION("""COMPUTED_VALUE"""),"pink")</f>
        <v>pink</v>
      </c>
    </row>
    <row r="118">
      <c r="A118" s="53">
        <f>IFERROR(__xludf.DUMMYFUNCTION("""COMPUTED_VALUE"""),700.0)</f>
        <v>700</v>
      </c>
      <c r="B118" s="16" t="str">
        <f>IFERROR(__xludf.DUMMYFUNCTION("""COMPUTED_VALUE"""),"playful")</f>
        <v>playful</v>
      </c>
    </row>
    <row r="119">
      <c r="A119" s="53">
        <f>IFERROR(__xludf.DUMMYFUNCTION("""COMPUTED_VALUE"""),723.0)</f>
        <v>723</v>
      </c>
      <c r="B119" s="16" t="str">
        <f>IFERROR(__xludf.DUMMYFUNCTION("""COMPUTED_VALUE"""),"pretty")</f>
        <v>pretty</v>
      </c>
    </row>
    <row r="120">
      <c r="A120" s="53">
        <f>IFERROR(__xludf.DUMMYFUNCTION("""COMPUTED_VALUE"""),729.0)</f>
        <v>729</v>
      </c>
      <c r="B120" s="16" t="str">
        <f>IFERROR(__xludf.DUMMYFUNCTION("""COMPUTED_VALUE"""),"professional")</f>
        <v>professional</v>
      </c>
    </row>
    <row r="121">
      <c r="A121" s="53">
        <f>IFERROR(__xludf.DUMMYFUNCTION("""COMPUTED_VALUE"""),733.0)</f>
        <v>733</v>
      </c>
      <c r="B121" s="16" t="str">
        <f>IFERROR(__xludf.DUMMYFUNCTION("""COMPUTED_VALUE"""),"proud")</f>
        <v>proud</v>
      </c>
    </row>
    <row r="122">
      <c r="A122" s="53">
        <f>IFERROR(__xludf.DUMMYFUNCTION("""COMPUTED_VALUE"""),738.0)</f>
        <v>738</v>
      </c>
      <c r="B122" s="16" t="str">
        <f>IFERROR(__xludf.DUMMYFUNCTION("""COMPUTED_VALUE"""),"quick")</f>
        <v>quick</v>
      </c>
    </row>
    <row r="123">
      <c r="A123" s="53">
        <f>IFERROR(__xludf.DUMMYFUNCTION("""COMPUTED_VALUE"""),740.0)</f>
        <v>740</v>
      </c>
      <c r="B123" s="16" t="str">
        <f>IFERROR(__xludf.DUMMYFUNCTION("""COMPUTED_VALUE"""),"rare")</f>
        <v>rare</v>
      </c>
    </row>
    <row r="124">
      <c r="A124" s="53">
        <f>IFERROR(__xludf.DUMMYFUNCTION("""COMPUTED_VALUE"""),750.0)</f>
        <v>750</v>
      </c>
      <c r="B124" s="16" t="str">
        <f>IFERROR(__xludf.DUMMYFUNCTION("""COMPUTED_VALUE"""),"rectangle")</f>
        <v>rectangle</v>
      </c>
    </row>
    <row r="125">
      <c r="A125" s="53">
        <f>IFERROR(__xludf.DUMMYFUNCTION("""COMPUTED_VALUE"""),751.0)</f>
        <v>751</v>
      </c>
      <c r="B125" s="16" t="str">
        <f>IFERROR(__xludf.DUMMYFUNCTION("""COMPUTED_VALUE"""),"rectangular")</f>
        <v>rectangular</v>
      </c>
    </row>
    <row r="126">
      <c r="A126" s="53">
        <f>IFERROR(__xludf.DUMMYFUNCTION("""COMPUTED_VALUE"""),752.0)</f>
        <v>752</v>
      </c>
      <c r="B126" s="16" t="str">
        <f>IFERROR(__xludf.DUMMYFUNCTION("""COMPUTED_VALUE"""),"red")</f>
        <v>red</v>
      </c>
    </row>
    <row r="127">
      <c r="A127" s="53">
        <f>IFERROR(__xludf.DUMMYFUNCTION("""COMPUTED_VALUE"""),757.0)</f>
        <v>757</v>
      </c>
      <c r="B127" s="16" t="str">
        <f>IFERROR(__xludf.DUMMYFUNCTION("""COMPUTED_VALUE"""),"relevance")</f>
        <v>relevance</v>
      </c>
    </row>
    <row r="128">
      <c r="A128" s="53">
        <f>IFERROR(__xludf.DUMMYFUNCTION("""COMPUTED_VALUE"""),771.0)</f>
        <v>771</v>
      </c>
      <c r="B128" s="16" t="str">
        <f>IFERROR(__xludf.DUMMYFUNCTION("""COMPUTED_VALUE"""),"right")</f>
        <v>right</v>
      </c>
    </row>
    <row r="129">
      <c r="A129" s="53">
        <f>IFERROR(__xludf.DUMMYFUNCTION("""COMPUTED_VALUE"""),777.0)</f>
        <v>777</v>
      </c>
      <c r="B129" s="16" t="str">
        <f>IFERROR(__xludf.DUMMYFUNCTION("""COMPUTED_VALUE"""),"round")</f>
        <v>round</v>
      </c>
    </row>
    <row r="130">
      <c r="A130" s="53">
        <f>IFERROR(__xludf.DUMMYFUNCTION("""COMPUTED_VALUE"""),784.0)</f>
        <v>784</v>
      </c>
      <c r="B130" s="16" t="str">
        <f>IFERROR(__xludf.DUMMYFUNCTION("""COMPUTED_VALUE"""),"sad")</f>
        <v>sad</v>
      </c>
    </row>
    <row r="131">
      <c r="A131" s="53">
        <f>IFERROR(__xludf.DUMMYFUNCTION("""COMPUTED_VALUE"""),785.0)</f>
        <v>785</v>
      </c>
      <c r="B131" s="16" t="str">
        <f>IFERROR(__xludf.DUMMYFUNCTION("""COMPUTED_VALUE"""),"safe")</f>
        <v>safe</v>
      </c>
    </row>
    <row r="132">
      <c r="A132" s="53">
        <f>IFERROR(__xludf.DUMMYFUNCTION("""COMPUTED_VALUE"""),787.0)</f>
        <v>787</v>
      </c>
      <c r="B132" s="16" t="str">
        <f>IFERROR(__xludf.DUMMYFUNCTION("""COMPUTED_VALUE"""),"salty")</f>
        <v>salty</v>
      </c>
    </row>
    <row r="133">
      <c r="A133" s="53">
        <f>IFERROR(__xludf.DUMMYFUNCTION("""COMPUTED_VALUE"""),791.0)</f>
        <v>791</v>
      </c>
      <c r="B133" s="16" t="str">
        <f>IFERROR(__xludf.DUMMYFUNCTION("""COMPUTED_VALUE"""),"scared")</f>
        <v>scared</v>
      </c>
    </row>
    <row r="134">
      <c r="A134" s="53">
        <f>IFERROR(__xludf.DUMMYFUNCTION("""COMPUTED_VALUE"""),793.0)</f>
        <v>793</v>
      </c>
      <c r="B134" s="16" t="str">
        <f>IFERROR(__xludf.DUMMYFUNCTION("""COMPUTED_VALUE"""),"scenic")</f>
        <v>scenic</v>
      </c>
    </row>
    <row r="135">
      <c r="A135" s="53">
        <f>IFERROR(__xludf.DUMMYFUNCTION("""COMPUTED_VALUE"""),805.0)</f>
        <v>805</v>
      </c>
      <c r="B135" s="16" t="str">
        <f>IFERROR(__xludf.DUMMYFUNCTION("""COMPUTED_VALUE"""),"senior")</f>
        <v>senior</v>
      </c>
    </row>
    <row r="136">
      <c r="A136" s="53">
        <f>IFERROR(__xludf.DUMMYFUNCTION("""COMPUTED_VALUE"""),811.0)</f>
        <v>811</v>
      </c>
      <c r="B136" s="16" t="str">
        <f>IFERROR(__xludf.DUMMYFUNCTION("""COMPUTED_VALUE"""),"set")</f>
        <v>set</v>
      </c>
    </row>
    <row r="137">
      <c r="A137" s="53">
        <f>IFERROR(__xludf.DUMMYFUNCTION("""COMPUTED_VALUE"""),821.0)</f>
        <v>821</v>
      </c>
      <c r="B137" s="16" t="str">
        <f>IFERROR(__xludf.DUMMYFUNCTION("""COMPUTED_VALUE"""),"short")</f>
        <v>short</v>
      </c>
    </row>
    <row r="138">
      <c r="A138" s="53">
        <f>IFERROR(__xludf.DUMMYFUNCTION("""COMPUTED_VALUE"""),824.0)</f>
        <v>824</v>
      </c>
      <c r="B138" s="16" t="str">
        <f>IFERROR(__xludf.DUMMYFUNCTION("""COMPUTED_VALUE"""),"silence")</f>
        <v>silence</v>
      </c>
    </row>
    <row r="139">
      <c r="A139" s="53">
        <f>IFERROR(__xludf.DUMMYFUNCTION("""COMPUTED_VALUE"""),825.0)</f>
        <v>825</v>
      </c>
      <c r="B139" s="16" t="str">
        <f>IFERROR(__xludf.DUMMYFUNCTION("""COMPUTED_VALUE"""),"silent")</f>
        <v>silent</v>
      </c>
    </row>
    <row r="140">
      <c r="A140" s="53">
        <f>IFERROR(__xludf.DUMMYFUNCTION("""COMPUTED_VALUE"""),826.0)</f>
        <v>826</v>
      </c>
      <c r="B140" s="16" t="str">
        <f>IFERROR(__xludf.DUMMYFUNCTION("""COMPUTED_VALUE"""),"silent letters")</f>
        <v>silent letters</v>
      </c>
    </row>
    <row r="141">
      <c r="A141" s="53">
        <f>IFERROR(__xludf.DUMMYFUNCTION("""COMPUTED_VALUE"""),836.0)</f>
        <v>836</v>
      </c>
      <c r="B141" s="16" t="str">
        <f>IFERROR(__xludf.DUMMYFUNCTION("""COMPUTED_VALUE"""),"sleep")</f>
        <v>sleep</v>
      </c>
    </row>
    <row r="142">
      <c r="A142" s="53">
        <f>IFERROR(__xludf.DUMMYFUNCTION("""COMPUTED_VALUE"""),838.0)</f>
        <v>838</v>
      </c>
      <c r="B142" s="16" t="str">
        <f>IFERROR(__xludf.DUMMYFUNCTION("""COMPUTED_VALUE"""),"small")</f>
        <v>small</v>
      </c>
    </row>
    <row r="143">
      <c r="A143" s="53">
        <f>IFERROR(__xludf.DUMMYFUNCTION("""COMPUTED_VALUE"""),840.0)</f>
        <v>840</v>
      </c>
      <c r="B143" s="16" t="str">
        <f>IFERROR(__xludf.DUMMYFUNCTION("""COMPUTED_VALUE"""),"smart")</f>
        <v>smart</v>
      </c>
    </row>
    <row r="144">
      <c r="A144" s="53">
        <f>IFERROR(__xludf.DUMMYFUNCTION("""COMPUTED_VALUE"""),841.0)</f>
        <v>841</v>
      </c>
      <c r="B144" s="16" t="str">
        <f>IFERROR(__xludf.DUMMYFUNCTION("""COMPUTED_VALUE"""),"smooth")</f>
        <v>smooth</v>
      </c>
    </row>
    <row r="145">
      <c r="A145" s="53">
        <f>IFERROR(__xludf.DUMMYFUNCTION("""COMPUTED_VALUE"""),851.0)</f>
        <v>851</v>
      </c>
      <c r="B145" s="16" t="str">
        <f>IFERROR(__xludf.DUMMYFUNCTION("""COMPUTED_VALUE"""),"soft")</f>
        <v>soft</v>
      </c>
    </row>
    <row r="146">
      <c r="A146" s="53">
        <f>IFERROR(__xludf.DUMMYFUNCTION("""COMPUTED_VALUE"""),855.0)</f>
        <v>855</v>
      </c>
      <c r="B146" s="16" t="str">
        <f>IFERROR(__xludf.DUMMYFUNCTION("""COMPUTED_VALUE"""),"sour")</f>
        <v>sour</v>
      </c>
    </row>
    <row r="147">
      <c r="A147" s="53">
        <f>IFERROR(__xludf.DUMMYFUNCTION("""COMPUTED_VALUE"""),859.0)</f>
        <v>859</v>
      </c>
      <c r="B147" s="16" t="str">
        <f>IFERROR(__xludf.DUMMYFUNCTION("""COMPUTED_VALUE"""),"special")</f>
        <v>special</v>
      </c>
    </row>
    <row r="148">
      <c r="A148" s="53">
        <f>IFERROR(__xludf.DUMMYFUNCTION("""COMPUTED_VALUE"""),860.0)</f>
        <v>860</v>
      </c>
      <c r="B148" s="16" t="str">
        <f>IFERROR(__xludf.DUMMYFUNCTION("""COMPUTED_VALUE"""),"spicy")</f>
        <v>spicy</v>
      </c>
    </row>
    <row r="149">
      <c r="A149" s="53">
        <f>IFERROR(__xludf.DUMMYFUNCTION("""COMPUTED_VALUE"""),868.0)</f>
        <v>868</v>
      </c>
      <c r="B149" s="16" t="str">
        <f>IFERROR(__xludf.DUMMYFUNCTION("""COMPUTED_VALUE"""),"square")</f>
        <v>square</v>
      </c>
    </row>
    <row r="150">
      <c r="A150" s="53">
        <f>IFERROR(__xludf.DUMMYFUNCTION("""COMPUTED_VALUE"""),869.0)</f>
        <v>869</v>
      </c>
      <c r="B150" s="16" t="str">
        <f>IFERROR(__xludf.DUMMYFUNCTION("""COMPUTED_VALUE"""),"squishy")</f>
        <v>squishy</v>
      </c>
    </row>
    <row r="151">
      <c r="A151" s="53">
        <f>IFERROR(__xludf.DUMMYFUNCTION("""COMPUTED_VALUE"""),886.0)</f>
        <v>886</v>
      </c>
      <c r="B151" s="16" t="str">
        <f>IFERROR(__xludf.DUMMYFUNCTION("""COMPUTED_VALUE"""),"straight")</f>
        <v>straight</v>
      </c>
    </row>
    <row r="152">
      <c r="A152" s="53">
        <f>IFERROR(__xludf.DUMMYFUNCTION("""COMPUTED_VALUE"""),900.0)</f>
        <v>900</v>
      </c>
      <c r="B152" s="16" t="str">
        <f>IFERROR(__xludf.DUMMYFUNCTION("""COMPUTED_VALUE"""),"surprised")</f>
        <v>surprised</v>
      </c>
    </row>
    <row r="153">
      <c r="A153" s="53">
        <f>IFERROR(__xludf.DUMMYFUNCTION("""COMPUTED_VALUE"""),904.0)</f>
        <v>904</v>
      </c>
      <c r="B153" s="16" t="str">
        <f>IFERROR(__xludf.DUMMYFUNCTION("""COMPUTED_VALUE"""),"sweet")</f>
        <v>sweet</v>
      </c>
    </row>
    <row r="154">
      <c r="A154" s="53">
        <f>IFERROR(__xludf.DUMMYFUNCTION("""COMPUTED_VALUE"""),909.0)</f>
        <v>909</v>
      </c>
      <c r="B154" s="16" t="str">
        <f>IFERROR(__xludf.DUMMYFUNCTION("""COMPUTED_VALUE"""),"talkative")</f>
        <v>talkative</v>
      </c>
    </row>
    <row r="155">
      <c r="A155" s="53">
        <f>IFERROR(__xludf.DUMMYFUNCTION("""COMPUTED_VALUE"""),910.0)</f>
        <v>910</v>
      </c>
      <c r="B155" s="16" t="str">
        <f>IFERROR(__xludf.DUMMYFUNCTION("""COMPUTED_VALUE"""),"tall")</f>
        <v>tall</v>
      </c>
    </row>
    <row r="156">
      <c r="A156" s="53">
        <f>IFERROR(__xludf.DUMMYFUNCTION("""COMPUTED_VALUE"""),913.0)</f>
        <v>913</v>
      </c>
      <c r="B156" s="16" t="str">
        <f>IFERROR(__xludf.DUMMYFUNCTION("""COMPUTED_VALUE"""),"tasty")</f>
        <v>tasty</v>
      </c>
    </row>
    <row r="157">
      <c r="A157" s="53">
        <f>IFERROR(__xludf.DUMMYFUNCTION("""COMPUTED_VALUE"""),915.0)</f>
        <v>915</v>
      </c>
      <c r="B157" s="16" t="str">
        <f>IFERROR(__xludf.DUMMYFUNCTION("""COMPUTED_VALUE"""),"teenager")</f>
        <v>teenager</v>
      </c>
    </row>
    <row r="158">
      <c r="A158" s="53">
        <f>IFERROR(__xludf.DUMMYFUNCTION("""COMPUTED_VALUE"""),916.0)</f>
        <v>916</v>
      </c>
      <c r="B158" s="16" t="str">
        <f>IFERROR(__xludf.DUMMYFUNCTION("""COMPUTED_VALUE"""),"teeny")</f>
        <v>teeny</v>
      </c>
    </row>
    <row r="159">
      <c r="A159" s="53">
        <f>IFERROR(__xludf.DUMMYFUNCTION("""COMPUTED_VALUE"""),941.0)</f>
        <v>941</v>
      </c>
      <c r="B159" s="16" t="str">
        <f>IFERROR(__xludf.DUMMYFUNCTION("""COMPUTED_VALUE"""),"thirsty")</f>
        <v>thirsty</v>
      </c>
    </row>
    <row r="160">
      <c r="A160" s="53">
        <f>IFERROR(__xludf.DUMMYFUNCTION("""COMPUTED_VALUE"""),949.0)</f>
        <v>949</v>
      </c>
      <c r="B160" s="16" t="str">
        <f>IFERROR(__xludf.DUMMYFUNCTION("""COMPUTED_VALUE"""),"tiny")</f>
        <v>tiny</v>
      </c>
    </row>
    <row r="161">
      <c r="A161" s="53">
        <f>IFERROR(__xludf.DUMMYFUNCTION("""COMPUTED_VALUE"""),950.0)</f>
        <v>950</v>
      </c>
      <c r="B161" s="16" t="str">
        <f>IFERROR(__xludf.DUMMYFUNCTION("""COMPUTED_VALUE"""),"tired")</f>
        <v>tired</v>
      </c>
    </row>
    <row r="162">
      <c r="A162" s="53">
        <f>IFERROR(__xludf.DUMMYFUNCTION("""COMPUTED_VALUE"""),956.0)</f>
        <v>956</v>
      </c>
      <c r="B162" s="16" t="str">
        <f>IFERROR(__xludf.DUMMYFUNCTION("""COMPUTED_VALUE"""),"toddler")</f>
        <v>toddler</v>
      </c>
    </row>
    <row r="163">
      <c r="A163" s="53">
        <f>IFERROR(__xludf.DUMMYFUNCTION("""COMPUTED_VALUE"""),969.0)</f>
        <v>969</v>
      </c>
      <c r="B163" s="16" t="str">
        <f>IFERROR(__xludf.DUMMYFUNCTION("""COMPUTED_VALUE"""),"traditional")</f>
        <v>traditional</v>
      </c>
    </row>
    <row r="164">
      <c r="A164" s="53">
        <f>IFERROR(__xludf.DUMMYFUNCTION("""COMPUTED_VALUE"""),972.0)</f>
        <v>972</v>
      </c>
      <c r="B164" s="16" t="str">
        <f>IFERROR(__xludf.DUMMYFUNCTION("""COMPUTED_VALUE"""),"triangle")</f>
        <v>triangle</v>
      </c>
    </row>
    <row r="165">
      <c r="A165" s="53">
        <f>IFERROR(__xludf.DUMMYFUNCTION("""COMPUTED_VALUE"""),973.0)</f>
        <v>973</v>
      </c>
      <c r="B165" s="16" t="str">
        <f>IFERROR(__xludf.DUMMYFUNCTION("""COMPUTED_VALUE"""),"triangular")</f>
        <v>triangular</v>
      </c>
    </row>
    <row r="166">
      <c r="A166" s="53">
        <f>IFERROR(__xludf.DUMMYFUNCTION("""COMPUTED_VALUE"""),978.0)</f>
        <v>978</v>
      </c>
      <c r="B166" s="16" t="str">
        <f>IFERROR(__xludf.DUMMYFUNCTION("""COMPUTED_VALUE"""),"ugly")</f>
        <v>ugly</v>
      </c>
    </row>
    <row r="167">
      <c r="A167" s="53">
        <f>IFERROR(__xludf.DUMMYFUNCTION("""COMPUTED_VALUE"""),987.0)</f>
        <v>987</v>
      </c>
      <c r="B167" s="16" t="str">
        <f>IFERROR(__xludf.DUMMYFUNCTION("""COMPUTED_VALUE"""),"up")</f>
        <v>up</v>
      </c>
    </row>
    <row r="168">
      <c r="A168" s="53">
        <f>IFERROR(__xludf.DUMMYFUNCTION("""COMPUTED_VALUE"""),999.0)</f>
        <v>999</v>
      </c>
      <c r="B168" s="16" t="str">
        <f>IFERROR(__xludf.DUMMYFUNCTION("""COMPUTED_VALUE"""),"warm")</f>
        <v>warm</v>
      </c>
    </row>
    <row r="169">
      <c r="A169" s="53">
        <f>IFERROR(__xludf.DUMMYFUNCTION("""COMPUTED_VALUE"""),1006.0)</f>
        <v>1006</v>
      </c>
      <c r="B169" s="16" t="str">
        <f>IFERROR(__xludf.DUMMYFUNCTION("""COMPUTED_VALUE"""),"wavy")</f>
        <v>wavy</v>
      </c>
    </row>
    <row r="170">
      <c r="A170" s="53">
        <f>IFERROR(__xludf.DUMMYFUNCTION("""COMPUTED_VALUE"""),1019.0)</f>
        <v>1019</v>
      </c>
      <c r="B170" s="16" t="str">
        <f>IFERROR(__xludf.DUMMYFUNCTION("""COMPUTED_VALUE"""),"white")</f>
        <v>white</v>
      </c>
    </row>
    <row r="171">
      <c r="A171" s="53">
        <f>IFERROR(__xludf.DUMMYFUNCTION("""COMPUTED_VALUE"""),1024.0)</f>
        <v>1024</v>
      </c>
      <c r="B171" s="16" t="str">
        <f>IFERROR(__xludf.DUMMYFUNCTION("""COMPUTED_VALUE"""),"wide")</f>
        <v>wide</v>
      </c>
    </row>
    <row r="172">
      <c r="A172" s="53">
        <f>IFERROR(__xludf.DUMMYFUNCTION("""COMPUTED_VALUE"""),1025.0)</f>
        <v>1025</v>
      </c>
      <c r="B172" s="16" t="str">
        <f>IFERROR(__xludf.DUMMYFUNCTION("""COMPUTED_VALUE"""),"wide")</f>
        <v>wide</v>
      </c>
    </row>
    <row r="173">
      <c r="A173" s="53">
        <f>IFERROR(__xludf.DUMMYFUNCTION("""COMPUTED_VALUE"""),1029.0)</f>
        <v>1029</v>
      </c>
      <c r="B173" s="16" t="str">
        <f>IFERROR(__xludf.DUMMYFUNCTION("""COMPUTED_VALUE"""),"wishful")</f>
        <v>wishful</v>
      </c>
    </row>
    <row r="174">
      <c r="A174" s="53">
        <f>IFERROR(__xludf.DUMMYFUNCTION("""COMPUTED_VALUE"""),1031.0)</f>
        <v>1031</v>
      </c>
      <c r="B174" s="16" t="str">
        <f>IFERROR(__xludf.DUMMYFUNCTION("""COMPUTED_VALUE"""),"worried")</f>
        <v>worried</v>
      </c>
    </row>
    <row r="175">
      <c r="A175" s="53">
        <f>IFERROR(__xludf.DUMMYFUNCTION("""COMPUTED_VALUE"""),1038.0)</f>
        <v>1038</v>
      </c>
      <c r="B175" s="16" t="str">
        <f>IFERROR(__xludf.DUMMYFUNCTION("""COMPUTED_VALUE"""),"yellow")</f>
        <v>yellow</v>
      </c>
    </row>
    <row r="176">
      <c r="A176" s="52"/>
    </row>
    <row r="177">
      <c r="A177" s="52"/>
    </row>
    <row r="178">
      <c r="A178" s="52"/>
    </row>
    <row r="179">
      <c r="A179" s="52"/>
    </row>
    <row r="180">
      <c r="A180" s="52"/>
    </row>
    <row r="181">
      <c r="A181" s="52"/>
    </row>
    <row r="182">
      <c r="A182" s="52"/>
    </row>
    <row r="183">
      <c r="A183" s="52"/>
    </row>
    <row r="184">
      <c r="A184" s="52"/>
    </row>
    <row r="185">
      <c r="A185" s="52"/>
    </row>
    <row r="186">
      <c r="A186" s="52"/>
    </row>
    <row r="187">
      <c r="A187" s="52"/>
    </row>
    <row r="188">
      <c r="A188" s="52"/>
    </row>
    <row r="189">
      <c r="A189" s="52"/>
    </row>
    <row r="190">
      <c r="A190" s="52"/>
    </row>
    <row r="191">
      <c r="A191" s="52"/>
    </row>
    <row r="192">
      <c r="A192" s="52"/>
    </row>
    <row r="193">
      <c r="A193" s="52"/>
    </row>
    <row r="194">
      <c r="A194" s="52"/>
    </row>
    <row r="195">
      <c r="A195" s="52"/>
    </row>
    <row r="196">
      <c r="A196" s="52"/>
    </row>
    <row r="197">
      <c r="A197" s="52"/>
    </row>
    <row r="198">
      <c r="A198" s="52"/>
    </row>
    <row r="199">
      <c r="A199" s="52"/>
    </row>
    <row r="200">
      <c r="A200" s="52"/>
    </row>
    <row r="201">
      <c r="A201" s="52"/>
    </row>
    <row r="202">
      <c r="A202" s="52"/>
    </row>
    <row r="203">
      <c r="A203" s="52"/>
    </row>
    <row r="204">
      <c r="A204" s="52"/>
    </row>
    <row r="205">
      <c r="A205" s="52"/>
    </row>
    <row r="206">
      <c r="A206" s="52"/>
    </row>
    <row r="207">
      <c r="A207" s="52"/>
    </row>
    <row r="208">
      <c r="A208" s="52"/>
    </row>
    <row r="209">
      <c r="A209" s="52"/>
    </row>
    <row r="210">
      <c r="A210" s="52"/>
    </row>
    <row r="211">
      <c r="A211" s="52"/>
    </row>
    <row r="212">
      <c r="A212" s="52"/>
    </row>
    <row r="213">
      <c r="A213" s="52"/>
    </row>
    <row r="214">
      <c r="A214" s="52"/>
    </row>
    <row r="215">
      <c r="A215" s="52"/>
    </row>
    <row r="216">
      <c r="A216" s="52"/>
    </row>
    <row r="217">
      <c r="A217" s="52"/>
    </row>
    <row r="218">
      <c r="A218" s="52"/>
    </row>
    <row r="219">
      <c r="A219" s="52"/>
    </row>
    <row r="220">
      <c r="A220" s="52"/>
    </row>
    <row r="221">
      <c r="A221" s="52"/>
    </row>
    <row r="222">
      <c r="A222" s="52"/>
    </row>
    <row r="223">
      <c r="A223" s="52"/>
    </row>
    <row r="224">
      <c r="A224" s="52"/>
    </row>
    <row r="225">
      <c r="A225" s="52"/>
    </row>
    <row r="226">
      <c r="A226" s="52"/>
    </row>
    <row r="227">
      <c r="A227" s="52"/>
    </row>
    <row r="228">
      <c r="A228" s="52"/>
    </row>
    <row r="229">
      <c r="A229" s="52"/>
    </row>
    <row r="230">
      <c r="A230" s="52"/>
    </row>
    <row r="231">
      <c r="A231" s="52"/>
    </row>
    <row r="232">
      <c r="A232" s="52"/>
    </row>
    <row r="233">
      <c r="A233" s="52"/>
    </row>
    <row r="234">
      <c r="A234" s="52"/>
    </row>
    <row r="235">
      <c r="A235" s="52"/>
    </row>
    <row r="236">
      <c r="A236" s="52"/>
    </row>
    <row r="237">
      <c r="A237" s="52"/>
    </row>
    <row r="238">
      <c r="A238" s="52"/>
    </row>
    <row r="239">
      <c r="A239" s="52"/>
    </row>
    <row r="240">
      <c r="A240" s="52"/>
    </row>
    <row r="241">
      <c r="A241" s="52"/>
    </row>
    <row r="242">
      <c r="A242" s="52"/>
    </row>
    <row r="243">
      <c r="A243" s="52"/>
    </row>
    <row r="244">
      <c r="A244" s="52"/>
    </row>
    <row r="245">
      <c r="A245" s="52"/>
    </row>
    <row r="246">
      <c r="A246" s="52"/>
    </row>
    <row r="247">
      <c r="A247" s="52"/>
    </row>
    <row r="248">
      <c r="A248" s="52"/>
    </row>
    <row r="249">
      <c r="A249" s="52"/>
    </row>
    <row r="250">
      <c r="A250" s="52"/>
    </row>
    <row r="251">
      <c r="A251" s="52"/>
    </row>
    <row r="252">
      <c r="A252" s="52"/>
    </row>
    <row r="253">
      <c r="A253" s="52"/>
    </row>
    <row r="254">
      <c r="A254" s="52"/>
    </row>
    <row r="255">
      <c r="A255" s="52"/>
    </row>
    <row r="256">
      <c r="A256" s="52"/>
    </row>
    <row r="257">
      <c r="A257" s="52"/>
    </row>
    <row r="258">
      <c r="A258" s="52"/>
    </row>
    <row r="259">
      <c r="A259" s="52"/>
    </row>
    <row r="260">
      <c r="A260" s="52"/>
    </row>
    <row r="261">
      <c r="A261" s="52"/>
    </row>
    <row r="262">
      <c r="A262" s="52"/>
    </row>
    <row r="263">
      <c r="A263" s="52"/>
    </row>
    <row r="264">
      <c r="A264" s="52"/>
    </row>
    <row r="265">
      <c r="A265" s="52"/>
    </row>
    <row r="266">
      <c r="A266" s="52"/>
    </row>
    <row r="267">
      <c r="A267" s="52"/>
    </row>
    <row r="268">
      <c r="A268" s="52"/>
    </row>
    <row r="269">
      <c r="A269" s="52"/>
    </row>
    <row r="270">
      <c r="A270" s="52"/>
    </row>
    <row r="271">
      <c r="A271" s="52"/>
    </row>
    <row r="272">
      <c r="A272" s="52"/>
    </row>
    <row r="273">
      <c r="A273" s="52"/>
    </row>
    <row r="274">
      <c r="A274" s="52"/>
    </row>
    <row r="275">
      <c r="A275" s="52"/>
    </row>
    <row r="276">
      <c r="A276" s="52"/>
    </row>
    <row r="277">
      <c r="A277" s="52"/>
    </row>
    <row r="278">
      <c r="A278" s="52"/>
    </row>
    <row r="279">
      <c r="A279" s="52"/>
    </row>
    <row r="280">
      <c r="A280" s="52"/>
    </row>
    <row r="281">
      <c r="A281" s="52"/>
    </row>
    <row r="282">
      <c r="A282" s="52"/>
    </row>
    <row r="283">
      <c r="A283" s="52"/>
    </row>
    <row r="284">
      <c r="A284" s="52"/>
    </row>
    <row r="285">
      <c r="A285" s="52"/>
    </row>
    <row r="286">
      <c r="A286" s="52"/>
    </row>
    <row r="287">
      <c r="A287" s="52"/>
    </row>
    <row r="288">
      <c r="A288" s="52"/>
    </row>
    <row r="289">
      <c r="A289" s="52"/>
    </row>
    <row r="290">
      <c r="A290" s="52"/>
    </row>
    <row r="291">
      <c r="A291" s="52"/>
    </row>
    <row r="292">
      <c r="A292" s="52"/>
    </row>
    <row r="293">
      <c r="A293" s="52"/>
    </row>
    <row r="294">
      <c r="A294" s="52"/>
    </row>
    <row r="295">
      <c r="A295" s="52"/>
    </row>
    <row r="296">
      <c r="A296" s="52"/>
    </row>
    <row r="297">
      <c r="A297" s="52"/>
    </row>
    <row r="298">
      <c r="A298" s="52"/>
    </row>
    <row r="299">
      <c r="A299" s="52"/>
    </row>
    <row r="300">
      <c r="A300" s="52"/>
    </row>
    <row r="301">
      <c r="A301" s="52"/>
    </row>
    <row r="302">
      <c r="A302" s="52"/>
    </row>
    <row r="303">
      <c r="A303" s="52"/>
    </row>
    <row r="304">
      <c r="A304" s="52"/>
    </row>
    <row r="305">
      <c r="A305" s="52"/>
    </row>
    <row r="306">
      <c r="A306" s="52"/>
    </row>
    <row r="307">
      <c r="A307" s="52"/>
    </row>
    <row r="308">
      <c r="A308" s="52"/>
    </row>
    <row r="309">
      <c r="A309" s="52"/>
    </row>
    <row r="310">
      <c r="A310" s="52"/>
    </row>
    <row r="311">
      <c r="A311" s="52"/>
    </row>
    <row r="312">
      <c r="A312" s="52"/>
    </row>
    <row r="313">
      <c r="A313" s="52"/>
    </row>
    <row r="314">
      <c r="A314" s="52"/>
    </row>
    <row r="315">
      <c r="A315" s="52"/>
    </row>
    <row r="316">
      <c r="A316" s="52"/>
    </row>
    <row r="317">
      <c r="A317" s="52"/>
    </row>
    <row r="318">
      <c r="A318" s="52"/>
    </row>
    <row r="319">
      <c r="A319" s="52"/>
    </row>
    <row r="320">
      <c r="A320" s="52"/>
    </row>
    <row r="321">
      <c r="A321" s="52"/>
    </row>
    <row r="322">
      <c r="A322" s="52"/>
    </row>
    <row r="323">
      <c r="A323" s="52"/>
    </row>
    <row r="324">
      <c r="A324" s="52"/>
    </row>
    <row r="325">
      <c r="A325" s="52"/>
    </row>
    <row r="326">
      <c r="A326" s="52"/>
    </row>
    <row r="327">
      <c r="A327" s="52"/>
    </row>
    <row r="328">
      <c r="A328" s="52"/>
    </row>
    <row r="329">
      <c r="A329" s="52"/>
    </row>
    <row r="330">
      <c r="A330" s="52"/>
    </row>
    <row r="331">
      <c r="A331" s="52"/>
    </row>
    <row r="332">
      <c r="A332" s="52"/>
    </row>
    <row r="333">
      <c r="A333" s="52"/>
    </row>
    <row r="334">
      <c r="A334" s="52"/>
    </row>
    <row r="335">
      <c r="A335" s="52"/>
    </row>
    <row r="336">
      <c r="A336" s="52"/>
    </row>
    <row r="337">
      <c r="A337" s="52"/>
    </row>
    <row r="338">
      <c r="A338" s="52"/>
    </row>
    <row r="339">
      <c r="A339" s="52"/>
    </row>
    <row r="340">
      <c r="A340" s="52"/>
    </row>
    <row r="341">
      <c r="A341" s="52"/>
    </row>
    <row r="342">
      <c r="A342" s="52"/>
    </row>
    <row r="343">
      <c r="A343" s="52"/>
    </row>
    <row r="344">
      <c r="A344" s="52"/>
    </row>
    <row r="345">
      <c r="A345" s="52"/>
    </row>
    <row r="346">
      <c r="A346" s="52"/>
    </row>
    <row r="347">
      <c r="A347" s="52"/>
    </row>
    <row r="348">
      <c r="A348" s="52"/>
    </row>
    <row r="349">
      <c r="A349" s="52"/>
    </row>
    <row r="350">
      <c r="A350" s="52"/>
    </row>
    <row r="351">
      <c r="A351" s="52"/>
    </row>
    <row r="352">
      <c r="A352" s="52"/>
    </row>
    <row r="353">
      <c r="A353" s="52"/>
    </row>
    <row r="354">
      <c r="A354" s="52"/>
    </row>
    <row r="355">
      <c r="A355" s="52"/>
    </row>
    <row r="356">
      <c r="A356" s="52"/>
    </row>
    <row r="357">
      <c r="A357" s="52"/>
    </row>
    <row r="358">
      <c r="A358" s="52"/>
    </row>
    <row r="359">
      <c r="A359" s="52"/>
    </row>
    <row r="360">
      <c r="A360" s="52"/>
    </row>
    <row r="361">
      <c r="A361" s="52"/>
    </row>
    <row r="362">
      <c r="A362" s="52"/>
    </row>
    <row r="363">
      <c r="A363" s="52"/>
    </row>
    <row r="364">
      <c r="A364" s="52"/>
    </row>
    <row r="365">
      <c r="A365" s="52"/>
    </row>
    <row r="366">
      <c r="A366" s="52"/>
    </row>
    <row r="367">
      <c r="A367" s="52"/>
    </row>
    <row r="368">
      <c r="A368" s="52"/>
    </row>
    <row r="369">
      <c r="A369" s="52"/>
    </row>
    <row r="370">
      <c r="A370" s="52"/>
    </row>
    <row r="371">
      <c r="A371" s="52"/>
    </row>
    <row r="372">
      <c r="A372" s="52"/>
    </row>
    <row r="373">
      <c r="A373" s="52"/>
    </row>
    <row r="374">
      <c r="A374" s="52"/>
    </row>
    <row r="375">
      <c r="A375" s="52"/>
    </row>
    <row r="376">
      <c r="A376" s="52"/>
    </row>
    <row r="377">
      <c r="A377" s="52"/>
    </row>
    <row r="378">
      <c r="A378" s="52"/>
    </row>
    <row r="379">
      <c r="A379" s="52"/>
    </row>
    <row r="380">
      <c r="A380" s="52"/>
    </row>
    <row r="381">
      <c r="A381" s="52"/>
    </row>
    <row r="382">
      <c r="A382" s="52"/>
    </row>
    <row r="383">
      <c r="A383" s="52"/>
    </row>
    <row r="384">
      <c r="A384" s="52"/>
    </row>
    <row r="385">
      <c r="A385" s="52"/>
    </row>
    <row r="386">
      <c r="A386" s="52"/>
    </row>
    <row r="387">
      <c r="A387" s="52"/>
    </row>
    <row r="388">
      <c r="A388" s="52"/>
    </row>
    <row r="389">
      <c r="A389" s="52"/>
    </row>
    <row r="390">
      <c r="A390" s="52"/>
    </row>
    <row r="391">
      <c r="A391" s="52"/>
    </row>
    <row r="392">
      <c r="A392" s="52"/>
    </row>
    <row r="393">
      <c r="A393" s="52"/>
    </row>
    <row r="394">
      <c r="A394" s="52"/>
    </row>
    <row r="395">
      <c r="A395" s="52"/>
    </row>
    <row r="396">
      <c r="A396" s="52"/>
    </row>
    <row r="397">
      <c r="A397" s="52"/>
    </row>
    <row r="398">
      <c r="A398" s="52"/>
    </row>
    <row r="399">
      <c r="A399" s="52"/>
    </row>
    <row r="400">
      <c r="A400" s="52"/>
    </row>
    <row r="401">
      <c r="A401" s="52"/>
    </row>
    <row r="402">
      <c r="A402" s="52"/>
    </row>
    <row r="403">
      <c r="A403" s="52"/>
    </row>
    <row r="404">
      <c r="A404" s="52"/>
    </row>
    <row r="405">
      <c r="A405" s="52"/>
    </row>
    <row r="406">
      <c r="A406" s="52"/>
    </row>
    <row r="407">
      <c r="A407" s="52"/>
    </row>
    <row r="408">
      <c r="A408" s="52"/>
    </row>
    <row r="409">
      <c r="A409" s="52"/>
    </row>
    <row r="410">
      <c r="A410" s="52"/>
    </row>
    <row r="411">
      <c r="A411" s="52"/>
    </row>
    <row r="412">
      <c r="A412" s="52"/>
    </row>
    <row r="413">
      <c r="A413" s="52"/>
    </row>
    <row r="414">
      <c r="A414" s="52"/>
    </row>
    <row r="415">
      <c r="A415" s="52"/>
    </row>
    <row r="416">
      <c r="A416" s="52"/>
    </row>
    <row r="417">
      <c r="A417" s="52"/>
    </row>
    <row r="418">
      <c r="A418" s="52"/>
    </row>
    <row r="419">
      <c r="A419" s="52"/>
    </row>
    <row r="420">
      <c r="A420" s="52"/>
    </row>
    <row r="421">
      <c r="A421" s="52"/>
    </row>
    <row r="422">
      <c r="A422" s="52"/>
    </row>
    <row r="423">
      <c r="A423" s="52"/>
    </row>
    <row r="424">
      <c r="A424" s="52"/>
    </row>
    <row r="425">
      <c r="A425" s="52"/>
    </row>
    <row r="426">
      <c r="A426" s="52"/>
    </row>
    <row r="427">
      <c r="A427" s="52"/>
    </row>
    <row r="428">
      <c r="A428" s="52"/>
    </row>
    <row r="429">
      <c r="A429" s="52"/>
    </row>
    <row r="430">
      <c r="A430" s="52"/>
    </row>
    <row r="431">
      <c r="A431" s="52"/>
    </row>
    <row r="432">
      <c r="A432" s="52"/>
    </row>
    <row r="433">
      <c r="A433" s="52"/>
    </row>
    <row r="434">
      <c r="A434" s="52"/>
    </row>
    <row r="435">
      <c r="A435" s="52"/>
    </row>
    <row r="436">
      <c r="A436" s="52"/>
    </row>
    <row r="437">
      <c r="A437" s="52"/>
    </row>
    <row r="438">
      <c r="A438" s="52"/>
    </row>
    <row r="439">
      <c r="A439" s="52"/>
    </row>
    <row r="440">
      <c r="A440" s="52"/>
    </row>
    <row r="441">
      <c r="A441" s="52"/>
    </row>
    <row r="442">
      <c r="A442" s="52"/>
    </row>
    <row r="443">
      <c r="A443" s="52"/>
    </row>
    <row r="444">
      <c r="A444" s="52"/>
    </row>
    <row r="445">
      <c r="A445" s="52"/>
    </row>
    <row r="446">
      <c r="A446" s="52"/>
    </row>
    <row r="447">
      <c r="A447" s="52"/>
    </row>
    <row r="448">
      <c r="A448" s="52"/>
    </row>
    <row r="449">
      <c r="A449" s="52"/>
    </row>
    <row r="450">
      <c r="A450" s="52"/>
    </row>
    <row r="451">
      <c r="A451" s="52"/>
    </row>
    <row r="452">
      <c r="A452" s="52"/>
    </row>
    <row r="453">
      <c r="A453" s="52"/>
    </row>
    <row r="454">
      <c r="A454" s="52"/>
    </row>
    <row r="455">
      <c r="A455" s="52"/>
    </row>
    <row r="456">
      <c r="A456" s="52"/>
    </row>
    <row r="457">
      <c r="A457" s="52"/>
    </row>
    <row r="458">
      <c r="A458" s="52"/>
    </row>
    <row r="459">
      <c r="A459" s="52"/>
    </row>
    <row r="460">
      <c r="A460" s="52"/>
    </row>
    <row r="461">
      <c r="A461" s="52"/>
    </row>
    <row r="462">
      <c r="A462" s="52"/>
    </row>
    <row r="463">
      <c r="A463" s="52"/>
    </row>
    <row r="464">
      <c r="A464" s="52"/>
    </row>
    <row r="465">
      <c r="A465" s="52"/>
    </row>
    <row r="466">
      <c r="A466" s="52"/>
    </row>
    <row r="467">
      <c r="A467" s="52"/>
    </row>
    <row r="468">
      <c r="A468" s="52"/>
    </row>
    <row r="469">
      <c r="A469" s="52"/>
    </row>
    <row r="470">
      <c r="A470" s="52"/>
    </row>
    <row r="471">
      <c r="A471" s="52"/>
    </row>
    <row r="472">
      <c r="A472" s="52"/>
    </row>
    <row r="473">
      <c r="A473" s="52"/>
    </row>
    <row r="474">
      <c r="A474" s="52"/>
    </row>
    <row r="475">
      <c r="A475" s="52"/>
    </row>
    <row r="476">
      <c r="A476" s="52"/>
    </row>
    <row r="477">
      <c r="A477" s="52"/>
    </row>
    <row r="478">
      <c r="A478" s="52"/>
    </row>
    <row r="479">
      <c r="A479" s="52"/>
    </row>
    <row r="480">
      <c r="A480" s="52"/>
    </row>
    <row r="481">
      <c r="A481" s="52"/>
    </row>
    <row r="482">
      <c r="A482" s="52"/>
    </row>
    <row r="483">
      <c r="A483" s="52"/>
    </row>
    <row r="484">
      <c r="A484" s="52"/>
    </row>
    <row r="485">
      <c r="A485" s="52"/>
    </row>
    <row r="486">
      <c r="A486" s="52"/>
    </row>
    <row r="487">
      <c r="A487" s="52"/>
    </row>
    <row r="488">
      <c r="A488" s="52"/>
    </row>
    <row r="489">
      <c r="A489" s="52"/>
    </row>
    <row r="490">
      <c r="A490" s="52"/>
    </row>
    <row r="491">
      <c r="A491" s="52"/>
    </row>
    <row r="492">
      <c r="A492" s="52"/>
    </row>
    <row r="493">
      <c r="A493" s="52"/>
    </row>
    <row r="494">
      <c r="A494" s="52"/>
    </row>
    <row r="495">
      <c r="A495" s="52"/>
    </row>
    <row r="496">
      <c r="A496" s="52"/>
    </row>
    <row r="497">
      <c r="A497" s="52"/>
    </row>
    <row r="498">
      <c r="A498" s="52"/>
    </row>
    <row r="499">
      <c r="A499" s="52"/>
    </row>
    <row r="500">
      <c r="A500" s="52"/>
    </row>
    <row r="501">
      <c r="A501" s="52"/>
    </row>
    <row r="502">
      <c r="A502" s="52"/>
    </row>
    <row r="503">
      <c r="A503" s="52"/>
    </row>
    <row r="504">
      <c r="A504" s="52"/>
    </row>
    <row r="505">
      <c r="A505" s="52"/>
    </row>
    <row r="506">
      <c r="A506" s="52"/>
    </row>
    <row r="507">
      <c r="A507" s="52"/>
    </row>
    <row r="508">
      <c r="A508" s="52"/>
    </row>
    <row r="509">
      <c r="A509" s="52"/>
    </row>
    <row r="510">
      <c r="A510" s="52"/>
    </row>
    <row r="511">
      <c r="A511" s="52"/>
    </row>
    <row r="512">
      <c r="A512" s="52"/>
    </row>
    <row r="513">
      <c r="A513" s="52"/>
    </row>
    <row r="514">
      <c r="A514" s="52"/>
    </row>
    <row r="515">
      <c r="A515" s="52"/>
    </row>
    <row r="516">
      <c r="A516" s="52"/>
    </row>
    <row r="517">
      <c r="A517" s="52"/>
    </row>
    <row r="518">
      <c r="A518" s="52"/>
    </row>
    <row r="519">
      <c r="A519" s="52"/>
    </row>
    <row r="520">
      <c r="A520" s="52"/>
    </row>
    <row r="521">
      <c r="A521" s="52"/>
    </row>
    <row r="522">
      <c r="A522" s="52"/>
    </row>
    <row r="523">
      <c r="A523" s="52"/>
    </row>
    <row r="524">
      <c r="A524" s="52"/>
    </row>
    <row r="525">
      <c r="A525" s="52"/>
    </row>
    <row r="526">
      <c r="A526" s="52"/>
    </row>
    <row r="527">
      <c r="A527" s="52"/>
    </row>
    <row r="528">
      <c r="A528" s="52"/>
    </row>
    <row r="529">
      <c r="A529" s="52"/>
    </row>
    <row r="530">
      <c r="A530" s="52"/>
    </row>
    <row r="531">
      <c r="A531" s="52"/>
    </row>
    <row r="532">
      <c r="A532" s="52"/>
    </row>
    <row r="533">
      <c r="A533" s="52"/>
    </row>
    <row r="534">
      <c r="A534" s="52"/>
    </row>
    <row r="535">
      <c r="A535" s="52"/>
    </row>
    <row r="536">
      <c r="A536" s="52"/>
    </row>
    <row r="537">
      <c r="A537" s="52"/>
    </row>
    <row r="538">
      <c r="A538" s="52"/>
    </row>
    <row r="539">
      <c r="A539" s="52"/>
    </row>
    <row r="540">
      <c r="A540" s="52"/>
    </row>
    <row r="541">
      <c r="A541" s="52"/>
    </row>
    <row r="542">
      <c r="A542" s="52"/>
    </row>
    <row r="543">
      <c r="A543" s="52"/>
    </row>
    <row r="544">
      <c r="A544" s="52"/>
    </row>
    <row r="545">
      <c r="A545" s="52"/>
    </row>
    <row r="546">
      <c r="A546" s="52"/>
    </row>
    <row r="547">
      <c r="A547" s="52"/>
    </row>
    <row r="548">
      <c r="A548" s="52"/>
    </row>
    <row r="549">
      <c r="A549" s="52"/>
    </row>
    <row r="550">
      <c r="A550" s="52"/>
    </row>
    <row r="551">
      <c r="A551" s="52"/>
    </row>
    <row r="552">
      <c r="A552" s="52"/>
    </row>
    <row r="553">
      <c r="A553" s="52"/>
    </row>
    <row r="554">
      <c r="A554" s="52"/>
    </row>
    <row r="555">
      <c r="A555" s="52"/>
    </row>
    <row r="556">
      <c r="A556" s="52"/>
    </row>
    <row r="557">
      <c r="A557" s="52"/>
    </row>
    <row r="558">
      <c r="A558" s="52"/>
    </row>
    <row r="559">
      <c r="A559" s="52"/>
    </row>
    <row r="560">
      <c r="A560" s="52"/>
    </row>
    <row r="561">
      <c r="A561" s="52"/>
    </row>
    <row r="562">
      <c r="A562" s="52"/>
    </row>
    <row r="563">
      <c r="A563" s="52"/>
    </row>
    <row r="564">
      <c r="A564" s="52"/>
    </row>
    <row r="565">
      <c r="A565" s="52"/>
    </row>
    <row r="566">
      <c r="A566" s="52"/>
    </row>
    <row r="567">
      <c r="A567" s="52"/>
    </row>
    <row r="568">
      <c r="A568" s="52"/>
    </row>
    <row r="569">
      <c r="A569" s="52"/>
    </row>
    <row r="570">
      <c r="A570" s="52"/>
    </row>
    <row r="571">
      <c r="A571" s="52"/>
    </row>
    <row r="572">
      <c r="A572" s="52"/>
    </row>
    <row r="573">
      <c r="A573" s="52"/>
    </row>
    <row r="574">
      <c r="A574" s="52"/>
    </row>
    <row r="575">
      <c r="A575" s="52"/>
    </row>
    <row r="576">
      <c r="A576" s="52"/>
    </row>
    <row r="577">
      <c r="A577" s="52"/>
    </row>
    <row r="578">
      <c r="A578" s="52"/>
    </row>
    <row r="579">
      <c r="A579" s="52"/>
    </row>
    <row r="580">
      <c r="A580" s="52"/>
    </row>
    <row r="581">
      <c r="A581" s="52"/>
    </row>
    <row r="582">
      <c r="A582" s="52"/>
    </row>
    <row r="583">
      <c r="A583" s="52"/>
    </row>
    <row r="584">
      <c r="A584" s="52"/>
    </row>
    <row r="585">
      <c r="A585" s="52"/>
    </row>
    <row r="586">
      <c r="A586" s="52"/>
    </row>
    <row r="587">
      <c r="A587" s="52"/>
    </row>
    <row r="588">
      <c r="A588" s="52"/>
    </row>
    <row r="589">
      <c r="A589" s="52"/>
    </row>
    <row r="590">
      <c r="A590" s="52"/>
    </row>
    <row r="591">
      <c r="A591" s="52"/>
    </row>
    <row r="592">
      <c r="A592" s="52"/>
    </row>
    <row r="593">
      <c r="A593" s="52"/>
    </row>
    <row r="594">
      <c r="A594" s="52"/>
    </row>
    <row r="595">
      <c r="A595" s="52"/>
    </row>
    <row r="596">
      <c r="A596" s="52"/>
    </row>
    <row r="597">
      <c r="A597" s="52"/>
    </row>
    <row r="598">
      <c r="A598" s="52"/>
    </row>
    <row r="599">
      <c r="A599" s="52"/>
    </row>
    <row r="600">
      <c r="A600" s="52"/>
    </row>
    <row r="601">
      <c r="A601" s="52"/>
    </row>
    <row r="602">
      <c r="A602" s="52"/>
    </row>
    <row r="603">
      <c r="A603" s="52"/>
    </row>
    <row r="604">
      <c r="A604" s="52"/>
    </row>
    <row r="605">
      <c r="A605" s="52"/>
    </row>
    <row r="606">
      <c r="A606" s="52"/>
    </row>
    <row r="607">
      <c r="A607" s="52"/>
    </row>
    <row r="608">
      <c r="A608" s="52"/>
    </row>
    <row r="609">
      <c r="A609" s="52"/>
    </row>
    <row r="610">
      <c r="A610" s="52"/>
    </row>
    <row r="611">
      <c r="A611" s="52"/>
    </row>
    <row r="612">
      <c r="A612" s="52"/>
    </row>
    <row r="613">
      <c r="A613" s="52"/>
    </row>
    <row r="614">
      <c r="A614" s="52"/>
    </row>
    <row r="615">
      <c r="A615" s="52"/>
    </row>
    <row r="616">
      <c r="A616" s="52"/>
    </row>
    <row r="617">
      <c r="A617" s="52"/>
    </row>
    <row r="618">
      <c r="A618" s="52"/>
    </row>
    <row r="619">
      <c r="A619" s="52"/>
    </row>
    <row r="620">
      <c r="A620" s="52"/>
    </row>
    <row r="621">
      <c r="A621" s="52"/>
    </row>
    <row r="622">
      <c r="A622" s="52"/>
    </row>
    <row r="623">
      <c r="A623" s="52"/>
    </row>
    <row r="624">
      <c r="A624" s="52"/>
    </row>
    <row r="625">
      <c r="A625" s="52"/>
    </row>
    <row r="626">
      <c r="A626" s="52"/>
    </row>
    <row r="627">
      <c r="A627" s="52"/>
    </row>
    <row r="628">
      <c r="A628" s="52"/>
    </row>
    <row r="629">
      <c r="A629" s="52"/>
    </row>
    <row r="630">
      <c r="A630" s="52"/>
    </row>
    <row r="631">
      <c r="A631" s="52"/>
    </row>
    <row r="632">
      <c r="A632" s="52"/>
    </row>
    <row r="633">
      <c r="A633" s="52"/>
    </row>
    <row r="634">
      <c r="A634" s="52"/>
    </row>
    <row r="635">
      <c r="A635" s="52"/>
    </row>
    <row r="636">
      <c r="A636" s="52"/>
    </row>
    <row r="637">
      <c r="A637" s="52"/>
    </row>
    <row r="638">
      <c r="A638" s="52"/>
    </row>
    <row r="639">
      <c r="A639" s="52"/>
    </row>
    <row r="640">
      <c r="A640" s="52"/>
    </row>
    <row r="641">
      <c r="A641" s="52"/>
    </row>
    <row r="642">
      <c r="A642" s="52"/>
    </row>
    <row r="643">
      <c r="A643" s="52"/>
    </row>
    <row r="644">
      <c r="A644" s="52"/>
    </row>
    <row r="645">
      <c r="A645" s="52"/>
    </row>
    <row r="646">
      <c r="A646" s="52"/>
    </row>
    <row r="647">
      <c r="A647" s="52"/>
    </row>
    <row r="648">
      <c r="A648" s="52"/>
    </row>
    <row r="649">
      <c r="A649" s="52"/>
    </row>
    <row r="650">
      <c r="A650" s="52"/>
    </row>
    <row r="651">
      <c r="A651" s="52"/>
    </row>
    <row r="652">
      <c r="A652" s="52"/>
    </row>
    <row r="653">
      <c r="A653" s="52"/>
    </row>
    <row r="654">
      <c r="A654" s="52"/>
    </row>
    <row r="655">
      <c r="A655" s="52"/>
    </row>
    <row r="656">
      <c r="A656" s="52"/>
    </row>
    <row r="657">
      <c r="A657" s="52"/>
    </row>
    <row r="658">
      <c r="A658" s="52"/>
    </row>
    <row r="659">
      <c r="A659" s="52"/>
    </row>
    <row r="660">
      <c r="A660" s="52"/>
    </row>
    <row r="661">
      <c r="A661" s="52"/>
    </row>
    <row r="662">
      <c r="A662" s="52"/>
    </row>
    <row r="663">
      <c r="A663" s="52"/>
    </row>
    <row r="664">
      <c r="A664" s="52"/>
    </row>
    <row r="665">
      <c r="A665" s="52"/>
    </row>
    <row r="666">
      <c r="A666" s="52"/>
    </row>
    <row r="667">
      <c r="A667" s="52"/>
    </row>
    <row r="668">
      <c r="A668" s="52"/>
    </row>
    <row r="669">
      <c r="A669" s="52"/>
    </row>
    <row r="670">
      <c r="A670" s="52"/>
    </row>
    <row r="671">
      <c r="A671" s="52"/>
    </row>
    <row r="672">
      <c r="A672" s="52"/>
    </row>
    <row r="673">
      <c r="A673" s="52"/>
    </row>
    <row r="674">
      <c r="A674" s="52"/>
    </row>
    <row r="675">
      <c r="A675" s="52"/>
    </row>
    <row r="676">
      <c r="A676" s="52"/>
    </row>
    <row r="677">
      <c r="A677" s="52"/>
    </row>
    <row r="678">
      <c r="A678" s="52"/>
    </row>
    <row r="679">
      <c r="A679" s="52"/>
    </row>
    <row r="680">
      <c r="A680" s="52"/>
    </row>
    <row r="681">
      <c r="A681" s="52"/>
    </row>
    <row r="682">
      <c r="A682" s="52"/>
    </row>
    <row r="683">
      <c r="A683" s="52"/>
    </row>
    <row r="684">
      <c r="A684" s="52"/>
    </row>
    <row r="685">
      <c r="A685" s="52"/>
    </row>
    <row r="686">
      <c r="A686" s="52"/>
    </row>
    <row r="687">
      <c r="A687" s="52"/>
    </row>
    <row r="688">
      <c r="A688" s="52"/>
    </row>
    <row r="689">
      <c r="A689" s="52"/>
    </row>
    <row r="690">
      <c r="A690" s="52"/>
    </row>
    <row r="691">
      <c r="A691" s="52"/>
    </row>
    <row r="692">
      <c r="A692" s="52"/>
    </row>
    <row r="693">
      <c r="A693" s="52"/>
    </row>
    <row r="694">
      <c r="A694" s="52"/>
    </row>
    <row r="695">
      <c r="A695" s="52"/>
    </row>
    <row r="696">
      <c r="A696" s="52"/>
    </row>
    <row r="697">
      <c r="A697" s="52"/>
    </row>
    <row r="698">
      <c r="A698" s="52"/>
    </row>
    <row r="699">
      <c r="A699" s="52"/>
    </row>
    <row r="700">
      <c r="A700" s="52"/>
    </row>
    <row r="701">
      <c r="A701" s="52"/>
    </row>
    <row r="702">
      <c r="A702" s="52"/>
    </row>
    <row r="703">
      <c r="A703" s="52"/>
    </row>
    <row r="704">
      <c r="A704" s="52"/>
    </row>
    <row r="705">
      <c r="A705" s="52"/>
    </row>
    <row r="706">
      <c r="A706" s="52"/>
    </row>
    <row r="707">
      <c r="A707" s="52"/>
    </row>
    <row r="708">
      <c r="A708" s="52"/>
    </row>
    <row r="709">
      <c r="A709" s="52"/>
    </row>
    <row r="710">
      <c r="A710" s="52"/>
    </row>
    <row r="711">
      <c r="A711" s="52"/>
    </row>
    <row r="712">
      <c r="A712" s="52"/>
    </row>
    <row r="713">
      <c r="A713" s="52"/>
    </row>
    <row r="714">
      <c r="A714" s="52"/>
    </row>
    <row r="715">
      <c r="A715" s="52"/>
    </row>
    <row r="716">
      <c r="A716" s="52"/>
    </row>
    <row r="717">
      <c r="A717" s="52"/>
    </row>
    <row r="718">
      <c r="A718" s="52"/>
    </row>
    <row r="719">
      <c r="A719" s="52"/>
    </row>
    <row r="720">
      <c r="A720" s="52"/>
    </row>
    <row r="721">
      <c r="A721" s="52"/>
    </row>
    <row r="722">
      <c r="A722" s="52"/>
    </row>
    <row r="723">
      <c r="A723" s="52"/>
    </row>
    <row r="724">
      <c r="A724" s="52"/>
    </row>
    <row r="725">
      <c r="A725" s="52"/>
    </row>
    <row r="726">
      <c r="A726" s="52"/>
    </row>
    <row r="727">
      <c r="A727" s="52"/>
    </row>
    <row r="728">
      <c r="A728" s="52"/>
    </row>
    <row r="729">
      <c r="A729" s="52"/>
    </row>
    <row r="730">
      <c r="A730" s="52"/>
    </row>
    <row r="731">
      <c r="A731" s="52"/>
    </row>
    <row r="732">
      <c r="A732" s="52"/>
    </row>
    <row r="733">
      <c r="A733" s="52"/>
    </row>
    <row r="734">
      <c r="A734" s="52"/>
    </row>
    <row r="735">
      <c r="A735" s="52"/>
    </row>
    <row r="736">
      <c r="A736" s="52"/>
    </row>
    <row r="737">
      <c r="A737" s="52"/>
    </row>
    <row r="738">
      <c r="A738" s="52"/>
    </row>
    <row r="739">
      <c r="A739" s="52"/>
    </row>
    <row r="740">
      <c r="A740" s="52"/>
    </row>
    <row r="741">
      <c r="A741" s="52"/>
    </row>
    <row r="742">
      <c r="A742" s="52"/>
    </row>
    <row r="743">
      <c r="A743" s="52"/>
    </row>
    <row r="744">
      <c r="A744" s="52"/>
    </row>
    <row r="745">
      <c r="A745" s="52"/>
    </row>
    <row r="746">
      <c r="A746" s="52"/>
    </row>
    <row r="747">
      <c r="A747" s="52"/>
    </row>
    <row r="748">
      <c r="A748" s="52"/>
    </row>
    <row r="749">
      <c r="A749" s="52"/>
    </row>
    <row r="750">
      <c r="A750" s="52"/>
    </row>
    <row r="751">
      <c r="A751" s="52"/>
    </row>
    <row r="752">
      <c r="A752" s="52"/>
    </row>
    <row r="753">
      <c r="A753" s="52"/>
    </row>
    <row r="754">
      <c r="A754" s="52"/>
    </row>
    <row r="755">
      <c r="A755" s="52"/>
    </row>
    <row r="756">
      <c r="A756" s="52"/>
    </row>
    <row r="757">
      <c r="A757" s="52"/>
    </row>
    <row r="758">
      <c r="A758" s="52"/>
    </row>
    <row r="759">
      <c r="A759" s="52"/>
    </row>
    <row r="760">
      <c r="A760" s="52"/>
    </row>
    <row r="761">
      <c r="A761" s="52"/>
    </row>
    <row r="762">
      <c r="A762" s="52"/>
    </row>
    <row r="763">
      <c r="A763" s="52"/>
    </row>
    <row r="764">
      <c r="A764" s="52"/>
    </row>
    <row r="765">
      <c r="A765" s="52"/>
    </row>
    <row r="766">
      <c r="A766" s="52"/>
    </row>
    <row r="767">
      <c r="A767" s="52"/>
    </row>
    <row r="768">
      <c r="A768" s="52"/>
    </row>
    <row r="769">
      <c r="A769" s="52"/>
    </row>
    <row r="770">
      <c r="A770" s="52"/>
    </row>
    <row r="771">
      <c r="A771" s="52"/>
    </row>
    <row r="772">
      <c r="A772" s="52"/>
    </row>
    <row r="773">
      <c r="A773" s="52"/>
    </row>
    <row r="774">
      <c r="A774" s="52"/>
    </row>
    <row r="775">
      <c r="A775" s="52"/>
    </row>
    <row r="776">
      <c r="A776" s="52"/>
    </row>
    <row r="777">
      <c r="A777" s="52"/>
    </row>
    <row r="778">
      <c r="A778" s="52"/>
    </row>
    <row r="779">
      <c r="A779" s="52"/>
    </row>
    <row r="780">
      <c r="A780" s="52"/>
    </row>
    <row r="781">
      <c r="A781" s="52"/>
    </row>
    <row r="782">
      <c r="A782" s="52"/>
    </row>
    <row r="783">
      <c r="A783" s="52"/>
    </row>
    <row r="784">
      <c r="A784" s="52"/>
    </row>
    <row r="785">
      <c r="A785" s="52"/>
    </row>
    <row r="786">
      <c r="A786" s="52"/>
    </row>
    <row r="787">
      <c r="A787" s="52"/>
    </row>
    <row r="788">
      <c r="A788" s="52"/>
    </row>
    <row r="789">
      <c r="A789" s="52"/>
    </row>
    <row r="790">
      <c r="A790" s="52"/>
    </row>
    <row r="791">
      <c r="A791" s="52"/>
    </row>
    <row r="792">
      <c r="A792" s="52"/>
    </row>
    <row r="793">
      <c r="A793" s="52"/>
    </row>
    <row r="794">
      <c r="A794" s="52"/>
    </row>
    <row r="795">
      <c r="A795" s="52"/>
    </row>
    <row r="796">
      <c r="A796" s="52"/>
    </row>
    <row r="797">
      <c r="A797" s="52"/>
    </row>
    <row r="798">
      <c r="A798" s="52"/>
    </row>
    <row r="799">
      <c r="A799" s="52"/>
    </row>
    <row r="800">
      <c r="A800" s="52"/>
    </row>
    <row r="801">
      <c r="A801" s="52"/>
    </row>
    <row r="802">
      <c r="A802" s="52"/>
    </row>
    <row r="803">
      <c r="A803" s="52"/>
    </row>
    <row r="804">
      <c r="A804" s="52"/>
    </row>
    <row r="805">
      <c r="A805" s="52"/>
    </row>
    <row r="806">
      <c r="A806" s="52"/>
    </row>
    <row r="807">
      <c r="A807" s="52"/>
    </row>
    <row r="808">
      <c r="A808" s="52"/>
    </row>
    <row r="809">
      <c r="A809" s="52"/>
    </row>
    <row r="810">
      <c r="A810" s="52"/>
    </row>
    <row r="811">
      <c r="A811" s="52"/>
    </row>
    <row r="812">
      <c r="A812" s="52"/>
    </row>
    <row r="813">
      <c r="A813" s="52"/>
    </row>
    <row r="814">
      <c r="A814" s="52"/>
    </row>
    <row r="815">
      <c r="A815" s="52"/>
    </row>
    <row r="816">
      <c r="A816" s="52"/>
    </row>
    <row r="817">
      <c r="A817" s="52"/>
    </row>
    <row r="818">
      <c r="A818" s="52"/>
    </row>
    <row r="819">
      <c r="A819" s="52"/>
    </row>
    <row r="820">
      <c r="A820" s="52"/>
    </row>
    <row r="821">
      <c r="A821" s="52"/>
    </row>
    <row r="822">
      <c r="A822" s="52"/>
    </row>
    <row r="823">
      <c r="A823" s="52"/>
    </row>
    <row r="824">
      <c r="A824" s="52"/>
    </row>
    <row r="825">
      <c r="A825" s="52"/>
    </row>
    <row r="826">
      <c r="A826" s="52"/>
    </row>
    <row r="827">
      <c r="A827" s="52"/>
    </row>
    <row r="828">
      <c r="A828" s="52"/>
    </row>
    <row r="829">
      <c r="A829" s="52"/>
    </row>
    <row r="830">
      <c r="A830" s="52"/>
    </row>
    <row r="831">
      <c r="A831" s="52"/>
    </row>
    <row r="832">
      <c r="A832" s="52"/>
    </row>
    <row r="833">
      <c r="A833" s="52"/>
    </row>
    <row r="834">
      <c r="A834" s="52"/>
    </row>
    <row r="835">
      <c r="A835" s="52"/>
    </row>
    <row r="836">
      <c r="A836" s="52"/>
    </row>
    <row r="837">
      <c r="A837" s="52"/>
    </row>
    <row r="838">
      <c r="A838" s="52"/>
    </row>
    <row r="839">
      <c r="A839" s="52"/>
    </row>
    <row r="840">
      <c r="A840" s="52"/>
    </row>
    <row r="841">
      <c r="A841" s="52"/>
    </row>
    <row r="842">
      <c r="A842" s="52"/>
    </row>
    <row r="843">
      <c r="A843" s="52"/>
    </row>
    <row r="844">
      <c r="A844" s="52"/>
    </row>
    <row r="845">
      <c r="A845" s="52"/>
    </row>
    <row r="846">
      <c r="A846" s="52"/>
    </row>
    <row r="847">
      <c r="A847" s="52"/>
    </row>
    <row r="848">
      <c r="A848" s="52"/>
    </row>
    <row r="849">
      <c r="A849" s="52"/>
    </row>
    <row r="850">
      <c r="A850" s="52"/>
    </row>
    <row r="851">
      <c r="A851" s="52"/>
    </row>
    <row r="852">
      <c r="A852" s="52"/>
    </row>
    <row r="853">
      <c r="A853" s="52"/>
    </row>
    <row r="854">
      <c r="A854" s="52"/>
    </row>
    <row r="855">
      <c r="A855" s="52"/>
    </row>
    <row r="856">
      <c r="A856" s="52"/>
    </row>
    <row r="857">
      <c r="A857" s="52"/>
    </row>
    <row r="858">
      <c r="A858" s="52"/>
    </row>
    <row r="859">
      <c r="A859" s="52"/>
    </row>
    <row r="860">
      <c r="A860" s="52"/>
    </row>
    <row r="861">
      <c r="A861" s="52"/>
    </row>
    <row r="862">
      <c r="A862" s="52"/>
    </row>
    <row r="863">
      <c r="A863" s="52"/>
    </row>
    <row r="864">
      <c r="A864" s="52"/>
    </row>
    <row r="865">
      <c r="A865" s="52"/>
    </row>
    <row r="866">
      <c r="A866" s="52"/>
    </row>
    <row r="867">
      <c r="A867" s="52"/>
    </row>
    <row r="868">
      <c r="A868" s="52"/>
    </row>
    <row r="869">
      <c r="A869" s="52"/>
    </row>
    <row r="870">
      <c r="A870" s="52"/>
    </row>
    <row r="871">
      <c r="A871" s="52"/>
    </row>
    <row r="872">
      <c r="A872" s="52"/>
    </row>
    <row r="873">
      <c r="A873" s="52"/>
    </row>
    <row r="874">
      <c r="A874" s="52"/>
    </row>
    <row r="875">
      <c r="A875" s="52"/>
    </row>
    <row r="876">
      <c r="A876" s="52"/>
    </row>
    <row r="877">
      <c r="A877" s="52"/>
    </row>
    <row r="878">
      <c r="A878" s="52"/>
    </row>
    <row r="879">
      <c r="A879" s="52"/>
    </row>
    <row r="880">
      <c r="A880" s="52"/>
    </row>
    <row r="881">
      <c r="A881" s="52"/>
    </row>
    <row r="882">
      <c r="A882" s="52"/>
    </row>
    <row r="883">
      <c r="A883" s="52"/>
    </row>
    <row r="884">
      <c r="A884" s="52"/>
    </row>
    <row r="885">
      <c r="A885" s="52"/>
    </row>
    <row r="886">
      <c r="A886" s="52"/>
    </row>
    <row r="887">
      <c r="A887" s="52"/>
    </row>
    <row r="888">
      <c r="A888" s="52"/>
    </row>
    <row r="889">
      <c r="A889" s="52"/>
    </row>
    <row r="890">
      <c r="A890" s="52"/>
    </row>
    <row r="891">
      <c r="A891" s="52"/>
    </row>
    <row r="892">
      <c r="A892" s="52"/>
    </row>
    <row r="893">
      <c r="A893" s="52"/>
    </row>
    <row r="894">
      <c r="A894" s="52"/>
    </row>
    <row r="895">
      <c r="A895" s="52"/>
    </row>
    <row r="896">
      <c r="A896" s="52"/>
    </row>
    <row r="897">
      <c r="A897" s="52"/>
    </row>
    <row r="898">
      <c r="A898" s="52"/>
    </row>
    <row r="899">
      <c r="A899" s="52"/>
    </row>
    <row r="900">
      <c r="A900" s="52"/>
    </row>
    <row r="901">
      <c r="A901" s="52"/>
    </row>
    <row r="902">
      <c r="A902" s="52"/>
    </row>
    <row r="903">
      <c r="A903" s="52"/>
    </row>
    <row r="904">
      <c r="A904" s="52"/>
    </row>
    <row r="905">
      <c r="A905" s="52"/>
    </row>
    <row r="906">
      <c r="A906" s="52"/>
    </row>
    <row r="907">
      <c r="A907" s="52"/>
    </row>
    <row r="908">
      <c r="A908" s="52"/>
    </row>
    <row r="909">
      <c r="A909" s="52"/>
    </row>
    <row r="910">
      <c r="A910" s="52"/>
    </row>
    <row r="911">
      <c r="A911" s="52"/>
    </row>
    <row r="912">
      <c r="A912" s="52"/>
    </row>
    <row r="913">
      <c r="A913" s="52"/>
    </row>
    <row r="914">
      <c r="A914" s="52"/>
    </row>
    <row r="915">
      <c r="A915" s="52"/>
    </row>
    <row r="916">
      <c r="A916" s="52"/>
    </row>
    <row r="917">
      <c r="A917" s="52"/>
    </row>
    <row r="918">
      <c r="A918" s="52"/>
    </row>
    <row r="919">
      <c r="A919" s="52"/>
    </row>
    <row r="920">
      <c r="A920" s="52"/>
    </row>
    <row r="921">
      <c r="A921" s="52"/>
    </row>
    <row r="922">
      <c r="A922" s="52"/>
    </row>
    <row r="923">
      <c r="A923" s="52"/>
    </row>
    <row r="924">
      <c r="A924" s="52"/>
    </row>
    <row r="925">
      <c r="A925" s="52"/>
    </row>
    <row r="926">
      <c r="A926" s="52"/>
    </row>
    <row r="927">
      <c r="A927" s="52"/>
    </row>
    <row r="928">
      <c r="A928" s="52"/>
    </row>
    <row r="929">
      <c r="A929" s="52"/>
    </row>
    <row r="930">
      <c r="A930" s="52"/>
    </row>
    <row r="931">
      <c r="A931" s="52"/>
    </row>
    <row r="932">
      <c r="A932" s="52"/>
    </row>
    <row r="933">
      <c r="A933" s="52"/>
    </row>
    <row r="934">
      <c r="A934" s="52"/>
    </row>
    <row r="935">
      <c r="A935" s="52"/>
    </row>
    <row r="936">
      <c r="A936" s="52"/>
    </row>
    <row r="937">
      <c r="A937" s="52"/>
    </row>
    <row r="938">
      <c r="A938" s="52"/>
    </row>
    <row r="939">
      <c r="A939" s="52"/>
    </row>
    <row r="940">
      <c r="A940" s="52"/>
    </row>
    <row r="941">
      <c r="A941" s="52"/>
    </row>
    <row r="942">
      <c r="A942" s="52"/>
    </row>
    <row r="943">
      <c r="A943" s="52"/>
    </row>
    <row r="944">
      <c r="A944" s="52"/>
    </row>
    <row r="945">
      <c r="A945" s="52"/>
    </row>
    <row r="946">
      <c r="A946" s="52"/>
    </row>
    <row r="947">
      <c r="A947" s="52"/>
    </row>
    <row r="948">
      <c r="A948" s="52"/>
    </row>
    <row r="949">
      <c r="A949" s="52"/>
    </row>
    <row r="950">
      <c r="A950" s="52"/>
    </row>
    <row r="951">
      <c r="A951" s="52"/>
    </row>
    <row r="952">
      <c r="A952" s="52"/>
    </row>
    <row r="953">
      <c r="A953" s="52"/>
    </row>
    <row r="954">
      <c r="A954" s="52"/>
    </row>
    <row r="955">
      <c r="A955" s="52"/>
    </row>
    <row r="956">
      <c r="A956" s="52"/>
    </row>
    <row r="957">
      <c r="A957" s="52"/>
    </row>
    <row r="958">
      <c r="A958" s="52"/>
    </row>
    <row r="959">
      <c r="A959" s="52"/>
    </row>
    <row r="960">
      <c r="A960" s="52"/>
    </row>
    <row r="961">
      <c r="A961" s="52"/>
    </row>
    <row r="962">
      <c r="A962" s="52"/>
    </row>
    <row r="963">
      <c r="A963" s="52"/>
    </row>
    <row r="964">
      <c r="A964" s="52"/>
    </row>
    <row r="965">
      <c r="A965" s="52"/>
    </row>
    <row r="966">
      <c r="A966" s="52"/>
    </row>
    <row r="967">
      <c r="A967" s="52"/>
    </row>
    <row r="968">
      <c r="A968" s="52"/>
    </row>
    <row r="969">
      <c r="A969" s="52"/>
    </row>
    <row r="970">
      <c r="A970" s="52"/>
    </row>
    <row r="971">
      <c r="A971" s="52"/>
    </row>
    <row r="972">
      <c r="A972" s="52"/>
    </row>
    <row r="973">
      <c r="A973" s="52"/>
    </row>
    <row r="974">
      <c r="A974" s="52"/>
    </row>
    <row r="975">
      <c r="A975" s="52"/>
    </row>
    <row r="976">
      <c r="A976" s="52"/>
    </row>
    <row r="977">
      <c r="A977" s="52"/>
    </row>
    <row r="978">
      <c r="A978" s="52"/>
    </row>
    <row r="979">
      <c r="A979" s="52"/>
    </row>
    <row r="980">
      <c r="A980" s="52"/>
    </row>
    <row r="981">
      <c r="A981" s="52"/>
    </row>
    <row r="982">
      <c r="A982" s="52"/>
    </row>
    <row r="983">
      <c r="A983" s="52"/>
    </row>
    <row r="984">
      <c r="A984" s="52"/>
    </row>
    <row r="985">
      <c r="A985" s="52"/>
    </row>
    <row r="986">
      <c r="A986" s="52"/>
    </row>
    <row r="987">
      <c r="A987" s="52"/>
    </row>
    <row r="988">
      <c r="A988" s="52"/>
    </row>
    <row r="989">
      <c r="A989" s="52"/>
    </row>
    <row r="990">
      <c r="A990" s="52"/>
    </row>
    <row r="991">
      <c r="A991" s="52"/>
    </row>
    <row r="992">
      <c r="A992" s="52"/>
    </row>
    <row r="993">
      <c r="A993" s="52"/>
    </row>
    <row r="994">
      <c r="A994" s="52"/>
    </row>
    <row r="995">
      <c r="A995" s="52"/>
    </row>
    <row r="996">
      <c r="A996" s="52"/>
    </row>
    <row r="997">
      <c r="A997" s="52"/>
    </row>
    <row r="998">
      <c r="A998" s="52"/>
    </row>
    <row r="999">
      <c r="A999" s="52"/>
    </row>
    <row r="1000">
      <c r="A1000" s="52"/>
    </row>
    <row r="1001">
      <c r="A1001" s="52"/>
    </row>
    <row r="1002">
      <c r="A1002" s="52"/>
    </row>
    <row r="1003">
      <c r="A1003" s="52"/>
    </row>
    <row r="1004">
      <c r="A1004" s="52"/>
    </row>
    <row r="1005">
      <c r="A1005" s="52"/>
    </row>
  </sheetData>
  <autoFilter ref="$A$1:$E$118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1" t="s">
        <v>3088</v>
      </c>
      <c r="B1" s="51"/>
      <c r="C1" s="51" t="s">
        <v>3070</v>
      </c>
      <c r="D1" s="51" t="s">
        <v>3291</v>
      </c>
      <c r="E1" s="51" t="s">
        <v>3292</v>
      </c>
      <c r="F1" s="51" t="s">
        <v>3293</v>
      </c>
      <c r="G1" s="51" t="s">
        <v>3294</v>
      </c>
    </row>
    <row r="2">
      <c r="A2" s="53">
        <f>IFERROR(__xludf.DUMMYFUNCTION("FILTER(Words!A:B,Words!C:C=""Noun"")"),1.0)</f>
        <v>1</v>
      </c>
      <c r="B2" s="55">
        <f>IFERROR(__xludf.DUMMYFUNCTION("""COMPUTED_VALUE"""),0.0)</f>
        <v>0</v>
      </c>
      <c r="C2" s="9" t="s">
        <v>3072</v>
      </c>
      <c r="D2" s="54" t="s">
        <v>3295</v>
      </c>
      <c r="E2" s="54" t="s">
        <v>3296</v>
      </c>
      <c r="F2" s="54" t="s">
        <v>50</v>
      </c>
      <c r="G2" s="54" t="s">
        <v>50</v>
      </c>
    </row>
    <row r="3">
      <c r="A3" s="53">
        <f>IFERROR(__xludf.DUMMYFUNCTION("""COMPUTED_VALUE"""),2.0)</f>
        <v>2</v>
      </c>
      <c r="B3" s="55">
        <f>IFERROR(__xludf.DUMMYFUNCTION("""COMPUTED_VALUE"""),0.041666666666666664)</f>
        <v>0.04166666667</v>
      </c>
      <c r="C3" s="9" t="s">
        <v>3072</v>
      </c>
      <c r="D3" s="54" t="s">
        <v>3297</v>
      </c>
      <c r="E3" s="54" t="s">
        <v>3298</v>
      </c>
      <c r="F3" s="54" t="s">
        <v>3299</v>
      </c>
      <c r="G3" s="54" t="s">
        <v>3300</v>
      </c>
    </row>
    <row r="4">
      <c r="A4" s="53">
        <f>IFERROR(__xludf.DUMMYFUNCTION("""COMPUTED_VALUE"""),3.0)</f>
        <v>3</v>
      </c>
      <c r="B4" s="55">
        <f>IFERROR(__xludf.DUMMYFUNCTION("""COMPUTED_VALUE"""),0.08333333333333333)</f>
        <v>0.08333333333</v>
      </c>
      <c r="C4" s="9" t="s">
        <v>3072</v>
      </c>
      <c r="D4" s="54" t="s">
        <v>3301</v>
      </c>
      <c r="E4" s="54" t="s">
        <v>3302</v>
      </c>
      <c r="F4" s="54" t="s">
        <v>3303</v>
      </c>
      <c r="G4" s="54" t="s">
        <v>3304</v>
      </c>
    </row>
    <row r="5">
      <c r="A5" s="53">
        <f>IFERROR(__xludf.DUMMYFUNCTION("""COMPUTED_VALUE"""),4.0)</f>
        <v>4</v>
      </c>
      <c r="B5" s="55">
        <f>IFERROR(__xludf.DUMMYFUNCTION("""COMPUTED_VALUE"""),0.125)</f>
        <v>0.125</v>
      </c>
      <c r="C5" s="9" t="s">
        <v>3072</v>
      </c>
      <c r="D5" s="54" t="s">
        <v>3305</v>
      </c>
      <c r="E5" s="54" t="s">
        <v>3306</v>
      </c>
      <c r="F5" s="54" t="s">
        <v>3307</v>
      </c>
      <c r="G5" s="54" t="s">
        <v>3308</v>
      </c>
    </row>
    <row r="6">
      <c r="A6" s="53">
        <f>IFERROR(__xludf.DUMMYFUNCTION("""COMPUTED_VALUE"""),5.0)</f>
        <v>5</v>
      </c>
      <c r="B6" s="55">
        <f>IFERROR(__xludf.DUMMYFUNCTION("""COMPUTED_VALUE"""),0.16666666666666666)</f>
        <v>0.1666666667</v>
      </c>
      <c r="C6" s="9" t="s">
        <v>3072</v>
      </c>
      <c r="D6" s="54" t="s">
        <v>3309</v>
      </c>
      <c r="E6" s="54" t="s">
        <v>3310</v>
      </c>
      <c r="F6" s="54" t="s">
        <v>3303</v>
      </c>
      <c r="G6" s="54" t="s">
        <v>3304</v>
      </c>
    </row>
    <row r="7">
      <c r="A7" s="53">
        <f>IFERROR(__xludf.DUMMYFUNCTION("""COMPUTED_VALUE"""),6.0)</f>
        <v>6</v>
      </c>
      <c r="B7" s="55">
        <f>IFERROR(__xludf.DUMMYFUNCTION("""COMPUTED_VALUE"""),0.20833333333333334)</f>
        <v>0.2083333333</v>
      </c>
      <c r="C7" s="9" t="s">
        <v>3072</v>
      </c>
      <c r="D7" s="54" t="s">
        <v>3311</v>
      </c>
      <c r="E7" s="54" t="s">
        <v>3312</v>
      </c>
      <c r="F7" s="54" t="s">
        <v>3313</v>
      </c>
      <c r="G7" s="54" t="s">
        <v>3314</v>
      </c>
    </row>
    <row r="8">
      <c r="A8" s="53">
        <f>IFERROR(__xludf.DUMMYFUNCTION("""COMPUTED_VALUE"""),7.0)</f>
        <v>7</v>
      </c>
      <c r="B8" s="55">
        <f>IFERROR(__xludf.DUMMYFUNCTION("""COMPUTED_VALUE"""),0.25)</f>
        <v>0.25</v>
      </c>
      <c r="C8" s="9" t="s">
        <v>3072</v>
      </c>
      <c r="D8" s="54" t="s">
        <v>3315</v>
      </c>
      <c r="E8" s="54" t="s">
        <v>3316</v>
      </c>
      <c r="F8" s="54" t="s">
        <v>3317</v>
      </c>
      <c r="G8" s="54" t="s">
        <v>3318</v>
      </c>
    </row>
    <row r="9">
      <c r="A9" s="53">
        <f>IFERROR(__xludf.DUMMYFUNCTION("""COMPUTED_VALUE"""),8.0)</f>
        <v>8</v>
      </c>
      <c r="B9" s="55">
        <f>IFERROR(__xludf.DUMMYFUNCTION("""COMPUTED_VALUE"""),0.2916666666666667)</f>
        <v>0.2916666667</v>
      </c>
      <c r="C9" s="9" t="s">
        <v>3072</v>
      </c>
      <c r="D9" s="54" t="s">
        <v>3319</v>
      </c>
      <c r="E9" s="54" t="s">
        <v>3320</v>
      </c>
      <c r="F9" s="54" t="s">
        <v>3321</v>
      </c>
      <c r="G9" s="54" t="s">
        <v>3322</v>
      </c>
    </row>
    <row r="10">
      <c r="A10" s="53">
        <f>IFERROR(__xludf.DUMMYFUNCTION("""COMPUTED_VALUE"""),9.0)</f>
        <v>9</v>
      </c>
      <c r="B10" s="55">
        <f>IFERROR(__xludf.DUMMYFUNCTION("""COMPUTED_VALUE"""),0.3333333333333333)</f>
        <v>0.3333333333</v>
      </c>
      <c r="C10" s="9" t="s">
        <v>3072</v>
      </c>
      <c r="D10" s="54" t="s">
        <v>3323</v>
      </c>
      <c r="E10" s="54" t="s">
        <v>3324</v>
      </c>
      <c r="F10" s="54" t="s">
        <v>3325</v>
      </c>
      <c r="G10" s="54" t="s">
        <v>3326</v>
      </c>
    </row>
    <row r="11">
      <c r="A11" s="53">
        <f>IFERROR(__xludf.DUMMYFUNCTION("""COMPUTED_VALUE"""),10.0)</f>
        <v>10</v>
      </c>
      <c r="B11" s="55">
        <f>IFERROR(__xludf.DUMMYFUNCTION("""COMPUTED_VALUE"""),0.375)</f>
        <v>0.375</v>
      </c>
      <c r="C11" s="9" t="s">
        <v>3072</v>
      </c>
      <c r="D11" s="54" t="s">
        <v>3327</v>
      </c>
      <c r="E11" s="54" t="s">
        <v>3328</v>
      </c>
      <c r="F11" s="54" t="s">
        <v>50</v>
      </c>
      <c r="G11" s="54" t="s">
        <v>50</v>
      </c>
    </row>
    <row r="12">
      <c r="A12" s="53">
        <f>IFERROR(__xludf.DUMMYFUNCTION("""COMPUTED_VALUE"""),11.0)</f>
        <v>11</v>
      </c>
      <c r="B12" s="55">
        <f>IFERROR(__xludf.DUMMYFUNCTION("""COMPUTED_VALUE"""),0.4166666666666667)</f>
        <v>0.4166666667</v>
      </c>
      <c r="C12" s="9" t="s">
        <v>3072</v>
      </c>
      <c r="D12" s="54" t="s">
        <v>3329</v>
      </c>
      <c r="E12" s="54" t="s">
        <v>3330</v>
      </c>
      <c r="F12" s="54" t="s">
        <v>50</v>
      </c>
      <c r="G12" s="54" t="s">
        <v>50</v>
      </c>
    </row>
    <row r="13">
      <c r="A13" s="53">
        <f>IFERROR(__xludf.DUMMYFUNCTION("""COMPUTED_VALUE"""),12.0)</f>
        <v>12</v>
      </c>
      <c r="B13" s="55">
        <f>IFERROR(__xludf.DUMMYFUNCTION("""COMPUTED_VALUE"""),0.4583333333333333)</f>
        <v>0.4583333333</v>
      </c>
      <c r="C13" s="9" t="s">
        <v>3072</v>
      </c>
      <c r="D13" s="54" t="s">
        <v>3331</v>
      </c>
      <c r="E13" s="54" t="s">
        <v>3332</v>
      </c>
      <c r="F13" s="54" t="s">
        <v>3325</v>
      </c>
      <c r="G13" s="54" t="s">
        <v>3326</v>
      </c>
    </row>
    <row r="14">
      <c r="A14" s="53">
        <f>IFERROR(__xludf.DUMMYFUNCTION("""COMPUTED_VALUE"""),13.0)</f>
        <v>13</v>
      </c>
      <c r="B14" s="55">
        <f>IFERROR(__xludf.DUMMYFUNCTION("""COMPUTED_VALUE"""),0.5)</f>
        <v>0.5</v>
      </c>
      <c r="C14" s="9" t="s">
        <v>3072</v>
      </c>
      <c r="D14" s="54" t="s">
        <v>3333</v>
      </c>
      <c r="E14" s="54" t="s">
        <v>3334</v>
      </c>
      <c r="F14" s="54" t="s">
        <v>3335</v>
      </c>
      <c r="G14" s="54" t="s">
        <v>3326</v>
      </c>
    </row>
    <row r="15">
      <c r="A15" s="53">
        <f>IFERROR(__xludf.DUMMYFUNCTION("""COMPUTED_VALUE"""),14.0)</f>
        <v>14</v>
      </c>
      <c r="B15" s="55">
        <f>IFERROR(__xludf.DUMMYFUNCTION("""COMPUTED_VALUE"""),0.5416666666666666)</f>
        <v>0.5416666667</v>
      </c>
      <c r="C15" s="9" t="s">
        <v>3072</v>
      </c>
      <c r="D15" s="54" t="s">
        <v>3336</v>
      </c>
      <c r="E15" s="54" t="s">
        <v>3337</v>
      </c>
      <c r="F15" s="54" t="s">
        <v>50</v>
      </c>
      <c r="G15" s="54" t="s">
        <v>50</v>
      </c>
    </row>
    <row r="16">
      <c r="A16" s="53">
        <f>IFERROR(__xludf.DUMMYFUNCTION("""COMPUTED_VALUE"""),15.0)</f>
        <v>15</v>
      </c>
      <c r="B16" s="55">
        <f>IFERROR(__xludf.DUMMYFUNCTION("""COMPUTED_VALUE"""),0.5833333333333334)</f>
        <v>0.5833333333</v>
      </c>
      <c r="C16" s="9" t="s">
        <v>3072</v>
      </c>
      <c r="D16" s="54" t="s">
        <v>3338</v>
      </c>
      <c r="E16" s="54" t="s">
        <v>3339</v>
      </c>
      <c r="F16" s="54" t="s">
        <v>3313</v>
      </c>
      <c r="G16" s="54" t="s">
        <v>3314</v>
      </c>
    </row>
    <row r="17">
      <c r="A17" s="53">
        <f>IFERROR(__xludf.DUMMYFUNCTION("""COMPUTED_VALUE"""),16.0)</f>
        <v>16</v>
      </c>
      <c r="B17" s="55">
        <f>IFERROR(__xludf.DUMMYFUNCTION("""COMPUTED_VALUE"""),0.625)</f>
        <v>0.625</v>
      </c>
      <c r="C17" s="9" t="s">
        <v>3072</v>
      </c>
      <c r="D17" s="54" t="s">
        <v>3340</v>
      </c>
      <c r="E17" s="54" t="s">
        <v>3341</v>
      </c>
      <c r="F17" s="54" t="s">
        <v>3303</v>
      </c>
      <c r="G17" s="54" t="s">
        <v>50</v>
      </c>
    </row>
    <row r="18">
      <c r="A18" s="53">
        <f>IFERROR(__xludf.DUMMYFUNCTION("""COMPUTED_VALUE"""),17.0)</f>
        <v>17</v>
      </c>
      <c r="B18" s="55">
        <f>IFERROR(__xludf.DUMMYFUNCTION("""COMPUTED_VALUE"""),0.6666666666666666)</f>
        <v>0.6666666667</v>
      </c>
      <c r="C18" s="9" t="s">
        <v>3072</v>
      </c>
      <c r="D18" s="54" t="s">
        <v>3342</v>
      </c>
      <c r="E18" s="54" t="s">
        <v>3343</v>
      </c>
      <c r="F18" s="54" t="s">
        <v>3344</v>
      </c>
      <c r="G18" s="54" t="s">
        <v>3294</v>
      </c>
    </row>
    <row r="19">
      <c r="A19" s="53">
        <f>IFERROR(__xludf.DUMMYFUNCTION("""COMPUTED_VALUE"""),18.0)</f>
        <v>18</v>
      </c>
      <c r="B19" s="55">
        <f>IFERROR(__xludf.DUMMYFUNCTION("""COMPUTED_VALUE"""),0.7083333333333334)</f>
        <v>0.7083333333</v>
      </c>
      <c r="C19" s="9" t="s">
        <v>3072</v>
      </c>
      <c r="D19" s="54" t="s">
        <v>3345</v>
      </c>
      <c r="E19" s="54" t="s">
        <v>3346</v>
      </c>
      <c r="F19" s="54" t="s">
        <v>3344</v>
      </c>
      <c r="G19" s="54" t="s">
        <v>3294</v>
      </c>
    </row>
    <row r="20">
      <c r="A20" s="53">
        <f>IFERROR(__xludf.DUMMYFUNCTION("""COMPUTED_VALUE"""),19.0)</f>
        <v>19</v>
      </c>
      <c r="B20" s="55">
        <f>IFERROR(__xludf.DUMMYFUNCTION("""COMPUTED_VALUE"""),0.75)</f>
        <v>0.75</v>
      </c>
      <c r="C20" s="9" t="s">
        <v>3072</v>
      </c>
      <c r="D20" s="54" t="s">
        <v>3347</v>
      </c>
      <c r="E20" s="54" t="s">
        <v>3348</v>
      </c>
      <c r="F20" s="54" t="s">
        <v>3349</v>
      </c>
      <c r="G20" s="54" t="s">
        <v>3308</v>
      </c>
    </row>
    <row r="21">
      <c r="A21" s="53">
        <f>IFERROR(__xludf.DUMMYFUNCTION("""COMPUTED_VALUE"""),20.0)</f>
        <v>20</v>
      </c>
      <c r="B21" s="55">
        <f>IFERROR(__xludf.DUMMYFUNCTION("""COMPUTED_VALUE"""),0.7916666666666666)</f>
        <v>0.7916666667</v>
      </c>
      <c r="C21" s="9" t="s">
        <v>3072</v>
      </c>
      <c r="D21" s="54" t="s">
        <v>3350</v>
      </c>
      <c r="E21" s="54" t="s">
        <v>3351</v>
      </c>
      <c r="F21" s="54" t="s">
        <v>3349</v>
      </c>
      <c r="G21" s="54" t="s">
        <v>3308</v>
      </c>
    </row>
    <row r="22">
      <c r="A22" s="53">
        <f>IFERROR(__xludf.DUMMYFUNCTION("""COMPUTED_VALUE"""),21.0)</f>
        <v>21</v>
      </c>
      <c r="B22" s="55">
        <f>IFERROR(__xludf.DUMMYFUNCTION("""COMPUTED_VALUE"""),0.8333333333333334)</f>
        <v>0.8333333333</v>
      </c>
      <c r="C22" s="9" t="s">
        <v>3072</v>
      </c>
      <c r="D22" s="54" t="s">
        <v>3352</v>
      </c>
      <c r="E22" s="54" t="s">
        <v>3353</v>
      </c>
      <c r="F22" s="54" t="s">
        <v>50</v>
      </c>
      <c r="G22" s="54" t="s">
        <v>50</v>
      </c>
    </row>
    <row r="23">
      <c r="A23" s="53">
        <f>IFERROR(__xludf.DUMMYFUNCTION("""COMPUTED_VALUE"""),22.0)</f>
        <v>22</v>
      </c>
      <c r="B23" s="55">
        <f>IFERROR(__xludf.DUMMYFUNCTION("""COMPUTED_VALUE"""),0.875)</f>
        <v>0.875</v>
      </c>
      <c r="C23" s="9" t="s">
        <v>3072</v>
      </c>
      <c r="D23" s="54" t="s">
        <v>3354</v>
      </c>
      <c r="E23" s="54" t="s">
        <v>3355</v>
      </c>
      <c r="F23" s="54" t="s">
        <v>3344</v>
      </c>
      <c r="G23" s="54" t="s">
        <v>3294</v>
      </c>
    </row>
    <row r="24">
      <c r="A24" s="53">
        <f>IFERROR(__xludf.DUMMYFUNCTION("""COMPUTED_VALUE"""),23.0)</f>
        <v>23</v>
      </c>
      <c r="B24" s="55">
        <f>IFERROR(__xludf.DUMMYFUNCTION("""COMPUTED_VALUE"""),0.9166666666666666)</f>
        <v>0.9166666667</v>
      </c>
      <c r="C24" s="9" t="s">
        <v>3072</v>
      </c>
      <c r="D24" s="54" t="s">
        <v>3356</v>
      </c>
      <c r="E24" s="54" t="s">
        <v>3357</v>
      </c>
      <c r="F24" s="54" t="s">
        <v>3344</v>
      </c>
      <c r="G24" s="54" t="s">
        <v>3294</v>
      </c>
    </row>
    <row r="25">
      <c r="A25" s="53">
        <f>IFERROR(__xludf.DUMMYFUNCTION("""COMPUTED_VALUE"""),24.0)</f>
        <v>24</v>
      </c>
      <c r="B25" s="55">
        <f>IFERROR(__xludf.DUMMYFUNCTION("""COMPUTED_VALUE"""),0.9583333333333334)</f>
        <v>0.9583333333</v>
      </c>
      <c r="C25" s="9" t="s">
        <v>3072</v>
      </c>
      <c r="D25" s="54" t="s">
        <v>3358</v>
      </c>
      <c r="E25" s="54" t="s">
        <v>3359</v>
      </c>
      <c r="F25" s="54" t="s">
        <v>3344</v>
      </c>
      <c r="G25" s="54" t="s">
        <v>3294</v>
      </c>
    </row>
    <row r="26">
      <c r="A26" s="53">
        <f>IFERROR(__xludf.DUMMYFUNCTION("""COMPUTED_VALUE"""),30.0)</f>
        <v>30</v>
      </c>
      <c r="B26" s="16" t="str">
        <f>IFERROR(__xludf.DUMMYFUNCTION("""COMPUTED_VALUE"""),"above")</f>
        <v>above</v>
      </c>
      <c r="C26" s="9" t="s">
        <v>3072</v>
      </c>
      <c r="D26" s="54" t="s">
        <v>3360</v>
      </c>
      <c r="E26" s="54" t="s">
        <v>3361</v>
      </c>
      <c r="F26" s="54" t="s">
        <v>3303</v>
      </c>
      <c r="G26" s="54" t="s">
        <v>3304</v>
      </c>
    </row>
    <row r="27">
      <c r="A27" s="53">
        <f>IFERROR(__xludf.DUMMYFUNCTION("""COMPUTED_VALUE"""),32.0)</f>
        <v>32</v>
      </c>
      <c r="B27" s="16" t="str">
        <f>IFERROR(__xludf.DUMMYFUNCTION("""COMPUTED_VALUE"""),"accident")</f>
        <v>accident</v>
      </c>
      <c r="C27" s="9" t="s">
        <v>3072</v>
      </c>
      <c r="D27" s="54" t="s">
        <v>3362</v>
      </c>
      <c r="E27" s="54" t="s">
        <v>3363</v>
      </c>
      <c r="F27" s="54" t="s">
        <v>3313</v>
      </c>
      <c r="G27" s="54" t="s">
        <v>3314</v>
      </c>
    </row>
    <row r="28">
      <c r="A28" s="53">
        <f>IFERROR(__xludf.DUMMYFUNCTION("""COMPUTED_VALUE"""),36.0)</f>
        <v>36</v>
      </c>
      <c r="B28" s="16" t="str">
        <f>IFERROR(__xludf.DUMMYFUNCTION("""COMPUTED_VALUE"""),"achievement")</f>
        <v>achievement</v>
      </c>
      <c r="C28" s="9" t="s">
        <v>3072</v>
      </c>
      <c r="D28" s="54" t="s">
        <v>3364</v>
      </c>
      <c r="E28" s="54" t="s">
        <v>3365</v>
      </c>
      <c r="F28" s="54" t="s">
        <v>3344</v>
      </c>
      <c r="G28" s="54" t="s">
        <v>3294</v>
      </c>
    </row>
    <row r="29">
      <c r="A29" s="53">
        <f>IFERROR(__xludf.DUMMYFUNCTION("""COMPUTED_VALUE"""),37.0)</f>
        <v>37</v>
      </c>
      <c r="B29" s="16" t="str">
        <f>IFERROR(__xludf.DUMMYFUNCTION("""COMPUTED_VALUE"""),"Ackee")</f>
        <v>Ackee</v>
      </c>
      <c r="C29" s="9" t="s">
        <v>3072</v>
      </c>
      <c r="D29" s="54" t="s">
        <v>3366</v>
      </c>
      <c r="E29" s="54" t="s">
        <v>3367</v>
      </c>
      <c r="F29" s="54" t="s">
        <v>3344</v>
      </c>
      <c r="G29" s="54" t="s">
        <v>3294</v>
      </c>
    </row>
    <row r="30">
      <c r="A30" s="53">
        <f>IFERROR(__xludf.DUMMYFUNCTION("""COMPUTED_VALUE"""),39.0)</f>
        <v>39</v>
      </c>
      <c r="B30" s="16" t="str">
        <f>IFERROR(__xludf.DUMMYFUNCTION("""COMPUTED_VALUE"""),"addition")</f>
        <v>addition</v>
      </c>
      <c r="C30" s="9" t="s">
        <v>3072</v>
      </c>
      <c r="D30" s="54" t="s">
        <v>3368</v>
      </c>
      <c r="E30" s="54" t="s">
        <v>3369</v>
      </c>
      <c r="F30" s="54" t="s">
        <v>3370</v>
      </c>
      <c r="G30" s="54" t="s">
        <v>3371</v>
      </c>
    </row>
    <row r="31">
      <c r="A31" s="53">
        <f>IFERROR(__xludf.DUMMYFUNCTION("""COMPUTED_VALUE"""),41.0)</f>
        <v>41</v>
      </c>
      <c r="B31" s="16" t="str">
        <f>IFERROR(__xludf.DUMMYFUNCTION("""COMPUTED_VALUE"""),"adventure")</f>
        <v>adventure</v>
      </c>
      <c r="C31" s="9" t="s">
        <v>3072</v>
      </c>
      <c r="D31" s="54" t="s">
        <v>3372</v>
      </c>
      <c r="E31" s="54" t="s">
        <v>3373</v>
      </c>
      <c r="F31" s="54" t="s">
        <v>50</v>
      </c>
      <c r="G31" s="54" t="s">
        <v>50</v>
      </c>
    </row>
    <row r="32">
      <c r="A32" s="53">
        <f>IFERROR(__xludf.DUMMYFUNCTION("""COMPUTED_VALUE"""),42.0)</f>
        <v>42</v>
      </c>
      <c r="B32" s="16" t="str">
        <f>IFERROR(__xludf.DUMMYFUNCTION("""COMPUTED_VALUE"""),"adversary")</f>
        <v>adversary</v>
      </c>
      <c r="C32" s="9" t="s">
        <v>3072</v>
      </c>
      <c r="D32" s="54" t="s">
        <v>3374</v>
      </c>
      <c r="E32" s="54" t="s">
        <v>3375</v>
      </c>
      <c r="F32" s="54" t="s">
        <v>50</v>
      </c>
      <c r="G32" s="54" t="s">
        <v>50</v>
      </c>
    </row>
    <row r="33">
      <c r="A33" s="53">
        <f>IFERROR(__xludf.DUMMYFUNCTION("""COMPUTED_VALUE"""),44.0)</f>
        <v>44</v>
      </c>
      <c r="B33" s="16" t="str">
        <f>IFERROR(__xludf.DUMMYFUNCTION("""COMPUTED_VALUE"""),"Africa")</f>
        <v>Africa</v>
      </c>
      <c r="C33" s="9" t="s">
        <v>3072</v>
      </c>
      <c r="D33" s="54" t="s">
        <v>3376</v>
      </c>
      <c r="E33" s="54" t="s">
        <v>3377</v>
      </c>
      <c r="F33" s="54" t="s">
        <v>50</v>
      </c>
      <c r="G33" s="54" t="s">
        <v>50</v>
      </c>
    </row>
    <row r="34">
      <c r="A34" s="53">
        <f>IFERROR(__xludf.DUMMYFUNCTION("""COMPUTED_VALUE"""),58.0)</f>
        <v>58</v>
      </c>
      <c r="B34" s="16" t="str">
        <f>IFERROR(__xludf.DUMMYFUNCTION("""COMPUTED_VALUE"""),"ambition")</f>
        <v>ambition</v>
      </c>
      <c r="C34" s="9" t="s">
        <v>3072</v>
      </c>
      <c r="D34" s="54" t="s">
        <v>3309</v>
      </c>
      <c r="E34" s="54" t="s">
        <v>3310</v>
      </c>
      <c r="F34" s="54" t="s">
        <v>3303</v>
      </c>
      <c r="G34" s="54" t="s">
        <v>3304</v>
      </c>
    </row>
    <row r="35">
      <c r="A35" s="53">
        <f>IFERROR(__xludf.DUMMYFUNCTION("""COMPUTED_VALUE"""),59.0)</f>
        <v>59</v>
      </c>
      <c r="B35" s="16" t="str">
        <f>IFERROR(__xludf.DUMMYFUNCTION("""COMPUTED_VALUE"""),"ambulance")</f>
        <v>ambulance</v>
      </c>
      <c r="C35" s="9" t="s">
        <v>3072</v>
      </c>
      <c r="D35" s="54" t="s">
        <v>3323</v>
      </c>
      <c r="E35" s="54" t="s">
        <v>3324</v>
      </c>
      <c r="F35" s="54" t="s">
        <v>3325</v>
      </c>
      <c r="G35" s="54" t="s">
        <v>3326</v>
      </c>
    </row>
    <row r="36">
      <c r="A36" s="53">
        <f>IFERROR(__xludf.DUMMYFUNCTION("""COMPUTED_VALUE"""),62.0)</f>
        <v>62</v>
      </c>
      <c r="B36" s="16" t="str">
        <f>IFERROR(__xludf.DUMMYFUNCTION("""COMPUTED_VALUE"""),"analysis")</f>
        <v>analysis</v>
      </c>
      <c r="C36" s="9" t="s">
        <v>3072</v>
      </c>
      <c r="D36" s="54" t="s">
        <v>3378</v>
      </c>
      <c r="E36" s="54" t="s">
        <v>3379</v>
      </c>
      <c r="F36" s="54" t="s">
        <v>50</v>
      </c>
      <c r="G36" s="54" t="s">
        <v>50</v>
      </c>
    </row>
    <row r="37">
      <c r="A37" s="53">
        <f>IFERROR(__xludf.DUMMYFUNCTION("""COMPUTED_VALUE"""),69.0)</f>
        <v>69</v>
      </c>
      <c r="B37" s="16" t="str">
        <f>IFERROR(__xludf.DUMMYFUNCTION("""COMPUTED_VALUE"""),"ankle")</f>
        <v>ankle</v>
      </c>
      <c r="C37" s="9" t="s">
        <v>3072</v>
      </c>
      <c r="D37" s="54" t="s">
        <v>3380</v>
      </c>
      <c r="E37" s="54" t="s">
        <v>3381</v>
      </c>
      <c r="F37" s="54" t="s">
        <v>50</v>
      </c>
      <c r="G37" s="54" t="s">
        <v>50</v>
      </c>
    </row>
    <row r="38">
      <c r="A38" s="53">
        <f>IFERROR(__xludf.DUMMYFUNCTION("""COMPUTED_VALUE"""),72.0)</f>
        <v>72</v>
      </c>
      <c r="B38" s="16" t="str">
        <f>IFERROR(__xludf.DUMMYFUNCTION("""COMPUTED_VALUE"""),"answer")</f>
        <v>answer</v>
      </c>
      <c r="C38" s="9" t="s">
        <v>3072</v>
      </c>
      <c r="D38" s="54" t="s">
        <v>50</v>
      </c>
      <c r="E38" s="54" t="s">
        <v>3382</v>
      </c>
      <c r="F38" s="54" t="s">
        <v>50</v>
      </c>
      <c r="G38" s="54" t="s">
        <v>50</v>
      </c>
    </row>
    <row r="39">
      <c r="A39" s="53">
        <f>IFERROR(__xludf.DUMMYFUNCTION("""COMPUTED_VALUE"""),75.0)</f>
        <v>75</v>
      </c>
      <c r="B39" s="16" t="str">
        <f>IFERROR(__xludf.DUMMYFUNCTION("""COMPUTED_VALUE"""),"antonyms")</f>
        <v>antonyms</v>
      </c>
      <c r="C39" s="9" t="s">
        <v>3072</v>
      </c>
      <c r="D39" s="54" t="s">
        <v>3383</v>
      </c>
      <c r="E39" s="54" t="s">
        <v>3384</v>
      </c>
      <c r="F39" s="54" t="s">
        <v>50</v>
      </c>
      <c r="G39" s="54" t="s">
        <v>50</v>
      </c>
    </row>
    <row r="40">
      <c r="A40" s="53">
        <f>IFERROR(__xludf.DUMMYFUNCTION("""COMPUTED_VALUE"""),77.0)</f>
        <v>77</v>
      </c>
      <c r="B40" s="16" t="str">
        <f>IFERROR(__xludf.DUMMYFUNCTION("""COMPUTED_VALUE"""),"appetite")</f>
        <v>appetite</v>
      </c>
      <c r="C40" s="9" t="s">
        <v>3072</v>
      </c>
      <c r="D40" s="54" t="s">
        <v>3385</v>
      </c>
      <c r="E40" s="54" t="s">
        <v>3386</v>
      </c>
      <c r="F40" s="54" t="s">
        <v>50</v>
      </c>
      <c r="G40" s="54" t="s">
        <v>50</v>
      </c>
    </row>
    <row r="41">
      <c r="A41" s="53">
        <f>IFERROR(__xludf.DUMMYFUNCTION("""COMPUTED_VALUE"""),78.0)</f>
        <v>78</v>
      </c>
      <c r="B41" s="16" t="str">
        <f>IFERROR(__xludf.DUMMYFUNCTION("""COMPUTED_VALUE"""),"apple")</f>
        <v>apple</v>
      </c>
      <c r="C41" s="9" t="s">
        <v>3072</v>
      </c>
      <c r="D41" s="54" t="s">
        <v>3387</v>
      </c>
      <c r="E41" s="54" t="s">
        <v>3388</v>
      </c>
      <c r="F41" s="54" t="s">
        <v>50</v>
      </c>
      <c r="G41" s="54" t="s">
        <v>50</v>
      </c>
    </row>
    <row r="42">
      <c r="A42" s="53">
        <f>IFERROR(__xludf.DUMMYFUNCTION("""COMPUTED_VALUE"""),81.0)</f>
        <v>81</v>
      </c>
      <c r="B42" s="16" t="str">
        <f>IFERROR(__xludf.DUMMYFUNCTION("""COMPUTED_VALUE"""),"April")</f>
        <v>April</v>
      </c>
      <c r="C42" s="9" t="s">
        <v>3072</v>
      </c>
      <c r="D42" s="54" t="s">
        <v>3389</v>
      </c>
      <c r="E42" s="54" t="s">
        <v>3390</v>
      </c>
      <c r="F42" s="54" t="s">
        <v>50</v>
      </c>
      <c r="G42" s="54" t="s">
        <v>50</v>
      </c>
    </row>
    <row r="43">
      <c r="A43" s="53">
        <f>IFERROR(__xludf.DUMMYFUNCTION("""COMPUTED_VALUE"""),83.0)</f>
        <v>83</v>
      </c>
      <c r="B43" s="16" t="str">
        <f>IFERROR(__xludf.DUMMYFUNCTION("""COMPUTED_VALUE"""),"architecture")</f>
        <v>architecture</v>
      </c>
      <c r="C43" s="9" t="s">
        <v>3072</v>
      </c>
      <c r="D43" s="54" t="s">
        <v>50</v>
      </c>
      <c r="E43" s="54" t="s">
        <v>3391</v>
      </c>
      <c r="F43" s="54" t="s">
        <v>50</v>
      </c>
      <c r="G43" s="54" t="s">
        <v>50</v>
      </c>
    </row>
    <row r="44">
      <c r="A44" s="53">
        <f>IFERROR(__xludf.DUMMYFUNCTION("""COMPUTED_VALUE"""),84.0)</f>
        <v>84</v>
      </c>
      <c r="B44" s="16" t="str">
        <f>IFERROR(__xludf.DUMMYFUNCTION("""COMPUTED_VALUE"""),"Arm")</f>
        <v>Arm</v>
      </c>
      <c r="C44" s="9" t="s">
        <v>3072</v>
      </c>
      <c r="D44" s="54" t="s">
        <v>3392</v>
      </c>
      <c r="E44" s="54" t="s">
        <v>3393</v>
      </c>
      <c r="F44" s="54" t="s">
        <v>50</v>
      </c>
      <c r="G44" s="54" t="s">
        <v>50</v>
      </c>
    </row>
    <row r="45">
      <c r="A45" s="53">
        <f>IFERROR(__xludf.DUMMYFUNCTION("""COMPUTED_VALUE"""),86.0)</f>
        <v>86</v>
      </c>
      <c r="B45" s="16" t="str">
        <f>IFERROR(__xludf.DUMMYFUNCTION("""COMPUTED_VALUE"""),"Asia")</f>
        <v>Asia</v>
      </c>
      <c r="C45" s="9" t="s">
        <v>3072</v>
      </c>
      <c r="D45" s="54" t="s">
        <v>3394</v>
      </c>
      <c r="E45" s="54" t="s">
        <v>3395</v>
      </c>
      <c r="F45" s="54" t="s">
        <v>50</v>
      </c>
      <c r="G45" s="54" t="s">
        <v>50</v>
      </c>
    </row>
    <row r="46">
      <c r="A46" s="53">
        <f>IFERROR(__xludf.DUMMYFUNCTION("""COMPUTED_VALUE"""),90.0)</f>
        <v>90</v>
      </c>
      <c r="B46" s="16" t="str">
        <f>IFERROR(__xludf.DUMMYFUNCTION("""COMPUTED_VALUE"""),"association")</f>
        <v>association</v>
      </c>
      <c r="C46" s="9" t="s">
        <v>3072</v>
      </c>
      <c r="D46" s="54" t="s">
        <v>3396</v>
      </c>
      <c r="E46" s="54" t="s">
        <v>3397</v>
      </c>
      <c r="F46" s="54" t="s">
        <v>50</v>
      </c>
      <c r="G46" s="54" t="s">
        <v>50</v>
      </c>
    </row>
    <row r="47">
      <c r="A47" s="53">
        <f>IFERROR(__xludf.DUMMYFUNCTION("""COMPUTED_VALUE"""),92.0)</f>
        <v>92</v>
      </c>
      <c r="B47" s="16" t="str">
        <f>IFERROR(__xludf.DUMMYFUNCTION("""COMPUTED_VALUE"""),"at")</f>
        <v>at</v>
      </c>
      <c r="C47" s="9" t="s">
        <v>3072</v>
      </c>
      <c r="D47" s="54" t="s">
        <v>3398</v>
      </c>
      <c r="E47" s="54" t="s">
        <v>3399</v>
      </c>
      <c r="F47" s="54" t="s">
        <v>50</v>
      </c>
      <c r="G47" s="54" t="s">
        <v>50</v>
      </c>
    </row>
    <row r="48">
      <c r="A48" s="53">
        <f>IFERROR(__xludf.DUMMYFUNCTION("""COMPUTED_VALUE"""),93.0)</f>
        <v>93</v>
      </c>
      <c r="B48" s="16" t="str">
        <f>IFERROR(__xludf.DUMMYFUNCTION("""COMPUTED_VALUE"""),"athletics")</f>
        <v>athletics</v>
      </c>
      <c r="C48" s="9" t="s">
        <v>3072</v>
      </c>
      <c r="D48" s="54" t="s">
        <v>3400</v>
      </c>
      <c r="E48" s="54" t="s">
        <v>3401</v>
      </c>
      <c r="F48" s="54" t="s">
        <v>50</v>
      </c>
      <c r="G48" s="54" t="s">
        <v>50</v>
      </c>
    </row>
    <row r="49">
      <c r="A49" s="53">
        <f>IFERROR(__xludf.DUMMYFUNCTION("""COMPUTED_VALUE"""),95.0)</f>
        <v>95</v>
      </c>
      <c r="B49" s="16" t="str">
        <f>IFERROR(__xludf.DUMMYFUNCTION("""COMPUTED_VALUE"""),"audience")</f>
        <v>audience</v>
      </c>
      <c r="C49" s="9" t="s">
        <v>3072</v>
      </c>
      <c r="D49" s="54" t="s">
        <v>3402</v>
      </c>
      <c r="E49" s="54" t="s">
        <v>3403</v>
      </c>
      <c r="F49" s="54" t="s">
        <v>50</v>
      </c>
      <c r="G49" s="54" t="s">
        <v>50</v>
      </c>
    </row>
    <row r="50">
      <c r="A50" s="53">
        <f>IFERROR(__xludf.DUMMYFUNCTION("""COMPUTED_VALUE"""),96.0)</f>
        <v>96</v>
      </c>
      <c r="B50" s="16" t="str">
        <f>IFERROR(__xludf.DUMMYFUNCTION("""COMPUTED_VALUE"""),"audio")</f>
        <v>audio</v>
      </c>
      <c r="C50" s="9" t="s">
        <v>3072</v>
      </c>
      <c r="D50" s="54" t="s">
        <v>3404</v>
      </c>
      <c r="E50" s="54" t="s">
        <v>3405</v>
      </c>
      <c r="F50" s="54" t="s">
        <v>50</v>
      </c>
      <c r="G50" s="54" t="s">
        <v>50</v>
      </c>
    </row>
    <row r="51">
      <c r="A51" s="53">
        <f>IFERROR(__xludf.DUMMYFUNCTION("""COMPUTED_VALUE"""),97.0)</f>
        <v>97</v>
      </c>
      <c r="B51" s="16" t="str">
        <f>IFERROR(__xludf.DUMMYFUNCTION("""COMPUTED_VALUE"""),"August")</f>
        <v>August</v>
      </c>
      <c r="C51" s="9" t="s">
        <v>3072</v>
      </c>
      <c r="D51" s="54" t="s">
        <v>50</v>
      </c>
      <c r="E51" s="54" t="s">
        <v>3406</v>
      </c>
      <c r="F51" s="54" t="s">
        <v>50</v>
      </c>
      <c r="G51" s="54" t="s">
        <v>50</v>
      </c>
    </row>
    <row r="52">
      <c r="A52" s="53">
        <f>IFERROR(__xludf.DUMMYFUNCTION("""COMPUTED_VALUE"""),98.0)</f>
        <v>98</v>
      </c>
      <c r="B52" s="16" t="str">
        <f>IFERROR(__xludf.DUMMYFUNCTION("""COMPUTED_VALUE"""),"aunt")</f>
        <v>aunt</v>
      </c>
      <c r="C52" s="9" t="s">
        <v>3072</v>
      </c>
      <c r="D52" s="54" t="s">
        <v>3407</v>
      </c>
      <c r="E52" s="54" t="s">
        <v>3408</v>
      </c>
      <c r="F52" s="54" t="s">
        <v>50</v>
      </c>
      <c r="G52" s="54" t="s">
        <v>50</v>
      </c>
    </row>
    <row r="53">
      <c r="A53" s="53">
        <f>IFERROR(__xludf.DUMMYFUNCTION("""COMPUTED_VALUE"""),99.0)</f>
        <v>99</v>
      </c>
      <c r="B53" s="16" t="str">
        <f>IFERROR(__xludf.DUMMYFUNCTION("""COMPUTED_VALUE"""),"aural")</f>
        <v>aural</v>
      </c>
      <c r="C53" s="9" t="s">
        <v>3072</v>
      </c>
      <c r="D53" s="54" t="s">
        <v>3409</v>
      </c>
      <c r="E53" s="54" t="s">
        <v>3410</v>
      </c>
      <c r="F53" s="54" t="s">
        <v>50</v>
      </c>
      <c r="G53" s="54" t="s">
        <v>50</v>
      </c>
    </row>
    <row r="54">
      <c r="A54" s="53">
        <f>IFERROR(__xludf.DUMMYFUNCTION("""COMPUTED_VALUE"""),100.0)</f>
        <v>100</v>
      </c>
      <c r="B54" s="16" t="str">
        <f>IFERROR(__xludf.DUMMYFUNCTION("""COMPUTED_VALUE"""),"Australia")</f>
        <v>Australia</v>
      </c>
      <c r="C54" s="9" t="s">
        <v>3072</v>
      </c>
      <c r="D54" s="54" t="s">
        <v>3411</v>
      </c>
      <c r="E54" s="54" t="s">
        <v>3412</v>
      </c>
      <c r="F54" s="54" t="s">
        <v>50</v>
      </c>
      <c r="G54" s="54" t="s">
        <v>50</v>
      </c>
    </row>
    <row r="55">
      <c r="A55" s="53">
        <f>IFERROR(__xludf.DUMMYFUNCTION("""COMPUTED_VALUE"""),102.0)</f>
        <v>102</v>
      </c>
      <c r="B55" s="16" t="str">
        <f>IFERROR(__xludf.DUMMYFUNCTION("""COMPUTED_VALUE"""),"authority")</f>
        <v>authority</v>
      </c>
      <c r="C55" s="9" t="s">
        <v>3072</v>
      </c>
      <c r="D55" s="54" t="s">
        <v>3413</v>
      </c>
      <c r="E55" s="54" t="s">
        <v>3414</v>
      </c>
      <c r="F55" s="54" t="s">
        <v>50</v>
      </c>
      <c r="G55" s="54" t="s">
        <v>50</v>
      </c>
    </row>
    <row r="56">
      <c r="A56" s="53">
        <f>IFERROR(__xludf.DUMMYFUNCTION("""COMPUTED_VALUE"""),104.0)</f>
        <v>104</v>
      </c>
      <c r="B56" s="16" t="str">
        <f>IFERROR(__xludf.DUMMYFUNCTION("""COMPUTED_VALUE"""),"awareness")</f>
        <v>awareness</v>
      </c>
      <c r="C56" s="9" t="s">
        <v>3072</v>
      </c>
      <c r="D56" s="54" t="s">
        <v>3415</v>
      </c>
      <c r="E56" s="54" t="s">
        <v>3416</v>
      </c>
      <c r="F56" s="54" t="s">
        <v>50</v>
      </c>
      <c r="G56" s="54" t="s">
        <v>50</v>
      </c>
    </row>
    <row r="57">
      <c r="A57" s="53">
        <f>IFERROR(__xludf.DUMMYFUNCTION("""COMPUTED_VALUE"""),107.0)</f>
        <v>107</v>
      </c>
      <c r="B57" s="16" t="str">
        <f>IFERROR(__xludf.DUMMYFUNCTION("""COMPUTED_VALUE"""),"baby")</f>
        <v>baby</v>
      </c>
      <c r="C57" s="9" t="s">
        <v>3072</v>
      </c>
      <c r="D57" s="54" t="s">
        <v>3417</v>
      </c>
      <c r="E57" s="54" t="s">
        <v>3418</v>
      </c>
      <c r="F57" s="54" t="s">
        <v>50</v>
      </c>
      <c r="G57" s="54" t="s">
        <v>50</v>
      </c>
    </row>
    <row r="58">
      <c r="A58" s="53">
        <f>IFERROR(__xludf.DUMMYFUNCTION("""COMPUTED_VALUE"""),108.0)</f>
        <v>108</v>
      </c>
      <c r="B58" s="16" t="str">
        <f>IFERROR(__xludf.DUMMYFUNCTION("""COMPUTED_VALUE"""),"Back")</f>
        <v>Back</v>
      </c>
      <c r="C58" s="9" t="s">
        <v>3072</v>
      </c>
      <c r="D58" s="54" t="s">
        <v>3419</v>
      </c>
      <c r="E58" s="54" t="s">
        <v>3420</v>
      </c>
      <c r="F58" s="54" t="s">
        <v>50</v>
      </c>
      <c r="G58" s="54" t="s">
        <v>50</v>
      </c>
    </row>
    <row r="59">
      <c r="A59" s="53">
        <f>IFERROR(__xludf.DUMMYFUNCTION("""COMPUTED_VALUE"""),113.0)</f>
        <v>113</v>
      </c>
      <c r="B59" s="16" t="str">
        <f>IFERROR(__xludf.DUMMYFUNCTION("""COMPUTED_VALUE"""),"backpack")</f>
        <v>backpack</v>
      </c>
      <c r="C59" s="9" t="s">
        <v>3072</v>
      </c>
      <c r="D59" s="54" t="s">
        <v>3421</v>
      </c>
      <c r="E59" s="54" t="s">
        <v>3422</v>
      </c>
      <c r="F59" s="54" t="s">
        <v>50</v>
      </c>
      <c r="G59" s="54" t="s">
        <v>50</v>
      </c>
    </row>
    <row r="60">
      <c r="A60" s="53">
        <f>IFERROR(__xludf.DUMMYFUNCTION("""COMPUTED_VALUE"""),114.0)</f>
        <v>114</v>
      </c>
      <c r="B60" s="16" t="str">
        <f>IFERROR(__xludf.DUMMYFUNCTION("""COMPUTED_VALUE"""),"backyard")</f>
        <v>backyard</v>
      </c>
      <c r="C60" s="9" t="s">
        <v>3072</v>
      </c>
      <c r="D60" s="54" t="s">
        <v>3423</v>
      </c>
      <c r="E60" s="54" t="s">
        <v>3424</v>
      </c>
      <c r="F60" s="54" t="s">
        <v>50</v>
      </c>
      <c r="G60" s="54" t="s">
        <v>50</v>
      </c>
    </row>
    <row r="61">
      <c r="A61" s="53">
        <f>IFERROR(__xludf.DUMMYFUNCTION("""COMPUTED_VALUE"""),115.0)</f>
        <v>115</v>
      </c>
      <c r="B61" s="16" t="str">
        <f>IFERROR(__xludf.DUMMYFUNCTION("""COMPUTED_VALUE"""),"bacon")</f>
        <v>bacon</v>
      </c>
      <c r="C61" s="9" t="s">
        <v>3072</v>
      </c>
      <c r="D61" s="54" t="s">
        <v>3425</v>
      </c>
      <c r="E61" s="54" t="s">
        <v>3426</v>
      </c>
      <c r="F61" s="54" t="s">
        <v>50</v>
      </c>
      <c r="G61" s="54" t="s">
        <v>50</v>
      </c>
    </row>
    <row r="62">
      <c r="A62" s="53">
        <f>IFERROR(__xludf.DUMMYFUNCTION("""COMPUTED_VALUE"""),118.0)</f>
        <v>118</v>
      </c>
      <c r="B62" s="16" t="str">
        <f>IFERROR(__xludf.DUMMYFUNCTION("""COMPUTED_VALUE"""),"bad")</f>
        <v>bad</v>
      </c>
      <c r="C62" s="9" t="s">
        <v>3072</v>
      </c>
      <c r="D62" s="54" t="s">
        <v>3427</v>
      </c>
      <c r="E62" s="54" t="s">
        <v>3428</v>
      </c>
      <c r="F62" s="54" t="s">
        <v>50</v>
      </c>
      <c r="G62" s="54" t="s">
        <v>50</v>
      </c>
    </row>
    <row r="63">
      <c r="A63" s="53">
        <f>IFERROR(__xludf.DUMMYFUNCTION("""COMPUTED_VALUE"""),120.0)</f>
        <v>120</v>
      </c>
      <c r="B63" s="16" t="str">
        <f>IFERROR(__xludf.DUMMYFUNCTION("""COMPUTED_VALUE"""),"ball")</f>
        <v>ball</v>
      </c>
      <c r="C63" s="9" t="s">
        <v>3072</v>
      </c>
      <c r="D63" s="54" t="s">
        <v>3429</v>
      </c>
      <c r="E63" s="54" t="s">
        <v>3430</v>
      </c>
      <c r="F63" s="54" t="s">
        <v>50</v>
      </c>
      <c r="G63" s="54" t="s">
        <v>50</v>
      </c>
    </row>
    <row r="64">
      <c r="A64" s="53">
        <f>IFERROR(__xludf.DUMMYFUNCTION("""COMPUTED_VALUE"""),121.0)</f>
        <v>121</v>
      </c>
      <c r="B64" s="16" t="str">
        <f>IFERROR(__xludf.DUMMYFUNCTION("""COMPUTED_VALUE"""),"banana")</f>
        <v>banana</v>
      </c>
      <c r="C64" s="9" t="s">
        <v>3072</v>
      </c>
      <c r="D64" s="54" t="s">
        <v>3431</v>
      </c>
      <c r="E64" s="54" t="s">
        <v>3432</v>
      </c>
      <c r="F64" s="54" t="s">
        <v>50</v>
      </c>
      <c r="G64" s="54" t="s">
        <v>50</v>
      </c>
    </row>
    <row r="65">
      <c r="A65" s="53">
        <f>IFERROR(__xludf.DUMMYFUNCTION("""COMPUTED_VALUE"""),122.0)</f>
        <v>122</v>
      </c>
      <c r="B65" s="16" t="str">
        <f>IFERROR(__xludf.DUMMYFUNCTION("""COMPUTED_VALUE"""),"dinner")</f>
        <v>dinner</v>
      </c>
      <c r="C65" s="9" t="s">
        <v>3072</v>
      </c>
      <c r="D65" s="54" t="s">
        <v>3433</v>
      </c>
      <c r="E65" s="54" t="s">
        <v>3434</v>
      </c>
      <c r="F65" s="54" t="s">
        <v>50</v>
      </c>
      <c r="G65" s="54" t="s">
        <v>50</v>
      </c>
    </row>
    <row r="66">
      <c r="A66" s="53">
        <f>IFERROR(__xludf.DUMMYFUNCTION("""COMPUTED_VALUE"""),123.0)</f>
        <v>123</v>
      </c>
      <c r="B66" s="16" t="str">
        <f>IFERROR(__xludf.DUMMYFUNCTION("""COMPUTED_VALUE"""),"bar graphs")</f>
        <v>bar graphs</v>
      </c>
      <c r="C66" s="9" t="s">
        <v>3072</v>
      </c>
      <c r="D66" s="54" t="s">
        <v>3435</v>
      </c>
      <c r="E66" s="54" t="s">
        <v>3436</v>
      </c>
      <c r="F66" s="54" t="s">
        <v>50</v>
      </c>
      <c r="G66" s="54" t="s">
        <v>50</v>
      </c>
    </row>
    <row r="67">
      <c r="A67" s="53">
        <f>IFERROR(__xludf.DUMMYFUNCTION("""COMPUTED_VALUE"""),124.0)</f>
        <v>124</v>
      </c>
      <c r="B67" s="16" t="str">
        <f>IFERROR(__xludf.DUMMYFUNCTION("""COMPUTED_VALUE"""),"basketball")</f>
        <v>basketball</v>
      </c>
      <c r="C67" s="9" t="s">
        <v>3072</v>
      </c>
      <c r="D67" s="54" t="s">
        <v>3437</v>
      </c>
      <c r="E67" s="54" t="s">
        <v>3438</v>
      </c>
      <c r="F67" s="54" t="s">
        <v>50</v>
      </c>
      <c r="G67" s="54" t="s">
        <v>50</v>
      </c>
    </row>
    <row r="68">
      <c r="A68" s="53">
        <f>IFERROR(__xludf.DUMMYFUNCTION("""COMPUTED_VALUE"""),125.0)</f>
        <v>125</v>
      </c>
      <c r="B68" s="16" t="str">
        <f>IFERROR(__xludf.DUMMYFUNCTION("""COMPUTED_VALUE"""),"bat")</f>
        <v>bat</v>
      </c>
      <c r="C68" s="9" t="s">
        <v>3072</v>
      </c>
      <c r="D68" s="54" t="s">
        <v>3439</v>
      </c>
      <c r="E68" s="54" t="s">
        <v>3440</v>
      </c>
      <c r="F68" s="54" t="s">
        <v>50</v>
      </c>
      <c r="G68" s="54" t="s">
        <v>50</v>
      </c>
    </row>
    <row r="69">
      <c r="A69" s="53">
        <f>IFERROR(__xludf.DUMMYFUNCTION("""COMPUTED_VALUE"""),126.0)</f>
        <v>126</v>
      </c>
      <c r="B69" s="16" t="str">
        <f>IFERROR(__xludf.DUMMYFUNCTION("""COMPUTED_VALUE"""),"bat")</f>
        <v>bat</v>
      </c>
      <c r="C69" s="9" t="s">
        <v>3072</v>
      </c>
      <c r="D69" s="54" t="s">
        <v>50</v>
      </c>
      <c r="E69" s="54" t="s">
        <v>3441</v>
      </c>
      <c r="F69" s="54" t="s">
        <v>50</v>
      </c>
      <c r="G69" s="54" t="s">
        <v>50</v>
      </c>
    </row>
    <row r="70">
      <c r="A70" s="53">
        <f>IFERROR(__xludf.DUMMYFUNCTION("""COMPUTED_VALUE"""),127.0)</f>
        <v>127</v>
      </c>
      <c r="B70" s="16" t="str">
        <f>IFERROR(__xludf.DUMMYFUNCTION("""COMPUTED_VALUE"""),"bathroom")</f>
        <v>bathroom</v>
      </c>
      <c r="C70" s="9" t="s">
        <v>3072</v>
      </c>
      <c r="D70" s="54" t="s">
        <v>3442</v>
      </c>
      <c r="E70" s="54" t="s">
        <v>3443</v>
      </c>
      <c r="F70" s="54" t="s">
        <v>50</v>
      </c>
      <c r="G70" s="54" t="s">
        <v>50</v>
      </c>
    </row>
    <row r="71">
      <c r="A71" s="53">
        <f>IFERROR(__xludf.DUMMYFUNCTION("""COMPUTED_VALUE"""),129.0)</f>
        <v>129</v>
      </c>
      <c r="B71" s="16" t="str">
        <f>IFERROR(__xludf.DUMMYFUNCTION("""COMPUTED_VALUE"""),"beach")</f>
        <v>beach</v>
      </c>
      <c r="C71" s="9" t="s">
        <v>3072</v>
      </c>
      <c r="D71" s="54" t="s">
        <v>3444</v>
      </c>
      <c r="E71" s="54" t="s">
        <v>3445</v>
      </c>
      <c r="F71" s="54" t="s">
        <v>50</v>
      </c>
      <c r="G71" s="54" t="s">
        <v>50</v>
      </c>
    </row>
    <row r="72">
      <c r="A72" s="53">
        <f>IFERROR(__xludf.DUMMYFUNCTION("""COMPUTED_VALUE"""),131.0)</f>
        <v>131</v>
      </c>
      <c r="B72" s="16" t="str">
        <f>IFERROR(__xludf.DUMMYFUNCTION("""COMPUTED_VALUE"""),"beans")</f>
        <v>beans</v>
      </c>
      <c r="C72" s="9" t="s">
        <v>3072</v>
      </c>
      <c r="D72" s="54" t="s">
        <v>3446</v>
      </c>
      <c r="E72" s="54" t="s">
        <v>3447</v>
      </c>
      <c r="F72" s="54" t="s">
        <v>50</v>
      </c>
      <c r="G72" s="54" t="s">
        <v>50</v>
      </c>
    </row>
    <row r="73">
      <c r="A73" s="53">
        <f>IFERROR(__xludf.DUMMYFUNCTION("""COMPUTED_VALUE"""),133.0)</f>
        <v>133</v>
      </c>
      <c r="B73" s="16" t="str">
        <f>IFERROR(__xludf.DUMMYFUNCTION("""COMPUTED_VALUE"""),"bedroom")</f>
        <v>bedroom</v>
      </c>
      <c r="C73" s="9" t="s">
        <v>3072</v>
      </c>
      <c r="D73" s="54" t="s">
        <v>3448</v>
      </c>
      <c r="E73" s="54" t="s">
        <v>3449</v>
      </c>
      <c r="F73" s="54" t="s">
        <v>50</v>
      </c>
      <c r="G73" s="54" t="s">
        <v>50</v>
      </c>
    </row>
    <row r="74">
      <c r="A74" s="53">
        <f>IFERROR(__xludf.DUMMYFUNCTION("""COMPUTED_VALUE"""),134.0)</f>
        <v>134</v>
      </c>
      <c r="B74" s="16" t="str">
        <f>IFERROR(__xludf.DUMMYFUNCTION("""COMPUTED_VALUE"""),"bee")</f>
        <v>bee</v>
      </c>
      <c r="C74" s="9" t="s">
        <v>3072</v>
      </c>
      <c r="D74" s="54" t="s">
        <v>3450</v>
      </c>
      <c r="E74" s="54" t="s">
        <v>3451</v>
      </c>
      <c r="F74" s="54" t="s">
        <v>50</v>
      </c>
      <c r="G74" s="54" t="s">
        <v>50</v>
      </c>
    </row>
    <row r="75">
      <c r="A75" s="53">
        <f>IFERROR(__xludf.DUMMYFUNCTION("""COMPUTED_VALUE"""),137.0)</f>
        <v>137</v>
      </c>
      <c r="B75" s="16" t="str">
        <f>IFERROR(__xludf.DUMMYFUNCTION("""COMPUTED_VALUE"""),"beginning")</f>
        <v>beginning</v>
      </c>
      <c r="C75" s="9" t="s">
        <v>3072</v>
      </c>
      <c r="D75" s="54" t="s">
        <v>3452</v>
      </c>
      <c r="E75" s="54" t="s">
        <v>3453</v>
      </c>
      <c r="F75" s="54" t="s">
        <v>50</v>
      </c>
      <c r="G75" s="54" t="s">
        <v>50</v>
      </c>
    </row>
    <row r="76">
      <c r="A76" s="53">
        <f>IFERROR(__xludf.DUMMYFUNCTION("""COMPUTED_VALUE"""),140.0)</f>
        <v>140</v>
      </c>
      <c r="B76" s="16" t="str">
        <f>IFERROR(__xludf.DUMMYFUNCTION("""COMPUTED_VALUE"""),"behind")</f>
        <v>behind</v>
      </c>
      <c r="C76" s="9" t="s">
        <v>3072</v>
      </c>
      <c r="D76" s="54" t="s">
        <v>3454</v>
      </c>
      <c r="E76" s="54" t="s">
        <v>3455</v>
      </c>
      <c r="F76" s="54" t="s">
        <v>50</v>
      </c>
      <c r="G76" s="54" t="s">
        <v>50</v>
      </c>
    </row>
    <row r="77">
      <c r="A77" s="53">
        <f>IFERROR(__xludf.DUMMYFUNCTION("""COMPUTED_VALUE"""),143.0)</f>
        <v>143</v>
      </c>
      <c r="B77" s="16" t="str">
        <f>IFERROR(__xludf.DUMMYFUNCTION("""COMPUTED_VALUE"""),"belly")</f>
        <v>belly</v>
      </c>
      <c r="C77" s="9" t="s">
        <v>3072</v>
      </c>
      <c r="D77" s="54" t="s">
        <v>3456</v>
      </c>
      <c r="E77" s="54" t="s">
        <v>3457</v>
      </c>
      <c r="F77" s="54" t="s">
        <v>50</v>
      </c>
      <c r="G77" s="54" t="s">
        <v>50</v>
      </c>
    </row>
    <row r="78">
      <c r="A78" s="53">
        <f>IFERROR(__xludf.DUMMYFUNCTION("""COMPUTED_VALUE"""),146.0)</f>
        <v>146</v>
      </c>
      <c r="B78" s="16" t="str">
        <f>IFERROR(__xludf.DUMMYFUNCTION("""COMPUTED_VALUE"""),"belt")</f>
        <v>belt</v>
      </c>
      <c r="C78" s="9" t="s">
        <v>3072</v>
      </c>
      <c r="D78" s="54" t="s">
        <v>3458</v>
      </c>
      <c r="E78" s="54" t="s">
        <v>3459</v>
      </c>
      <c r="F78" s="54" t="s">
        <v>50</v>
      </c>
      <c r="G78" s="54" t="s">
        <v>50</v>
      </c>
    </row>
    <row r="79">
      <c r="A79" s="53">
        <f>IFERROR(__xludf.DUMMYFUNCTION("""COMPUTED_VALUE"""),148.0)</f>
        <v>148</v>
      </c>
      <c r="B79" s="16" t="str">
        <f>IFERROR(__xludf.DUMMYFUNCTION("""COMPUTED_VALUE"""),"bend")</f>
        <v>bend</v>
      </c>
      <c r="C79" s="9" t="s">
        <v>3072</v>
      </c>
      <c r="D79" s="54" t="s">
        <v>3460</v>
      </c>
      <c r="E79" s="54" t="s">
        <v>3461</v>
      </c>
      <c r="F79" s="54" t="s">
        <v>50</v>
      </c>
      <c r="G79" s="54" t="s">
        <v>50</v>
      </c>
    </row>
    <row r="80">
      <c r="A80" s="53">
        <f>IFERROR(__xludf.DUMMYFUNCTION("""COMPUTED_VALUE"""),150.0)</f>
        <v>150</v>
      </c>
      <c r="B80" s="16" t="str">
        <f>IFERROR(__xludf.DUMMYFUNCTION("""COMPUTED_VALUE"""),"bibliography")</f>
        <v>bibliography</v>
      </c>
      <c r="C80" s="9" t="s">
        <v>3072</v>
      </c>
      <c r="D80" s="54" t="s">
        <v>3462</v>
      </c>
      <c r="E80" s="54" t="s">
        <v>3463</v>
      </c>
      <c r="F80" s="54" t="s">
        <v>50</v>
      </c>
      <c r="G80" s="54" t="s">
        <v>50</v>
      </c>
    </row>
    <row r="81">
      <c r="A81" s="53">
        <f>IFERROR(__xludf.DUMMYFUNCTION("""COMPUTED_VALUE"""),152.0)</f>
        <v>152</v>
      </c>
      <c r="B81" s="16" t="str">
        <f>IFERROR(__xludf.DUMMYFUNCTION("""COMPUTED_VALUE"""),"biohazard")</f>
        <v>biohazard</v>
      </c>
      <c r="C81" s="9" t="s">
        <v>3072</v>
      </c>
      <c r="D81" s="54" t="s">
        <v>3464</v>
      </c>
      <c r="E81" s="54" t="s">
        <v>3465</v>
      </c>
      <c r="F81" s="54" t="s">
        <v>50</v>
      </c>
      <c r="G81" s="54" t="s">
        <v>50</v>
      </c>
    </row>
    <row r="82">
      <c r="A82" s="53">
        <f>IFERROR(__xludf.DUMMYFUNCTION("""COMPUTED_VALUE"""),153.0)</f>
        <v>153</v>
      </c>
      <c r="B82" s="16" t="str">
        <f>IFERROR(__xludf.DUMMYFUNCTION("""COMPUTED_VALUE"""),"bird")</f>
        <v>bird</v>
      </c>
      <c r="C82" s="9" t="s">
        <v>3072</v>
      </c>
      <c r="D82" s="54" t="s">
        <v>3466</v>
      </c>
      <c r="E82" s="54" t="s">
        <v>3467</v>
      </c>
      <c r="F82" s="54" t="s">
        <v>50</v>
      </c>
      <c r="G82" s="54" t="s">
        <v>50</v>
      </c>
    </row>
    <row r="83">
      <c r="A83" s="53">
        <f>IFERROR(__xludf.DUMMYFUNCTION("""COMPUTED_VALUE"""),154.0)</f>
        <v>154</v>
      </c>
      <c r="B83" s="16" t="str">
        <f>IFERROR(__xludf.DUMMYFUNCTION("""COMPUTED_VALUE"""),"birthday")</f>
        <v>birthday</v>
      </c>
      <c r="C83" s="9" t="s">
        <v>3072</v>
      </c>
      <c r="D83" s="54" t="s">
        <v>3468</v>
      </c>
      <c r="E83" s="54" t="s">
        <v>3469</v>
      </c>
      <c r="F83" s="54" t="s">
        <v>50</v>
      </c>
      <c r="G83" s="54" t="s">
        <v>50</v>
      </c>
    </row>
    <row r="84">
      <c r="A84" s="53">
        <f>IFERROR(__xludf.DUMMYFUNCTION("""COMPUTED_VALUE"""),157.0)</f>
        <v>157</v>
      </c>
      <c r="B84" s="16" t="str">
        <f>IFERROR(__xludf.DUMMYFUNCTION("""COMPUTED_VALUE"""),"blanket")</f>
        <v>blanket</v>
      </c>
      <c r="C84" s="9" t="s">
        <v>3072</v>
      </c>
      <c r="D84" s="54" t="s">
        <v>3470</v>
      </c>
      <c r="E84" s="54" t="s">
        <v>3471</v>
      </c>
      <c r="F84" s="54" t="s">
        <v>50</v>
      </c>
      <c r="G84" s="54" t="s">
        <v>50</v>
      </c>
    </row>
    <row r="85">
      <c r="A85" s="53">
        <f>IFERROR(__xludf.DUMMYFUNCTION("""COMPUTED_VALUE"""),158.0)</f>
        <v>158</v>
      </c>
      <c r="B85" s="16" t="str">
        <f>IFERROR(__xludf.DUMMYFUNCTION("""COMPUTED_VALUE"""),"blazer")</f>
        <v>blazer</v>
      </c>
      <c r="C85" s="9" t="s">
        <v>3072</v>
      </c>
      <c r="D85" s="54" t="s">
        <v>3472</v>
      </c>
      <c r="E85" s="54" t="s">
        <v>3473</v>
      </c>
      <c r="F85" s="54" t="s">
        <v>50</v>
      </c>
      <c r="G85" s="54" t="s">
        <v>50</v>
      </c>
    </row>
    <row r="86">
      <c r="A86" s="53">
        <f>IFERROR(__xludf.DUMMYFUNCTION("""COMPUTED_VALUE"""),159.0)</f>
        <v>159</v>
      </c>
      <c r="B86" s="16" t="str">
        <f>IFERROR(__xludf.DUMMYFUNCTION("""COMPUTED_VALUE"""),"blouse")</f>
        <v>blouse</v>
      </c>
      <c r="C86" s="9" t="s">
        <v>3072</v>
      </c>
      <c r="D86" s="54" t="s">
        <v>3474</v>
      </c>
      <c r="E86" s="54" t="s">
        <v>3475</v>
      </c>
      <c r="F86" s="54" t="s">
        <v>50</v>
      </c>
      <c r="G86" s="54" t="s">
        <v>50</v>
      </c>
    </row>
    <row r="87">
      <c r="A87" s="53">
        <f>IFERROR(__xludf.DUMMYFUNCTION("""COMPUTED_VALUE"""),161.0)</f>
        <v>161</v>
      </c>
      <c r="B87" s="16" t="str">
        <f>IFERROR(__xludf.DUMMYFUNCTION("""COMPUTED_VALUE"""),"Blue Mahoe")</f>
        <v>Blue Mahoe</v>
      </c>
      <c r="C87" s="9" t="s">
        <v>3072</v>
      </c>
      <c r="D87" s="54" t="s">
        <v>3476</v>
      </c>
      <c r="E87" s="54" t="s">
        <v>3477</v>
      </c>
      <c r="F87" s="54" t="s">
        <v>50</v>
      </c>
      <c r="G87" s="54" t="s">
        <v>50</v>
      </c>
    </row>
    <row r="88">
      <c r="A88" s="53">
        <f>IFERROR(__xludf.DUMMYFUNCTION("""COMPUTED_VALUE"""),162.0)</f>
        <v>162</v>
      </c>
      <c r="B88" s="16" t="str">
        <f>IFERROR(__xludf.DUMMYFUNCTION("""COMPUTED_VALUE"""),"Blue Mountain ")</f>
        <v>Blue Mountain </v>
      </c>
      <c r="C88" s="9" t="s">
        <v>3072</v>
      </c>
      <c r="D88" s="54" t="s">
        <v>3478</v>
      </c>
      <c r="E88" s="54" t="s">
        <v>3479</v>
      </c>
      <c r="F88" s="54" t="s">
        <v>50</v>
      </c>
      <c r="G88" s="54" t="s">
        <v>50</v>
      </c>
    </row>
    <row r="89">
      <c r="A89" s="53">
        <f>IFERROR(__xludf.DUMMYFUNCTION("""COMPUTED_VALUE"""),163.0)</f>
        <v>163</v>
      </c>
      <c r="B89" s="16" t="str">
        <f>IFERROR(__xludf.DUMMYFUNCTION("""COMPUTED_VALUE"""),"body")</f>
        <v>body</v>
      </c>
      <c r="C89" s="9" t="s">
        <v>3072</v>
      </c>
      <c r="D89" s="54" t="s">
        <v>50</v>
      </c>
      <c r="E89" s="54" t="s">
        <v>3480</v>
      </c>
      <c r="F89" s="54" t="s">
        <v>50</v>
      </c>
      <c r="G89" s="54" t="s">
        <v>50</v>
      </c>
    </row>
    <row r="90">
      <c r="A90" s="53">
        <f>IFERROR(__xludf.DUMMYFUNCTION("""COMPUTED_VALUE"""),166.0)</f>
        <v>166</v>
      </c>
      <c r="B90" s="16" t="str">
        <f>IFERROR(__xludf.DUMMYFUNCTION("""COMPUTED_VALUE"""),"book")</f>
        <v>book</v>
      </c>
      <c r="C90" s="9" t="s">
        <v>3072</v>
      </c>
      <c r="D90" s="54" t="s">
        <v>3481</v>
      </c>
      <c r="E90" s="54" t="s">
        <v>3482</v>
      </c>
      <c r="F90" s="54" t="s">
        <v>50</v>
      </c>
      <c r="G90" s="54" t="s">
        <v>50</v>
      </c>
    </row>
    <row r="91">
      <c r="A91" s="53">
        <f>IFERROR(__xludf.DUMMYFUNCTION("""COMPUTED_VALUE"""),167.0)</f>
        <v>167</v>
      </c>
      <c r="B91" s="16" t="str">
        <f>IFERROR(__xludf.DUMMYFUNCTION("""COMPUTED_VALUE"""),"boots")</f>
        <v>boots</v>
      </c>
      <c r="C91" s="9" t="s">
        <v>3072</v>
      </c>
      <c r="D91" s="9" t="s">
        <v>3483</v>
      </c>
      <c r="E91" s="54" t="s">
        <v>3484</v>
      </c>
      <c r="F91" s="54" t="s">
        <v>50</v>
      </c>
      <c r="G91" s="54" t="s">
        <v>50</v>
      </c>
    </row>
    <row r="92">
      <c r="A92" s="53">
        <f>IFERROR(__xludf.DUMMYFUNCTION("""COMPUTED_VALUE"""),170.0)</f>
        <v>170</v>
      </c>
      <c r="B92" s="16" t="str">
        <f>IFERROR(__xludf.DUMMYFUNCTION("""COMPUTED_VALUE"""),"bounce")</f>
        <v>bounce</v>
      </c>
      <c r="C92" s="9" t="s">
        <v>3072</v>
      </c>
      <c r="D92" s="54" t="s">
        <v>50</v>
      </c>
      <c r="E92" s="54" t="s">
        <v>3485</v>
      </c>
      <c r="F92" s="54" t="s">
        <v>50</v>
      </c>
      <c r="G92" s="54" t="s">
        <v>50</v>
      </c>
    </row>
    <row r="93">
      <c r="A93" s="53">
        <f>IFERROR(__xludf.DUMMYFUNCTION("""COMPUTED_VALUE"""),173.0)</f>
        <v>173</v>
      </c>
      <c r="B93" s="16" t="str">
        <f>IFERROR(__xludf.DUMMYFUNCTION("""COMPUTED_VALUE"""),"bread")</f>
        <v>bread</v>
      </c>
      <c r="C93" s="9" t="s">
        <v>3072</v>
      </c>
      <c r="D93" s="54" t="s">
        <v>50</v>
      </c>
      <c r="E93" s="54" t="s">
        <v>3486</v>
      </c>
      <c r="F93" s="54" t="s">
        <v>50</v>
      </c>
      <c r="G93" s="54" t="s">
        <v>50</v>
      </c>
    </row>
    <row r="94">
      <c r="A94" s="53">
        <f>IFERROR(__xludf.DUMMYFUNCTION("""COMPUTED_VALUE"""),175.0)</f>
        <v>175</v>
      </c>
      <c r="B94" s="16" t="str">
        <f>IFERROR(__xludf.DUMMYFUNCTION("""COMPUTED_VALUE"""),"breakfast")</f>
        <v>breakfast</v>
      </c>
      <c r="C94" s="9" t="s">
        <v>3072</v>
      </c>
      <c r="D94" s="54" t="s">
        <v>50</v>
      </c>
      <c r="E94" s="54" t="s">
        <v>3487</v>
      </c>
      <c r="F94" s="54" t="s">
        <v>50</v>
      </c>
      <c r="G94" s="54" t="s">
        <v>50</v>
      </c>
    </row>
    <row r="95">
      <c r="A95" s="53">
        <f>IFERROR(__xludf.DUMMYFUNCTION("""COMPUTED_VALUE"""),177.0)</f>
        <v>177</v>
      </c>
      <c r="B95" s="16" t="str">
        <f>IFERROR(__xludf.DUMMYFUNCTION("""COMPUTED_VALUE"""),"broom")</f>
        <v>broom</v>
      </c>
      <c r="C95" s="9" t="s">
        <v>3072</v>
      </c>
      <c r="D95" s="54" t="s">
        <v>50</v>
      </c>
      <c r="E95" s="54" t="s">
        <v>3488</v>
      </c>
      <c r="F95" s="9" t="s">
        <v>50</v>
      </c>
      <c r="G95" s="9" t="s">
        <v>50</v>
      </c>
    </row>
    <row r="96">
      <c r="A96" s="53">
        <f>IFERROR(__xludf.DUMMYFUNCTION("""COMPUTED_VALUE"""),178.0)</f>
        <v>178</v>
      </c>
      <c r="B96" s="16" t="str">
        <f>IFERROR(__xludf.DUMMYFUNCTION("""COMPUTED_VALUE"""),"brother")</f>
        <v>brother</v>
      </c>
      <c r="C96" s="9" t="s">
        <v>3072</v>
      </c>
      <c r="D96" s="54" t="s">
        <v>50</v>
      </c>
      <c r="E96" s="54" t="s">
        <v>3489</v>
      </c>
      <c r="F96" s="54" t="s">
        <v>50</v>
      </c>
      <c r="G96" s="54" t="s">
        <v>50</v>
      </c>
    </row>
    <row r="97">
      <c r="A97" s="53">
        <f>IFERROR(__xludf.DUMMYFUNCTION("""COMPUTED_VALUE"""),180.0)</f>
        <v>180</v>
      </c>
      <c r="B97" s="16" t="str">
        <f>IFERROR(__xludf.DUMMYFUNCTION("""COMPUTED_VALUE"""),"bull in a pen")</f>
        <v>bull in a pen</v>
      </c>
      <c r="C97" s="9" t="s">
        <v>3072</v>
      </c>
      <c r="D97" s="54" t="s">
        <v>50</v>
      </c>
      <c r="E97" s="54" t="s">
        <v>3490</v>
      </c>
      <c r="F97" s="54" t="s">
        <v>50</v>
      </c>
      <c r="G97" s="54" t="s">
        <v>50</v>
      </c>
    </row>
    <row r="98">
      <c r="A98" s="53">
        <f>IFERROR(__xludf.DUMMYFUNCTION("""COMPUTED_VALUE"""),183.0)</f>
        <v>183</v>
      </c>
      <c r="B98" s="16" t="str">
        <f>IFERROR(__xludf.DUMMYFUNCTION("""COMPUTED_VALUE"""),"butter")</f>
        <v>butter</v>
      </c>
      <c r="C98" s="9" t="s">
        <v>3072</v>
      </c>
      <c r="D98" s="54" t="s">
        <v>50</v>
      </c>
      <c r="E98" s="54" t="s">
        <v>3491</v>
      </c>
      <c r="F98" s="54" t="s">
        <v>50</v>
      </c>
      <c r="G98" s="54" t="s">
        <v>50</v>
      </c>
    </row>
    <row r="99">
      <c r="A99" s="53">
        <f>IFERROR(__xludf.DUMMYFUNCTION("""COMPUTED_VALUE"""),185.0)</f>
        <v>185</v>
      </c>
      <c r="B99" s="16" t="str">
        <f>IFERROR(__xludf.DUMMYFUNCTION("""COMPUTED_VALUE"""),"button")</f>
        <v>button</v>
      </c>
      <c r="C99" s="9" t="s">
        <v>3072</v>
      </c>
      <c r="D99" s="54" t="s">
        <v>50</v>
      </c>
      <c r="E99" s="54" t="s">
        <v>3492</v>
      </c>
      <c r="F99" s="54" t="s">
        <v>50</v>
      </c>
      <c r="G99" s="54" t="s">
        <v>50</v>
      </c>
    </row>
    <row r="100">
      <c r="A100" s="53">
        <f>IFERROR(__xludf.DUMMYFUNCTION("""COMPUTED_VALUE"""),186.0)</f>
        <v>186</v>
      </c>
      <c r="B100" s="16" t="str">
        <f>IFERROR(__xludf.DUMMYFUNCTION("""COMPUTED_VALUE"""),"cake")</f>
        <v>cake</v>
      </c>
      <c r="C100" s="9" t="s">
        <v>3072</v>
      </c>
      <c r="D100" s="54" t="s">
        <v>50</v>
      </c>
      <c r="E100" s="54" t="s">
        <v>3493</v>
      </c>
      <c r="F100" s="54" t="s">
        <v>50</v>
      </c>
      <c r="G100" s="54" t="s">
        <v>50</v>
      </c>
    </row>
    <row r="101">
      <c r="A101" s="53">
        <f>IFERROR(__xludf.DUMMYFUNCTION("""COMPUTED_VALUE"""),187.0)</f>
        <v>187</v>
      </c>
      <c r="B101" s="16" t="str">
        <f>IFERROR(__xludf.DUMMYFUNCTION("""COMPUTED_VALUE"""),"calendar")</f>
        <v>calendar</v>
      </c>
      <c r="C101" s="9" t="s">
        <v>3072</v>
      </c>
      <c r="D101" s="54" t="s">
        <v>50</v>
      </c>
      <c r="E101" s="54" t="s">
        <v>3494</v>
      </c>
      <c r="F101" s="54" t="s">
        <v>50</v>
      </c>
      <c r="G101" s="54" t="s">
        <v>50</v>
      </c>
    </row>
    <row r="102">
      <c r="A102" s="53">
        <f>IFERROR(__xludf.DUMMYFUNCTION("""COMPUTED_VALUE"""),189.0)</f>
        <v>189</v>
      </c>
      <c r="B102" s="16" t="str">
        <f>IFERROR(__xludf.DUMMYFUNCTION("""COMPUTED_VALUE"""),"callaloo")</f>
        <v>callaloo</v>
      </c>
      <c r="C102" s="9" t="s">
        <v>3072</v>
      </c>
      <c r="D102" s="54" t="s">
        <v>50</v>
      </c>
      <c r="E102" s="54" t="s">
        <v>3495</v>
      </c>
      <c r="F102" s="54" t="s">
        <v>50</v>
      </c>
      <c r="G102" s="54" t="s">
        <v>50</v>
      </c>
    </row>
    <row r="103">
      <c r="A103" s="53">
        <f>IFERROR(__xludf.DUMMYFUNCTION("""COMPUTED_VALUE"""),190.0)</f>
        <v>190</v>
      </c>
      <c r="B103" s="16" t="str">
        <f>IFERROR(__xludf.DUMMYFUNCTION("""COMPUTED_VALUE"""),"captain")</f>
        <v>captain</v>
      </c>
      <c r="C103" s="9" t="s">
        <v>3072</v>
      </c>
      <c r="D103" s="54" t="s">
        <v>50</v>
      </c>
      <c r="E103" s="54" t="s">
        <v>3496</v>
      </c>
      <c r="F103" s="54" t="s">
        <v>50</v>
      </c>
      <c r="G103" s="54" t="s">
        <v>50</v>
      </c>
    </row>
    <row r="104">
      <c r="A104" s="53">
        <f>IFERROR(__xludf.DUMMYFUNCTION("""COMPUTED_VALUE"""),191.0)</f>
        <v>191</v>
      </c>
      <c r="B104" s="16" t="str">
        <f>IFERROR(__xludf.DUMMYFUNCTION("""COMPUTED_VALUE"""),"car")</f>
        <v>car</v>
      </c>
      <c r="C104" s="9" t="s">
        <v>3072</v>
      </c>
      <c r="D104" s="54" t="s">
        <v>50</v>
      </c>
      <c r="E104" s="54" t="s">
        <v>3497</v>
      </c>
      <c r="F104" s="54" t="s">
        <v>50</v>
      </c>
      <c r="G104" s="54" t="s">
        <v>50</v>
      </c>
    </row>
    <row r="105">
      <c r="A105" s="53">
        <f>IFERROR(__xludf.DUMMYFUNCTION("""COMPUTED_VALUE"""),192.0)</f>
        <v>192</v>
      </c>
      <c r="B105" s="16" t="str">
        <f>IFERROR(__xludf.DUMMYFUNCTION("""COMPUTED_VALUE"""),"carbohydrate")</f>
        <v>carbohydrate</v>
      </c>
      <c r="C105" s="9" t="s">
        <v>3072</v>
      </c>
      <c r="D105" s="54" t="s">
        <v>50</v>
      </c>
      <c r="E105" s="54" t="s">
        <v>3498</v>
      </c>
      <c r="F105" s="54" t="s">
        <v>50</v>
      </c>
      <c r="G105" s="54" t="s">
        <v>50</v>
      </c>
    </row>
    <row r="106">
      <c r="A106" s="53">
        <f>IFERROR(__xludf.DUMMYFUNCTION("""COMPUTED_VALUE"""),193.0)</f>
        <v>193</v>
      </c>
      <c r="B106" s="16" t="str">
        <f>IFERROR(__xludf.DUMMYFUNCTION("""COMPUTED_VALUE"""),"cardigan")</f>
        <v>cardigan</v>
      </c>
      <c r="C106" s="9" t="s">
        <v>3072</v>
      </c>
      <c r="D106" s="54" t="s">
        <v>50</v>
      </c>
      <c r="E106" s="54" t="s">
        <v>3499</v>
      </c>
      <c r="F106" s="54" t="s">
        <v>50</v>
      </c>
      <c r="G106" s="54" t="s">
        <v>50</v>
      </c>
    </row>
    <row r="107">
      <c r="A107" s="53">
        <f>IFERROR(__xludf.DUMMYFUNCTION("""COMPUTED_VALUE"""),194.0)</f>
        <v>194</v>
      </c>
      <c r="B107" s="16" t="str">
        <f>IFERROR(__xludf.DUMMYFUNCTION("""COMPUTED_VALUE"""),"career")</f>
        <v>career</v>
      </c>
      <c r="C107" s="9" t="s">
        <v>3072</v>
      </c>
      <c r="D107" s="54" t="s">
        <v>50</v>
      </c>
      <c r="E107" s="54" t="s">
        <v>3500</v>
      </c>
      <c r="F107" s="54" t="s">
        <v>50</v>
      </c>
      <c r="G107" s="54" t="s">
        <v>50</v>
      </c>
    </row>
    <row r="108">
      <c r="A108" s="53">
        <f>IFERROR(__xludf.DUMMYFUNCTION("""COMPUTED_VALUE"""),196.0)</f>
        <v>196</v>
      </c>
      <c r="B108" s="16" t="str">
        <f>IFERROR(__xludf.DUMMYFUNCTION("""COMPUTED_VALUE"""),"cargo pants")</f>
        <v>cargo pants</v>
      </c>
      <c r="C108" s="9" t="s">
        <v>3072</v>
      </c>
      <c r="D108" s="54" t="s">
        <v>50</v>
      </c>
      <c r="E108" s="54" t="s">
        <v>3501</v>
      </c>
      <c r="F108" s="54" t="s">
        <v>50</v>
      </c>
      <c r="G108" s="54" t="s">
        <v>50</v>
      </c>
    </row>
    <row r="109">
      <c r="A109" s="53">
        <f>IFERROR(__xludf.DUMMYFUNCTION("""COMPUTED_VALUE"""),197.0)</f>
        <v>197</v>
      </c>
      <c r="B109" s="16" t="str">
        <f>IFERROR(__xludf.DUMMYFUNCTION("""COMPUTED_VALUE"""),"carpet")</f>
        <v>carpet</v>
      </c>
      <c r="C109" s="9" t="s">
        <v>3072</v>
      </c>
      <c r="D109" s="54" t="s">
        <v>50</v>
      </c>
      <c r="E109" s="54" t="s">
        <v>3502</v>
      </c>
      <c r="F109" s="54" t="s">
        <v>50</v>
      </c>
      <c r="G109" s="54" t="s">
        <v>50</v>
      </c>
    </row>
    <row r="110">
      <c r="A110" s="53">
        <f>IFERROR(__xludf.DUMMYFUNCTION("""COMPUTED_VALUE"""),198.0)</f>
        <v>198</v>
      </c>
      <c r="B110" s="16" t="str">
        <f>IFERROR(__xludf.DUMMYFUNCTION("""COMPUTED_VALUE"""),"cartoon")</f>
        <v>cartoon</v>
      </c>
      <c r="C110" s="9" t="s">
        <v>3072</v>
      </c>
      <c r="D110" s="54" t="s">
        <v>50</v>
      </c>
      <c r="E110" s="54" t="s">
        <v>3503</v>
      </c>
      <c r="F110" s="54" t="s">
        <v>50</v>
      </c>
      <c r="G110" s="54" t="s">
        <v>50</v>
      </c>
    </row>
    <row r="111">
      <c r="A111" s="53">
        <f>IFERROR(__xludf.DUMMYFUNCTION("""COMPUTED_VALUE"""),199.0)</f>
        <v>199</v>
      </c>
      <c r="B111" s="16" t="str">
        <f>IFERROR(__xludf.DUMMYFUNCTION("""COMPUTED_VALUE"""),"cat")</f>
        <v>cat</v>
      </c>
      <c r="C111" s="9" t="s">
        <v>3072</v>
      </c>
      <c r="D111" s="54" t="s">
        <v>50</v>
      </c>
      <c r="E111" s="54" t="s">
        <v>3504</v>
      </c>
      <c r="F111" s="54" t="s">
        <v>50</v>
      </c>
      <c r="G111" s="54" t="s">
        <v>50</v>
      </c>
    </row>
    <row r="112">
      <c r="A112" s="53">
        <f>IFERROR(__xludf.DUMMYFUNCTION("""COMPUTED_VALUE"""),200.0)</f>
        <v>200</v>
      </c>
      <c r="B112" s="16" t="str">
        <f>IFERROR(__xludf.DUMMYFUNCTION("""COMPUTED_VALUE"""),"catalogue")</f>
        <v>catalogue</v>
      </c>
      <c r="C112" s="9" t="s">
        <v>3072</v>
      </c>
      <c r="D112" s="54" t="s">
        <v>50</v>
      </c>
      <c r="E112" s="54" t="s">
        <v>3505</v>
      </c>
      <c r="F112" s="54" t="s">
        <v>50</v>
      </c>
      <c r="G112" s="54" t="s">
        <v>50</v>
      </c>
    </row>
    <row r="113">
      <c r="A113" s="53">
        <f>IFERROR(__xludf.DUMMYFUNCTION("""COMPUTED_VALUE"""),202.0)</f>
        <v>202</v>
      </c>
      <c r="B113" s="16" t="str">
        <f>IFERROR(__xludf.DUMMYFUNCTION("""COMPUTED_VALUE"""),"catch")</f>
        <v>catch</v>
      </c>
      <c r="C113" s="9" t="s">
        <v>3072</v>
      </c>
      <c r="D113" s="54" t="s">
        <v>50</v>
      </c>
      <c r="E113" s="54" t="s">
        <v>3506</v>
      </c>
      <c r="F113" s="54" t="s">
        <v>50</v>
      </c>
      <c r="G113" s="54" t="s">
        <v>50</v>
      </c>
    </row>
    <row r="114">
      <c r="A114" s="53">
        <f>IFERROR(__xludf.DUMMYFUNCTION("""COMPUTED_VALUE"""),203.0)</f>
        <v>203</v>
      </c>
      <c r="B114" s="16" t="str">
        <f>IFERROR(__xludf.DUMMYFUNCTION("""COMPUTED_VALUE"""),"caution")</f>
        <v>caution</v>
      </c>
      <c r="C114" s="9" t="s">
        <v>3072</v>
      </c>
      <c r="D114" s="54" t="s">
        <v>50</v>
      </c>
      <c r="E114" s="54" t="s">
        <v>3507</v>
      </c>
      <c r="F114" s="54" t="s">
        <v>50</v>
      </c>
      <c r="G114" s="54" t="s">
        <v>50</v>
      </c>
    </row>
    <row r="115">
      <c r="A115" s="53">
        <f>IFERROR(__xludf.DUMMYFUNCTION("""COMPUTED_VALUE"""),205.0)</f>
        <v>205</v>
      </c>
      <c r="B115" s="16" t="str">
        <f>IFERROR(__xludf.DUMMYFUNCTION("""COMPUTED_VALUE"""),"cell phone")</f>
        <v>cell phone</v>
      </c>
      <c r="C115" s="9" t="s">
        <v>3072</v>
      </c>
      <c r="D115" s="54" t="s">
        <v>50</v>
      </c>
      <c r="E115" s="54" t="s">
        <v>3508</v>
      </c>
      <c r="F115" s="54" t="s">
        <v>50</v>
      </c>
      <c r="G115" s="54" t="s">
        <v>50</v>
      </c>
    </row>
    <row r="116">
      <c r="A116" s="53">
        <f>IFERROR(__xludf.DUMMYFUNCTION("""COMPUTED_VALUE"""),206.0)</f>
        <v>206</v>
      </c>
      <c r="B116" s="16" t="str">
        <f>IFERROR(__xludf.DUMMYFUNCTION("""COMPUTED_VALUE"""),"Celsius")</f>
        <v>Celsius</v>
      </c>
      <c r="C116" s="9" t="s">
        <v>3072</v>
      </c>
      <c r="D116" s="54" t="s">
        <v>50</v>
      </c>
      <c r="E116" s="54" t="s">
        <v>3509</v>
      </c>
      <c r="F116" s="54" t="s">
        <v>50</v>
      </c>
      <c r="G116" s="54" t="s">
        <v>50</v>
      </c>
    </row>
    <row r="117">
      <c r="A117" s="53">
        <f>IFERROR(__xludf.DUMMYFUNCTION("""COMPUTED_VALUE"""),208.0)</f>
        <v>208</v>
      </c>
      <c r="B117" s="16" t="str">
        <f>IFERROR(__xludf.DUMMYFUNCTION("""COMPUTED_VALUE"""),"century")</f>
        <v>century</v>
      </c>
      <c r="C117" s="9" t="s">
        <v>3072</v>
      </c>
      <c r="D117" s="54" t="s">
        <v>50</v>
      </c>
      <c r="E117" s="54" t="s">
        <v>3510</v>
      </c>
      <c r="F117" s="54" t="s">
        <v>50</v>
      </c>
      <c r="G117" s="54" t="s">
        <v>50</v>
      </c>
    </row>
    <row r="118">
      <c r="A118" s="53">
        <f>IFERROR(__xludf.DUMMYFUNCTION("""COMPUTED_VALUE"""),209.0)</f>
        <v>209</v>
      </c>
      <c r="B118" s="16" t="str">
        <f>IFERROR(__xludf.DUMMYFUNCTION("""COMPUTED_VALUE"""),"cereal")</f>
        <v>cereal</v>
      </c>
      <c r="C118" s="9" t="s">
        <v>3072</v>
      </c>
      <c r="D118" s="9" t="s">
        <v>2222</v>
      </c>
      <c r="E118" s="54" t="s">
        <v>3511</v>
      </c>
      <c r="F118" s="54" t="s">
        <v>3512</v>
      </c>
      <c r="G118" s="54" t="s">
        <v>50</v>
      </c>
    </row>
    <row r="119">
      <c r="A119" s="53">
        <f>IFERROR(__xludf.DUMMYFUNCTION("""COMPUTED_VALUE"""),210.0)</f>
        <v>210</v>
      </c>
      <c r="B119" s="16" t="str">
        <f>IFERROR(__xludf.DUMMYFUNCTION("""COMPUTED_VALUE"""),"chair")</f>
        <v>chair</v>
      </c>
      <c r="C119" s="9" t="s">
        <v>3072</v>
      </c>
      <c r="D119" s="54" t="s">
        <v>3513</v>
      </c>
      <c r="E119" s="54" t="s">
        <v>3514</v>
      </c>
      <c r="F119" s="54" t="s">
        <v>50</v>
      </c>
      <c r="G119" s="54" t="s">
        <v>50</v>
      </c>
    </row>
    <row r="120">
      <c r="A120" s="53">
        <f>IFERROR(__xludf.DUMMYFUNCTION("""COMPUTED_VALUE"""),211.0)</f>
        <v>211</v>
      </c>
      <c r="B120" s="16" t="str">
        <f>IFERROR(__xludf.DUMMYFUNCTION("""COMPUTED_VALUE"""),"chalkboard")</f>
        <v>chalkboard</v>
      </c>
      <c r="C120" s="9" t="s">
        <v>3072</v>
      </c>
      <c r="D120" s="54" t="s">
        <v>3515</v>
      </c>
      <c r="E120" s="54" t="s">
        <v>3516</v>
      </c>
      <c r="F120" s="54" t="s">
        <v>50</v>
      </c>
      <c r="G120" s="54" t="s">
        <v>50</v>
      </c>
    </row>
    <row r="121">
      <c r="A121" s="53">
        <f>IFERROR(__xludf.DUMMYFUNCTION("""COMPUTED_VALUE"""),212.0)</f>
        <v>212</v>
      </c>
      <c r="B121" s="16" t="str">
        <f>IFERROR(__xludf.DUMMYFUNCTION("""COMPUTED_VALUE"""),"chapter")</f>
        <v>chapter</v>
      </c>
      <c r="C121" s="9" t="s">
        <v>3072</v>
      </c>
      <c r="D121" s="54" t="s">
        <v>3517</v>
      </c>
      <c r="E121" s="54" t="s">
        <v>3518</v>
      </c>
      <c r="F121" s="54" t="s">
        <v>50</v>
      </c>
      <c r="G121" s="54" t="s">
        <v>50</v>
      </c>
    </row>
    <row r="122">
      <c r="A122" s="53">
        <f>IFERROR(__xludf.DUMMYFUNCTION("""COMPUTED_VALUE"""),213.0)</f>
        <v>213</v>
      </c>
      <c r="B122" s="16" t="str">
        <f>IFERROR(__xludf.DUMMYFUNCTION("""COMPUTED_VALUE"""),"characters")</f>
        <v>characters</v>
      </c>
      <c r="C122" s="9" t="s">
        <v>3072</v>
      </c>
      <c r="D122" s="54" t="s">
        <v>3519</v>
      </c>
      <c r="E122" s="54" t="s">
        <v>3520</v>
      </c>
      <c r="F122" s="54" t="s">
        <v>50</v>
      </c>
      <c r="G122" s="54" t="s">
        <v>50</v>
      </c>
    </row>
    <row r="123">
      <c r="A123" s="53">
        <f>IFERROR(__xludf.DUMMYFUNCTION("""COMPUTED_VALUE"""),214.0)</f>
        <v>214</v>
      </c>
      <c r="B123" s="16" t="str">
        <f>IFERROR(__xludf.DUMMYFUNCTION("""COMPUTED_VALUE"""),"characters")</f>
        <v>characters</v>
      </c>
      <c r="C123" s="9" t="s">
        <v>3072</v>
      </c>
      <c r="D123" s="54" t="s">
        <v>3521</v>
      </c>
      <c r="E123" s="54" t="s">
        <v>3522</v>
      </c>
      <c r="F123" s="54" t="s">
        <v>50</v>
      </c>
      <c r="G123" s="54" t="s">
        <v>50</v>
      </c>
    </row>
    <row r="124">
      <c r="A124" s="53">
        <f>IFERROR(__xludf.DUMMYFUNCTION("""COMPUTED_VALUE"""),216.0)</f>
        <v>216</v>
      </c>
      <c r="B124" s="16" t="str">
        <f>IFERROR(__xludf.DUMMYFUNCTION("""COMPUTED_VALUE"""),"checklist ")</f>
        <v>checklist </v>
      </c>
      <c r="C124" s="9" t="s">
        <v>3072</v>
      </c>
      <c r="D124" s="54" t="s">
        <v>3523</v>
      </c>
      <c r="E124" s="54" t="s">
        <v>3524</v>
      </c>
      <c r="F124" s="54" t="s">
        <v>50</v>
      </c>
      <c r="G124" s="54" t="s">
        <v>50</v>
      </c>
    </row>
    <row r="125">
      <c r="A125" s="53">
        <f>IFERROR(__xludf.DUMMYFUNCTION("""COMPUTED_VALUE"""),217.0)</f>
        <v>217</v>
      </c>
      <c r="B125" s="16" t="str">
        <f>IFERROR(__xludf.DUMMYFUNCTION("""COMPUTED_VALUE"""),"Chest")</f>
        <v>Chest</v>
      </c>
      <c r="C125" s="9" t="s">
        <v>3072</v>
      </c>
      <c r="D125" s="54" t="s">
        <v>3525</v>
      </c>
      <c r="E125" s="54" t="s">
        <v>3526</v>
      </c>
      <c r="F125" s="54" t="s">
        <v>50</v>
      </c>
      <c r="G125" s="54" t="s">
        <v>50</v>
      </c>
    </row>
    <row r="126">
      <c r="A126" s="53">
        <f>IFERROR(__xludf.DUMMYFUNCTION("""COMPUTED_VALUE"""),218.0)</f>
        <v>218</v>
      </c>
      <c r="B126" s="16" t="str">
        <f>IFERROR(__xludf.DUMMYFUNCTION("""COMPUTED_VALUE"""),"chicken")</f>
        <v>chicken</v>
      </c>
      <c r="C126" s="9" t="s">
        <v>3072</v>
      </c>
      <c r="D126" s="54" t="s">
        <v>3527</v>
      </c>
      <c r="E126" s="54" t="s">
        <v>3528</v>
      </c>
      <c r="F126" s="54" t="s">
        <v>50</v>
      </c>
      <c r="G126" s="54" t="s">
        <v>50</v>
      </c>
    </row>
    <row r="127">
      <c r="A127" s="53">
        <f>IFERROR(__xludf.DUMMYFUNCTION("""COMPUTED_VALUE"""),220.0)</f>
        <v>220</v>
      </c>
      <c r="B127" s="16" t="str">
        <f>IFERROR(__xludf.DUMMYFUNCTION("""COMPUTED_VALUE"""),"chiney-skip")</f>
        <v>chiney-skip</v>
      </c>
      <c r="C127" s="9" t="s">
        <v>3072</v>
      </c>
      <c r="D127" s="54" t="s">
        <v>1774</v>
      </c>
      <c r="E127" s="54" t="s">
        <v>3529</v>
      </c>
      <c r="F127" s="54" t="s">
        <v>50</v>
      </c>
      <c r="G127" s="54" t="s">
        <v>50</v>
      </c>
    </row>
    <row r="128">
      <c r="A128" s="53">
        <f>IFERROR(__xludf.DUMMYFUNCTION("""COMPUTED_VALUE"""),224.0)</f>
        <v>224</v>
      </c>
      <c r="B128" s="16" t="str">
        <f>IFERROR(__xludf.DUMMYFUNCTION("""COMPUTED_VALUE"""),"Christmas")</f>
        <v>Christmas</v>
      </c>
      <c r="C128" s="9" t="s">
        <v>3072</v>
      </c>
      <c r="D128" s="54" t="s">
        <v>3530</v>
      </c>
      <c r="E128" s="54" t="s">
        <v>3531</v>
      </c>
      <c r="F128" s="54" t="s">
        <v>3512</v>
      </c>
      <c r="G128" s="54" t="s">
        <v>692</v>
      </c>
    </row>
    <row r="129">
      <c r="A129" s="53">
        <f>IFERROR(__xludf.DUMMYFUNCTION("""COMPUTED_VALUE"""),225.0)</f>
        <v>225</v>
      </c>
      <c r="B129" s="16" t="str">
        <f>IFERROR(__xludf.DUMMYFUNCTION("""COMPUTED_VALUE"""),"church")</f>
        <v>church</v>
      </c>
      <c r="C129" s="9" t="s">
        <v>3072</v>
      </c>
      <c r="D129" s="54" t="s">
        <v>3532</v>
      </c>
      <c r="E129" s="54" t="s">
        <v>3533</v>
      </c>
      <c r="F129" s="54" t="s">
        <v>50</v>
      </c>
      <c r="G129" s="54" t="s">
        <v>50</v>
      </c>
    </row>
    <row r="130">
      <c r="A130" s="53">
        <f>IFERROR(__xludf.DUMMYFUNCTION("""COMPUTED_VALUE"""),226.0)</f>
        <v>226</v>
      </c>
      <c r="B130" s="16" t="str">
        <f>IFERROR(__xludf.DUMMYFUNCTION("""COMPUTED_VALUE"""),"circle graph")</f>
        <v>circle graph</v>
      </c>
      <c r="C130" s="9" t="s">
        <v>3072</v>
      </c>
      <c r="D130" s="54" t="s">
        <v>3534</v>
      </c>
      <c r="E130" s="54" t="s">
        <v>3535</v>
      </c>
      <c r="F130" s="54" t="s">
        <v>50</v>
      </c>
      <c r="G130" s="54" t="s">
        <v>50</v>
      </c>
    </row>
    <row r="131">
      <c r="A131" s="53">
        <f>IFERROR(__xludf.DUMMYFUNCTION("""COMPUTED_VALUE"""),228.0)</f>
        <v>228</v>
      </c>
      <c r="B131" s="16" t="str">
        <f>IFERROR(__xludf.DUMMYFUNCTION("""COMPUTED_VALUE"""),"clap")</f>
        <v>clap</v>
      </c>
      <c r="C131" s="9" t="s">
        <v>3072</v>
      </c>
      <c r="D131" s="54" t="s">
        <v>50</v>
      </c>
      <c r="E131" s="54" t="s">
        <v>50</v>
      </c>
      <c r="F131" s="54" t="s">
        <v>3536</v>
      </c>
      <c r="G131" s="54" t="s">
        <v>3536</v>
      </c>
    </row>
    <row r="132">
      <c r="A132" s="53">
        <f>IFERROR(__xludf.DUMMYFUNCTION("""COMPUTED_VALUE"""),229.0)</f>
        <v>229</v>
      </c>
      <c r="B132" s="16" t="str">
        <f>IFERROR(__xludf.DUMMYFUNCTION("""COMPUTED_VALUE"""),"Clarendon")</f>
        <v>Clarendon</v>
      </c>
      <c r="C132" s="9" t="s">
        <v>3072</v>
      </c>
      <c r="D132" s="54" t="s">
        <v>3537</v>
      </c>
      <c r="E132" s="54" t="s">
        <v>3538</v>
      </c>
      <c r="F132" s="54" t="s">
        <v>50</v>
      </c>
      <c r="G132" s="54" t="s">
        <v>50</v>
      </c>
    </row>
    <row r="133">
      <c r="A133" s="53">
        <f>IFERROR(__xludf.DUMMYFUNCTION("""COMPUTED_VALUE"""),230.0)</f>
        <v>230</v>
      </c>
      <c r="B133" s="16" t="str">
        <f>IFERROR(__xludf.DUMMYFUNCTION("""COMPUTED_VALUE"""),"classroom")</f>
        <v>classroom</v>
      </c>
      <c r="C133" s="9" t="s">
        <v>3072</v>
      </c>
      <c r="D133" s="9" t="s">
        <v>323</v>
      </c>
      <c r="E133" s="54" t="s">
        <v>3539</v>
      </c>
      <c r="F133" s="54" t="s">
        <v>50</v>
      </c>
      <c r="G133" s="54" t="s">
        <v>50</v>
      </c>
    </row>
    <row r="134">
      <c r="A134" s="53">
        <f>IFERROR(__xludf.DUMMYFUNCTION("""COMPUTED_VALUE"""),231.0)</f>
        <v>231</v>
      </c>
      <c r="B134" s="16" t="str">
        <f>IFERROR(__xludf.DUMMYFUNCTION("""COMPUTED_VALUE"""),"coat")</f>
        <v>coat</v>
      </c>
      <c r="C134" s="9" t="s">
        <v>3072</v>
      </c>
      <c r="D134" s="54" t="s">
        <v>3540</v>
      </c>
      <c r="E134" s="54" t="s">
        <v>3541</v>
      </c>
      <c r="F134" s="54" t="s">
        <v>50</v>
      </c>
      <c r="G134" s="54" t="s">
        <v>50</v>
      </c>
    </row>
    <row r="135">
      <c r="A135" s="53">
        <f>IFERROR(__xludf.DUMMYFUNCTION("""COMPUTED_VALUE"""),232.0)</f>
        <v>232</v>
      </c>
      <c r="B135" s="16" t="str">
        <f>IFERROR(__xludf.DUMMYFUNCTION("""COMPUTED_VALUE"""),"collar")</f>
        <v>collar</v>
      </c>
      <c r="C135" s="9" t="s">
        <v>3072</v>
      </c>
      <c r="D135" s="54" t="s">
        <v>3542</v>
      </c>
      <c r="E135" s="54" t="s">
        <v>3543</v>
      </c>
      <c r="F135" s="54" t="s">
        <v>50</v>
      </c>
      <c r="G135" s="54" t="s">
        <v>50</v>
      </c>
    </row>
    <row r="136">
      <c r="A136" s="53">
        <f>IFERROR(__xludf.DUMMYFUNCTION("""COMPUTED_VALUE"""),234.0)</f>
        <v>234</v>
      </c>
      <c r="B136" s="16" t="str">
        <f>IFERROR(__xludf.DUMMYFUNCTION("""COMPUTED_VALUE"""),"cold")</f>
        <v>cold</v>
      </c>
      <c r="C136" s="9" t="s">
        <v>3072</v>
      </c>
      <c r="D136" s="54" t="s">
        <v>3544</v>
      </c>
      <c r="E136" s="54" t="s">
        <v>3545</v>
      </c>
      <c r="F136" s="54" t="s">
        <v>50</v>
      </c>
      <c r="G136" s="54" t="s">
        <v>50</v>
      </c>
    </row>
    <row r="137">
      <c r="A137" s="53">
        <f>IFERROR(__xludf.DUMMYFUNCTION("""COMPUTED_VALUE"""),236.0)</f>
        <v>236</v>
      </c>
      <c r="B137" s="16" t="str">
        <f>IFERROR(__xludf.DUMMYFUNCTION("""COMPUTED_VALUE"""),"cuff")</f>
        <v>cuff</v>
      </c>
      <c r="C137" s="9" t="s">
        <v>3072</v>
      </c>
      <c r="D137" s="54" t="s">
        <v>3546</v>
      </c>
      <c r="E137" s="54" t="s">
        <v>3547</v>
      </c>
      <c r="F137" s="54" t="s">
        <v>50</v>
      </c>
      <c r="G137" s="54" t="s">
        <v>50</v>
      </c>
    </row>
    <row r="138">
      <c r="A138" s="53">
        <f>IFERROR(__xludf.DUMMYFUNCTION("""COMPUTED_VALUE"""),238.0)</f>
        <v>238</v>
      </c>
      <c r="B138" s="16" t="str">
        <f>IFERROR(__xludf.DUMMYFUNCTION("""COMPUTED_VALUE"""),"community")</f>
        <v>community</v>
      </c>
      <c r="C138" s="9" t="s">
        <v>3072</v>
      </c>
      <c r="D138" s="54" t="s">
        <v>3548</v>
      </c>
      <c r="E138" s="54" t="s">
        <v>3549</v>
      </c>
      <c r="F138" s="54" t="s">
        <v>50</v>
      </c>
      <c r="G138" s="54" t="s">
        <v>50</v>
      </c>
    </row>
    <row r="139">
      <c r="A139" s="53">
        <f>IFERROR(__xludf.DUMMYFUNCTION("""COMPUTED_VALUE"""),240.0)</f>
        <v>240</v>
      </c>
      <c r="B139" s="16" t="str">
        <f>IFERROR(__xludf.DUMMYFUNCTION("""COMPUTED_VALUE"""),"competition")</f>
        <v>competition</v>
      </c>
      <c r="C139" s="9" t="s">
        <v>3072</v>
      </c>
      <c r="D139" s="54" t="s">
        <v>3550</v>
      </c>
      <c r="E139" s="54" t="s">
        <v>3551</v>
      </c>
      <c r="F139" s="54" t="s">
        <v>50</v>
      </c>
      <c r="G139" s="54" t="s">
        <v>50</v>
      </c>
    </row>
    <row r="140">
      <c r="A140" s="53">
        <f>IFERROR(__xludf.DUMMYFUNCTION("""COMPUTED_VALUE"""),243.0)</f>
        <v>243</v>
      </c>
      <c r="B140" s="16" t="str">
        <f>IFERROR(__xludf.DUMMYFUNCTION("""COMPUTED_VALUE"""),"concept")</f>
        <v>concept</v>
      </c>
      <c r="C140" s="9" t="s">
        <v>3072</v>
      </c>
      <c r="D140" s="54" t="s">
        <v>3552</v>
      </c>
      <c r="E140" s="54" t="s">
        <v>3553</v>
      </c>
      <c r="F140" s="54" t="s">
        <v>50</v>
      </c>
      <c r="G140" s="54" t="s">
        <v>50</v>
      </c>
    </row>
    <row r="141">
      <c r="A141" s="53">
        <f>IFERROR(__xludf.DUMMYFUNCTION("""COMPUTED_VALUE"""),244.0)</f>
        <v>244</v>
      </c>
      <c r="B141" s="16" t="str">
        <f>IFERROR(__xludf.DUMMYFUNCTION("""COMPUTED_VALUE"""),"conductor")</f>
        <v>conductor</v>
      </c>
      <c r="C141" s="9" t="s">
        <v>3072</v>
      </c>
      <c r="D141" s="54" t="s">
        <v>3554</v>
      </c>
      <c r="E141" s="54" t="s">
        <v>3555</v>
      </c>
      <c r="F141" s="54" t="s">
        <v>50</v>
      </c>
      <c r="G141" s="54" t="s">
        <v>50</v>
      </c>
    </row>
    <row r="142">
      <c r="A142" s="53">
        <f>IFERROR(__xludf.DUMMYFUNCTION("""COMPUTED_VALUE"""),250.0)</f>
        <v>250</v>
      </c>
      <c r="B142" s="16" t="str">
        <f>IFERROR(__xludf.DUMMYFUNCTION("""COMPUTED_VALUE"""),"country")</f>
        <v>country</v>
      </c>
      <c r="C142" s="9" t="s">
        <v>3072</v>
      </c>
      <c r="D142" s="54" t="s">
        <v>3556</v>
      </c>
      <c r="E142" s="54" t="s">
        <v>3557</v>
      </c>
      <c r="F142" s="54" t="s">
        <v>50</v>
      </c>
      <c r="G142" s="54" t="s">
        <v>50</v>
      </c>
    </row>
    <row r="143">
      <c r="A143" s="53">
        <f>IFERROR(__xludf.DUMMYFUNCTION("""COMPUTED_VALUE"""),251.0)</f>
        <v>251</v>
      </c>
      <c r="B143" s="16" t="str">
        <f>IFERROR(__xludf.DUMMYFUNCTION("""COMPUTED_VALUE"""),"couplet ")</f>
        <v>couplet </v>
      </c>
      <c r="C143" s="9" t="s">
        <v>3072</v>
      </c>
      <c r="D143" s="54" t="s">
        <v>35</v>
      </c>
      <c r="E143" s="54" t="s">
        <v>3558</v>
      </c>
      <c r="F143" s="54" t="s">
        <v>3559</v>
      </c>
    </row>
    <row r="144">
      <c r="A144" s="53">
        <f>IFERROR(__xludf.DUMMYFUNCTION("""COMPUTED_VALUE"""),252.0)</f>
        <v>252</v>
      </c>
      <c r="B144" s="16" t="str">
        <f>IFERROR(__xludf.DUMMYFUNCTION("""COMPUTED_VALUE"""),"cousin")</f>
        <v>cousin</v>
      </c>
      <c r="C144" s="9" t="s">
        <v>3072</v>
      </c>
      <c r="D144" s="54" t="s">
        <v>3560</v>
      </c>
      <c r="E144" s="54" t="s">
        <v>3561</v>
      </c>
      <c r="F144" s="54" t="s">
        <v>50</v>
      </c>
      <c r="G144" s="54" t="s">
        <v>50</v>
      </c>
    </row>
    <row r="145">
      <c r="A145" s="53">
        <f>IFERROR(__xludf.DUMMYFUNCTION("""COMPUTED_VALUE"""),253.0)</f>
        <v>253</v>
      </c>
      <c r="B145" s="16" t="str">
        <f>IFERROR(__xludf.DUMMYFUNCTION("""COMPUTED_VALUE"""),"cover page")</f>
        <v>cover page</v>
      </c>
      <c r="C145" s="9" t="s">
        <v>3072</v>
      </c>
      <c r="D145" s="54" t="s">
        <v>3562</v>
      </c>
      <c r="E145" s="54" t="s">
        <v>3563</v>
      </c>
      <c r="F145" s="54" t="s">
        <v>50</v>
      </c>
      <c r="G145" s="54" t="s">
        <v>50</v>
      </c>
    </row>
    <row r="146">
      <c r="A146" s="53">
        <f>IFERROR(__xludf.DUMMYFUNCTION("""COMPUTED_VALUE"""),255.0)</f>
        <v>255</v>
      </c>
      <c r="B146" s="16" t="str">
        <f>IFERROR(__xludf.DUMMYFUNCTION("""COMPUTED_VALUE"""),"cow")</f>
        <v>cow</v>
      </c>
      <c r="C146" s="9" t="s">
        <v>3072</v>
      </c>
      <c r="D146" s="54" t="s">
        <v>3564</v>
      </c>
      <c r="E146" s="54" t="s">
        <v>3565</v>
      </c>
      <c r="F146" s="54" t="s">
        <v>50</v>
      </c>
      <c r="G146" s="54" t="s">
        <v>50</v>
      </c>
    </row>
    <row r="147">
      <c r="A147" s="53">
        <f>IFERROR(__xludf.DUMMYFUNCTION("""COMPUTED_VALUE"""),256.0)</f>
        <v>256</v>
      </c>
      <c r="B147" s="16" t="str">
        <f>IFERROR(__xludf.DUMMYFUNCTION("""COMPUTED_VALUE"""),"CPR")</f>
        <v>CPR</v>
      </c>
      <c r="C147" s="9" t="s">
        <v>3072</v>
      </c>
      <c r="D147" s="54" t="s">
        <v>3566</v>
      </c>
      <c r="E147" s="54" t="s">
        <v>3567</v>
      </c>
      <c r="F147" s="54" t="s">
        <v>50</v>
      </c>
      <c r="G147" s="54" t="s">
        <v>50</v>
      </c>
    </row>
    <row r="148">
      <c r="A148" s="53">
        <f>IFERROR(__xludf.DUMMYFUNCTION("""COMPUTED_VALUE"""),257.0)</f>
        <v>257</v>
      </c>
      <c r="B148" s="16" t="str">
        <f>IFERROR(__xludf.DUMMYFUNCTION("""COMPUTED_VALUE"""),"crab")</f>
        <v>crab</v>
      </c>
      <c r="C148" s="9" t="s">
        <v>3072</v>
      </c>
      <c r="D148" s="54" t="s">
        <v>3568</v>
      </c>
      <c r="E148" s="54" t="s">
        <v>3569</v>
      </c>
      <c r="F148" s="54" t="s">
        <v>50</v>
      </c>
      <c r="G148" s="54" t="s">
        <v>50</v>
      </c>
    </row>
    <row r="149">
      <c r="A149" s="53">
        <f>IFERROR(__xludf.DUMMYFUNCTION("""COMPUTED_VALUE"""),262.0)</f>
        <v>262</v>
      </c>
      <c r="B149" s="16" t="str">
        <f>IFERROR(__xludf.DUMMYFUNCTION("""COMPUTED_VALUE"""),"Creole")</f>
        <v>Creole</v>
      </c>
      <c r="C149" s="9" t="s">
        <v>3072</v>
      </c>
      <c r="D149" s="54" t="s">
        <v>3570</v>
      </c>
      <c r="E149" s="54" t="s">
        <v>3571</v>
      </c>
      <c r="F149" s="54" t="s">
        <v>50</v>
      </c>
      <c r="G149" s="54" t="s">
        <v>50</v>
      </c>
    </row>
    <row r="150">
      <c r="A150" s="53">
        <f>IFERROR(__xludf.DUMMYFUNCTION("""COMPUTED_VALUE"""),263.0)</f>
        <v>263</v>
      </c>
      <c r="B150" s="16" t="str">
        <f>IFERROR(__xludf.DUMMYFUNCTION("""COMPUTED_VALUE"""),"cricket")</f>
        <v>cricket</v>
      </c>
      <c r="C150" s="9" t="s">
        <v>3072</v>
      </c>
      <c r="D150" s="54" t="s">
        <v>3572</v>
      </c>
      <c r="E150" s="54" t="s">
        <v>3573</v>
      </c>
      <c r="F150" s="54" t="s">
        <v>50</v>
      </c>
      <c r="G150" s="54" t="s">
        <v>50</v>
      </c>
    </row>
    <row r="151">
      <c r="A151" s="53">
        <f>IFERROR(__xludf.DUMMYFUNCTION("""COMPUTED_VALUE"""),265.0)</f>
        <v>265</v>
      </c>
      <c r="B151" s="16" t="str">
        <f>IFERROR(__xludf.DUMMYFUNCTION("""COMPUTED_VALUE"""),"crocodile")</f>
        <v>crocodile</v>
      </c>
      <c r="C151" s="9" t="s">
        <v>3072</v>
      </c>
      <c r="D151" s="54" t="s">
        <v>50</v>
      </c>
      <c r="E151" s="54" t="s">
        <v>50</v>
      </c>
      <c r="F151" s="54" t="s">
        <v>50</v>
      </c>
      <c r="G151" s="54" t="s">
        <v>50</v>
      </c>
    </row>
    <row r="152">
      <c r="A152" s="53">
        <f>IFERROR(__xludf.DUMMYFUNCTION("""COMPUTED_VALUE"""),267.0)</f>
        <v>267</v>
      </c>
      <c r="B152" s="16" t="str">
        <f>IFERROR(__xludf.DUMMYFUNCTION("""COMPUTED_VALUE"""),"curtains")</f>
        <v>curtains</v>
      </c>
      <c r="C152" s="9" t="s">
        <v>3072</v>
      </c>
      <c r="D152" s="54" t="s">
        <v>3574</v>
      </c>
      <c r="E152" s="54" t="s">
        <v>3575</v>
      </c>
      <c r="F152" s="54" t="s">
        <v>50</v>
      </c>
      <c r="G152" s="54" t="s">
        <v>50</v>
      </c>
    </row>
    <row r="153">
      <c r="A153" s="53">
        <f>IFERROR(__xludf.DUMMYFUNCTION("""COMPUTED_VALUE"""),269.0)</f>
        <v>269</v>
      </c>
      <c r="B153" s="16" t="str">
        <f>IFERROR(__xludf.DUMMYFUNCTION("""COMPUTED_VALUE"""),"cursive")</f>
        <v>cursive</v>
      </c>
      <c r="C153" s="9" t="s">
        <v>3072</v>
      </c>
      <c r="D153" s="54" t="s">
        <v>50</v>
      </c>
      <c r="E153" s="54" t="s">
        <v>50</v>
      </c>
      <c r="F153" s="54" t="s">
        <v>50</v>
      </c>
      <c r="G153" s="54" t="s">
        <v>50</v>
      </c>
    </row>
    <row r="154">
      <c r="A154" s="53">
        <f>IFERROR(__xludf.DUMMYFUNCTION("""COMPUTED_VALUE"""),270.0)</f>
        <v>270</v>
      </c>
      <c r="B154" s="16" t="str">
        <f>IFERROR(__xludf.DUMMYFUNCTION("""COMPUTED_VALUE"""),"dining room")</f>
        <v>dining room</v>
      </c>
      <c r="C154" s="9" t="s">
        <v>3072</v>
      </c>
      <c r="D154" s="54" t="s">
        <v>50</v>
      </c>
      <c r="E154" s="54" t="s">
        <v>50</v>
      </c>
      <c r="F154" s="54" t="s">
        <v>50</v>
      </c>
      <c r="G154" s="54" t="s">
        <v>50</v>
      </c>
    </row>
    <row r="155">
      <c r="A155" s="53">
        <f>IFERROR(__xludf.DUMMYFUNCTION("""COMPUTED_VALUE"""),274.0)</f>
        <v>274</v>
      </c>
      <c r="B155" s="16" t="str">
        <f>IFERROR(__xludf.DUMMYFUNCTION("""COMPUTED_VALUE"""),"dance")</f>
        <v>dance</v>
      </c>
      <c r="C155" s="9" t="s">
        <v>3072</v>
      </c>
      <c r="D155" s="54" t="s">
        <v>50</v>
      </c>
      <c r="E155" s="54" t="s">
        <v>50</v>
      </c>
      <c r="F155" s="54" t="s">
        <v>50</v>
      </c>
      <c r="G155" s="54" t="s">
        <v>50</v>
      </c>
    </row>
    <row r="156">
      <c r="A156" s="53">
        <f>IFERROR(__xludf.DUMMYFUNCTION("""COMPUTED_VALUE"""),275.0)</f>
        <v>275</v>
      </c>
      <c r="B156" s="16" t="str">
        <f>IFERROR(__xludf.DUMMYFUNCTION("""COMPUTED_VALUE"""),"dandy-shandy")</f>
        <v>dandy-shandy</v>
      </c>
      <c r="C156" s="9" t="s">
        <v>3072</v>
      </c>
      <c r="D156" s="54" t="s">
        <v>50</v>
      </c>
      <c r="E156" s="54" t="s">
        <v>50</v>
      </c>
      <c r="F156" s="54" t="s">
        <v>50</v>
      </c>
      <c r="G156" s="54" t="s">
        <v>50</v>
      </c>
    </row>
    <row r="157">
      <c r="A157" s="53">
        <f>IFERROR(__xludf.DUMMYFUNCTION("""COMPUTED_VALUE"""),276.0)</f>
        <v>276</v>
      </c>
      <c r="B157" s="16" t="str">
        <f>IFERROR(__xludf.DUMMYFUNCTION("""COMPUTED_VALUE"""),"danger")</f>
        <v>danger</v>
      </c>
      <c r="C157" s="9" t="s">
        <v>3072</v>
      </c>
      <c r="D157" s="54" t="s">
        <v>50</v>
      </c>
      <c r="E157" s="54" t="s">
        <v>50</v>
      </c>
      <c r="F157" s="54" t="s">
        <v>50</v>
      </c>
      <c r="G157" s="54" t="s">
        <v>50</v>
      </c>
    </row>
    <row r="158">
      <c r="A158" s="53">
        <f>IFERROR(__xludf.DUMMYFUNCTION("""COMPUTED_VALUE"""),277.0)</f>
        <v>277</v>
      </c>
      <c r="B158" s="16" t="str">
        <f>IFERROR(__xludf.DUMMYFUNCTION("""COMPUTED_VALUE"""),"data")</f>
        <v>data</v>
      </c>
      <c r="C158" s="9" t="s">
        <v>3072</v>
      </c>
      <c r="D158" s="54" t="s">
        <v>3576</v>
      </c>
      <c r="E158" s="54" t="s">
        <v>3577</v>
      </c>
      <c r="F158" s="54" t="s">
        <v>50</v>
      </c>
      <c r="G158" s="54" t="s">
        <v>50</v>
      </c>
    </row>
    <row r="159">
      <c r="A159" s="53">
        <f>IFERROR(__xludf.DUMMYFUNCTION("""COMPUTED_VALUE"""),278.0)</f>
        <v>278</v>
      </c>
      <c r="B159" s="16" t="str">
        <f>IFERROR(__xludf.DUMMYFUNCTION("""COMPUTED_VALUE"""),"December")</f>
        <v>December</v>
      </c>
      <c r="C159" s="9" t="s">
        <v>3072</v>
      </c>
      <c r="D159" s="54" t="s">
        <v>3578</v>
      </c>
      <c r="E159" s="54" t="s">
        <v>3579</v>
      </c>
      <c r="F159" s="54" t="s">
        <v>50</v>
      </c>
      <c r="G159" s="54" t="s">
        <v>50</v>
      </c>
    </row>
    <row r="160">
      <c r="A160" s="53">
        <f>IFERROR(__xludf.DUMMYFUNCTION("""COMPUTED_VALUE"""),282.0)</f>
        <v>282</v>
      </c>
      <c r="B160" s="16" t="str">
        <f>IFERROR(__xludf.DUMMYFUNCTION("""COMPUTED_VALUE"""),"deed")</f>
        <v>deed</v>
      </c>
      <c r="C160" s="9" t="s">
        <v>3072</v>
      </c>
      <c r="D160" s="54" t="s">
        <v>3580</v>
      </c>
      <c r="E160" s="54" t="s">
        <v>3581</v>
      </c>
      <c r="F160" s="54" t="s">
        <v>50</v>
      </c>
      <c r="G160" s="54" t="s">
        <v>50</v>
      </c>
    </row>
    <row r="161">
      <c r="A161" s="53">
        <f>IFERROR(__xludf.DUMMYFUNCTION("""COMPUTED_VALUE"""),284.0)</f>
        <v>284</v>
      </c>
      <c r="B161" s="16" t="str">
        <f>IFERROR(__xludf.DUMMYFUNCTION("""COMPUTED_VALUE"""),"degrees")</f>
        <v>degrees</v>
      </c>
      <c r="C161" s="9" t="s">
        <v>3072</v>
      </c>
      <c r="D161" s="54" t="s">
        <v>50</v>
      </c>
      <c r="E161" s="54" t="s">
        <v>50</v>
      </c>
      <c r="F161" s="54" t="s">
        <v>50</v>
      </c>
      <c r="G161" s="54" t="s">
        <v>50</v>
      </c>
    </row>
    <row r="162">
      <c r="A162" s="53">
        <f>IFERROR(__xludf.DUMMYFUNCTION("""COMPUTED_VALUE"""),288.0)</f>
        <v>288</v>
      </c>
      <c r="B162" s="16" t="str">
        <f>IFERROR(__xludf.DUMMYFUNCTION("""COMPUTED_VALUE"""),"description")</f>
        <v>description</v>
      </c>
      <c r="C162" s="9" t="s">
        <v>3072</v>
      </c>
      <c r="D162" s="54" t="s">
        <v>3582</v>
      </c>
      <c r="E162" s="54" t="s">
        <v>3583</v>
      </c>
      <c r="F162" s="54" t="s">
        <v>50</v>
      </c>
      <c r="G162" s="54" t="s">
        <v>50</v>
      </c>
    </row>
    <row r="163">
      <c r="A163" s="53">
        <f>IFERROR(__xludf.DUMMYFUNCTION("""COMPUTED_VALUE"""),290.0)</f>
        <v>290</v>
      </c>
      <c r="B163" s="16" t="str">
        <f>IFERROR(__xludf.DUMMYFUNCTION("""COMPUTED_VALUE"""),"desperation")</f>
        <v>desperation</v>
      </c>
      <c r="C163" s="9" t="s">
        <v>3072</v>
      </c>
      <c r="D163" s="54" t="s">
        <v>50</v>
      </c>
      <c r="E163" s="54" t="s">
        <v>50</v>
      </c>
      <c r="F163" s="54" t="s">
        <v>50</v>
      </c>
      <c r="G163" s="54" t="s">
        <v>50</v>
      </c>
    </row>
    <row r="164">
      <c r="A164" s="53">
        <f>IFERROR(__xludf.DUMMYFUNCTION("""COMPUTED_VALUE"""),291.0)</f>
        <v>291</v>
      </c>
      <c r="B164" s="16" t="str">
        <f>IFERROR(__xludf.DUMMYFUNCTION("""COMPUTED_VALUE"""),"Devon House")</f>
        <v>Devon House</v>
      </c>
      <c r="C164" s="9" t="s">
        <v>3072</v>
      </c>
      <c r="D164" s="54" t="s">
        <v>3584</v>
      </c>
      <c r="E164" s="54" t="s">
        <v>3585</v>
      </c>
      <c r="F164" s="54" t="s">
        <v>50</v>
      </c>
      <c r="G164" s="54" t="s">
        <v>50</v>
      </c>
    </row>
    <row r="165">
      <c r="A165" s="53">
        <f>IFERROR(__xludf.DUMMYFUNCTION("""COMPUTED_VALUE"""),292.0)</f>
        <v>292</v>
      </c>
      <c r="B165" s="16" t="str">
        <f>IFERROR(__xludf.DUMMYFUNCTION("""COMPUTED_VALUE"""),"dialogue")</f>
        <v>dialogue</v>
      </c>
      <c r="C165" s="9" t="s">
        <v>3072</v>
      </c>
      <c r="D165" s="54" t="s">
        <v>3586</v>
      </c>
      <c r="E165" s="54" t="s">
        <v>3587</v>
      </c>
      <c r="F165" s="54" t="s">
        <v>50</v>
      </c>
      <c r="G165" s="54" t="s">
        <v>50</v>
      </c>
    </row>
    <row r="166">
      <c r="A166" s="53">
        <f>IFERROR(__xludf.DUMMYFUNCTION("""COMPUTED_VALUE"""),294.0)</f>
        <v>294</v>
      </c>
      <c r="B166" s="16" t="str">
        <f>IFERROR(__xludf.DUMMYFUNCTION("""COMPUTED_VALUE"""),"different")</f>
        <v>different</v>
      </c>
      <c r="C166" s="9" t="s">
        <v>3072</v>
      </c>
      <c r="D166" s="54" t="s">
        <v>3588</v>
      </c>
      <c r="E166" s="54" t="s">
        <v>3589</v>
      </c>
      <c r="F166" s="54" t="s">
        <v>50</v>
      </c>
      <c r="G166" s="54" t="s">
        <v>50</v>
      </c>
    </row>
    <row r="167">
      <c r="A167" s="53">
        <f>IFERROR(__xludf.DUMMYFUNCTION("""COMPUTED_VALUE"""),296.0)</f>
        <v>296</v>
      </c>
      <c r="B167" s="16" t="str">
        <f>IFERROR(__xludf.DUMMYFUNCTION("""COMPUTED_VALUE"""),"door")</f>
        <v>door</v>
      </c>
      <c r="C167" s="9" t="s">
        <v>3072</v>
      </c>
      <c r="D167" s="54" t="s">
        <v>3590</v>
      </c>
      <c r="E167" s="54" t="s">
        <v>3591</v>
      </c>
      <c r="F167" s="54" t="s">
        <v>50</v>
      </c>
      <c r="G167" s="54" t="s">
        <v>50</v>
      </c>
    </row>
    <row r="168">
      <c r="A168" s="53">
        <f>IFERROR(__xludf.DUMMYFUNCTION("""COMPUTED_VALUE"""),297.0)</f>
        <v>297</v>
      </c>
      <c r="B168" s="16" t="str">
        <f>IFERROR(__xludf.DUMMYFUNCTION("""COMPUTED_VALUE"""),"dinner")</f>
        <v>dinner</v>
      </c>
      <c r="C168" s="9" t="s">
        <v>3072</v>
      </c>
      <c r="D168" s="54" t="s">
        <v>2615</v>
      </c>
      <c r="E168" s="54" t="s">
        <v>3592</v>
      </c>
      <c r="F168" s="54" t="s">
        <v>50</v>
      </c>
      <c r="G168" s="54" t="s">
        <v>50</v>
      </c>
    </row>
    <row r="169">
      <c r="A169" s="53">
        <f>IFERROR(__xludf.DUMMYFUNCTION("""COMPUTED_VALUE"""),298.0)</f>
        <v>298</v>
      </c>
      <c r="B169" s="16" t="str">
        <f>IFERROR(__xludf.DUMMYFUNCTION("""COMPUTED_VALUE"""),"disaster")</f>
        <v>disaster</v>
      </c>
      <c r="C169" s="9" t="s">
        <v>3072</v>
      </c>
      <c r="D169" s="54" t="s">
        <v>3593</v>
      </c>
      <c r="E169" s="54" t="s">
        <v>3594</v>
      </c>
      <c r="F169" s="54" t="s">
        <v>50</v>
      </c>
      <c r="G169" s="54" t="s">
        <v>50</v>
      </c>
    </row>
    <row r="170">
      <c r="A170" s="53">
        <f>IFERROR(__xludf.DUMMYFUNCTION("""COMPUTED_VALUE"""),299.0)</f>
        <v>299</v>
      </c>
      <c r="B170" s="16" t="str">
        <f>IFERROR(__xludf.DUMMYFUNCTION("""COMPUTED_VALUE"""),"dislike")</f>
        <v>dislike</v>
      </c>
      <c r="C170" s="9" t="s">
        <v>3072</v>
      </c>
      <c r="D170" s="54" t="s">
        <v>3595</v>
      </c>
      <c r="E170" s="54" t="s">
        <v>3596</v>
      </c>
      <c r="F170" s="54" t="s">
        <v>50</v>
      </c>
      <c r="G170" s="54" t="s">
        <v>50</v>
      </c>
    </row>
    <row r="171">
      <c r="A171" s="53">
        <f>IFERROR(__xludf.DUMMYFUNCTION("""COMPUTED_VALUE"""),302.0)</f>
        <v>302</v>
      </c>
      <c r="B171" s="16" t="str">
        <f>IFERROR(__xludf.DUMMYFUNCTION("""COMPUTED_VALUE"""),"dodge")</f>
        <v>dodge</v>
      </c>
      <c r="C171" s="9" t="s">
        <v>3072</v>
      </c>
      <c r="D171" s="54" t="s">
        <v>50</v>
      </c>
      <c r="E171" s="54" t="s">
        <v>50</v>
      </c>
      <c r="F171" s="54" t="s">
        <v>50</v>
      </c>
      <c r="G171" s="54" t="s">
        <v>50</v>
      </c>
    </row>
    <row r="172">
      <c r="A172" s="53">
        <f>IFERROR(__xludf.DUMMYFUNCTION("""COMPUTED_VALUE"""),304.0)</f>
        <v>304</v>
      </c>
      <c r="B172" s="16" t="str">
        <f>IFERROR(__xludf.DUMMYFUNCTION("""COMPUTED_VALUE"""),"dog")</f>
        <v>dog</v>
      </c>
      <c r="C172" s="9" t="s">
        <v>3072</v>
      </c>
      <c r="D172" s="54" t="s">
        <v>3597</v>
      </c>
      <c r="E172" s="54" t="s">
        <v>3598</v>
      </c>
      <c r="F172" s="54" t="s">
        <v>50</v>
      </c>
      <c r="G172" s="54" t="s">
        <v>50</v>
      </c>
    </row>
    <row r="173">
      <c r="A173" s="53">
        <f>IFERROR(__xludf.DUMMYFUNCTION("""COMPUTED_VALUE"""),305.0)</f>
        <v>305</v>
      </c>
      <c r="B173" s="16" t="str">
        <f>IFERROR(__xludf.DUMMYFUNCTION("""COMPUTED_VALUE"""),"dolphin")</f>
        <v>dolphin</v>
      </c>
      <c r="C173" s="9" t="s">
        <v>3072</v>
      </c>
      <c r="D173" s="54" t="s">
        <v>3599</v>
      </c>
      <c r="E173" s="54" t="s">
        <v>3600</v>
      </c>
      <c r="F173" s="54" t="s">
        <v>50</v>
      </c>
      <c r="G173" s="54" t="s">
        <v>50</v>
      </c>
    </row>
    <row r="174">
      <c r="A174" s="53">
        <f>IFERROR(__xludf.DUMMYFUNCTION("""COMPUTED_VALUE"""),306.0)</f>
        <v>306</v>
      </c>
      <c r="B174" s="16" t="str">
        <f>IFERROR(__xludf.DUMMYFUNCTION("""COMPUTED_VALUE"""),"Dolphin Cove ")</f>
        <v>Dolphin Cove </v>
      </c>
      <c r="C174" s="9" t="s">
        <v>3072</v>
      </c>
      <c r="D174" s="54" t="s">
        <v>3601</v>
      </c>
      <c r="E174" s="54" t="s">
        <v>3602</v>
      </c>
      <c r="F174" s="54" t="s">
        <v>50</v>
      </c>
      <c r="G174" s="54" t="s">
        <v>50</v>
      </c>
    </row>
    <row r="175">
      <c r="A175" s="53">
        <f>IFERROR(__xludf.DUMMYFUNCTION("""COMPUTED_VALUE"""),307.0)</f>
        <v>307</v>
      </c>
      <c r="B175" s="16" t="str">
        <f>IFERROR(__xludf.DUMMYFUNCTION("""COMPUTED_VALUE"""),"dress")</f>
        <v>dress</v>
      </c>
      <c r="C175" s="9" t="s">
        <v>3072</v>
      </c>
      <c r="D175" s="54" t="s">
        <v>3603</v>
      </c>
      <c r="E175" s="54" t="s">
        <v>3604</v>
      </c>
      <c r="F175" s="54" t="s">
        <v>50</v>
      </c>
      <c r="G175" s="54" t="s">
        <v>50</v>
      </c>
    </row>
    <row r="176">
      <c r="A176" s="53">
        <f>IFERROR(__xludf.DUMMYFUNCTION("""COMPUTED_VALUE"""),309.0)</f>
        <v>309</v>
      </c>
      <c r="B176" s="16" t="str">
        <f>IFERROR(__xludf.DUMMYFUNCTION("""COMPUTED_VALUE"""),"down")</f>
        <v>down</v>
      </c>
      <c r="C176" s="9" t="s">
        <v>3072</v>
      </c>
      <c r="D176" s="54" t="s">
        <v>3605</v>
      </c>
      <c r="E176" s="54" t="s">
        <v>3606</v>
      </c>
      <c r="F176" s="54" t="s">
        <v>50</v>
      </c>
      <c r="G176" s="54" t="s">
        <v>50</v>
      </c>
    </row>
    <row r="177">
      <c r="A177" s="53">
        <f>IFERROR(__xludf.DUMMYFUNCTION("""COMPUTED_VALUE"""),313.0)</f>
        <v>313</v>
      </c>
      <c r="B177" s="16" t="str">
        <f>IFERROR(__xludf.DUMMYFUNCTION("""COMPUTED_VALUE"""),"dragon-fly")</f>
        <v>dragon-fly</v>
      </c>
      <c r="C177" s="9" t="s">
        <v>3072</v>
      </c>
      <c r="D177" s="54" t="s">
        <v>3607</v>
      </c>
      <c r="E177" s="54" t="s">
        <v>3608</v>
      </c>
      <c r="F177" s="54" t="s">
        <v>50</v>
      </c>
      <c r="G177" s="54" t="s">
        <v>50</v>
      </c>
    </row>
    <row r="178">
      <c r="A178" s="53">
        <f>IFERROR(__xludf.DUMMYFUNCTION("""COMPUTED_VALUE"""),316.0)</f>
        <v>316</v>
      </c>
      <c r="B178" s="16" t="str">
        <f>IFERROR(__xludf.DUMMYFUNCTION("""COMPUTED_VALUE"""),"dryer")</f>
        <v>dryer</v>
      </c>
      <c r="C178" s="9" t="s">
        <v>3072</v>
      </c>
      <c r="D178" s="54" t="s">
        <v>50</v>
      </c>
      <c r="E178" s="54" t="s">
        <v>50</v>
      </c>
      <c r="F178" s="54" t="s">
        <v>50</v>
      </c>
      <c r="G178" s="54" t="s">
        <v>50</v>
      </c>
    </row>
    <row r="179">
      <c r="A179" s="53">
        <f>IFERROR(__xludf.DUMMYFUNCTION("""COMPUTED_VALUE"""),317.0)</f>
        <v>317</v>
      </c>
      <c r="B179" s="16" t="str">
        <f>IFERROR(__xludf.DUMMYFUNCTION("""COMPUTED_VALUE"""),"flip flops")</f>
        <v>flip flops</v>
      </c>
      <c r="C179" s="9" t="s">
        <v>3072</v>
      </c>
      <c r="D179" s="54" t="s">
        <v>3609</v>
      </c>
      <c r="E179" s="54" t="s">
        <v>3610</v>
      </c>
      <c r="F179" s="54" t="s">
        <v>50</v>
      </c>
      <c r="G179" s="54" t="s">
        <v>50</v>
      </c>
    </row>
    <row r="180">
      <c r="A180" s="53">
        <f>IFERROR(__xludf.DUMMYFUNCTION("""COMPUTED_VALUE"""),318.0)</f>
        <v>318</v>
      </c>
      <c r="B180" s="16" t="str">
        <f>IFERROR(__xludf.DUMMYFUNCTION("""COMPUTED_VALUE"""),"dumpling")</f>
        <v>dumpling</v>
      </c>
      <c r="C180" s="9" t="s">
        <v>3072</v>
      </c>
      <c r="D180" s="54" t="s">
        <v>3611</v>
      </c>
      <c r="E180" s="54" t="s">
        <v>3612</v>
      </c>
      <c r="F180" s="54" t="s">
        <v>50</v>
      </c>
      <c r="G180" s="54" t="s">
        <v>50</v>
      </c>
    </row>
    <row r="181">
      <c r="A181" s="53">
        <f>IFERROR(__xludf.DUMMYFUNCTION("""COMPUTED_VALUE"""),319.0)</f>
        <v>319</v>
      </c>
      <c r="B181" s="16" t="str">
        <f>IFERROR(__xludf.DUMMYFUNCTION("""COMPUTED_VALUE"""),"Dunn's River Fallls")</f>
        <v>Dunn's River Fallls</v>
      </c>
      <c r="C181" s="9" t="s">
        <v>3072</v>
      </c>
      <c r="D181" s="54" t="s">
        <v>3613</v>
      </c>
      <c r="E181" s="54" t="s">
        <v>3614</v>
      </c>
      <c r="F181" s="54" t="s">
        <v>50</v>
      </c>
      <c r="G181" s="54" t="s">
        <v>50</v>
      </c>
    </row>
    <row r="182">
      <c r="A182" s="53">
        <f>IFERROR(__xludf.DUMMYFUNCTION("""COMPUTED_VALUE"""),320.0)</f>
        <v>320</v>
      </c>
      <c r="B182" s="16" t="str">
        <f>IFERROR(__xludf.DUMMYFUNCTION("""COMPUTED_VALUE"""),"duration")</f>
        <v>duration</v>
      </c>
      <c r="C182" s="9" t="s">
        <v>3072</v>
      </c>
      <c r="D182" s="54" t="s">
        <v>3615</v>
      </c>
      <c r="E182" s="54" t="s">
        <v>3616</v>
      </c>
      <c r="F182" s="54" t="s">
        <v>50</v>
      </c>
      <c r="G182" s="54" t="s">
        <v>50</v>
      </c>
    </row>
    <row r="183">
      <c r="A183" s="53">
        <f>IFERROR(__xludf.DUMMYFUNCTION("""COMPUTED_VALUE"""),321.0)</f>
        <v>321</v>
      </c>
      <c r="B183" s="16" t="str">
        <f>IFERROR(__xludf.DUMMYFUNCTION("""COMPUTED_VALUE"""),"dynamics")</f>
        <v>dynamics</v>
      </c>
      <c r="C183" s="9" t="s">
        <v>3072</v>
      </c>
      <c r="D183" s="54" t="s">
        <v>50</v>
      </c>
      <c r="E183" s="54" t="s">
        <v>50</v>
      </c>
      <c r="F183" s="54" t="s">
        <v>50</v>
      </c>
      <c r="G183" s="54" t="s">
        <v>50</v>
      </c>
    </row>
    <row r="184">
      <c r="A184" s="53">
        <f>IFERROR(__xludf.DUMMYFUNCTION("""COMPUTED_VALUE"""),323.0)</f>
        <v>323</v>
      </c>
      <c r="B184" s="16" t="str">
        <f>IFERROR(__xludf.DUMMYFUNCTION("""COMPUTED_VALUE"""),"Ear")</f>
        <v>Ear</v>
      </c>
      <c r="C184" s="9" t="s">
        <v>3072</v>
      </c>
      <c r="D184" s="54" t="s">
        <v>50</v>
      </c>
      <c r="E184" s="54" t="s">
        <v>50</v>
      </c>
      <c r="F184" s="54" t="s">
        <v>3617</v>
      </c>
      <c r="G184" s="54" t="s">
        <v>3617</v>
      </c>
    </row>
    <row r="185">
      <c r="A185" s="53">
        <f>IFERROR(__xludf.DUMMYFUNCTION("""COMPUTED_VALUE"""),324.0)</f>
        <v>324</v>
      </c>
      <c r="B185" s="16" t="str">
        <f>IFERROR(__xludf.DUMMYFUNCTION("""COMPUTED_VALUE"""),"earthquake")</f>
        <v>earthquake</v>
      </c>
      <c r="C185" s="9" t="s">
        <v>3072</v>
      </c>
      <c r="D185" s="54" t="s">
        <v>3618</v>
      </c>
      <c r="E185" s="54" t="s">
        <v>3619</v>
      </c>
      <c r="F185" s="54" t="s">
        <v>50</v>
      </c>
      <c r="G185" s="54" t="s">
        <v>50</v>
      </c>
    </row>
    <row r="186">
      <c r="A186" s="53">
        <f>IFERROR(__xludf.DUMMYFUNCTION("""COMPUTED_VALUE"""),331.0)</f>
        <v>331</v>
      </c>
      <c r="B186" s="16" t="str">
        <f>IFERROR(__xludf.DUMMYFUNCTION("""COMPUTED_VALUE"""),"egg")</f>
        <v>egg</v>
      </c>
      <c r="C186" s="9" t="s">
        <v>3072</v>
      </c>
      <c r="D186" s="54" t="s">
        <v>50</v>
      </c>
      <c r="E186" s="54" t="s">
        <v>50</v>
      </c>
      <c r="F186" s="54" t="s">
        <v>50</v>
      </c>
      <c r="G186" s="54" t="s">
        <v>50</v>
      </c>
    </row>
    <row r="187">
      <c r="A187" s="53">
        <f>IFERROR(__xludf.DUMMYFUNCTION("""COMPUTED_VALUE"""),332.0)</f>
        <v>332</v>
      </c>
      <c r="B187" s="16" t="str">
        <f>IFERROR(__xludf.DUMMYFUNCTION("""COMPUTED_VALUE"""),"Elbow")</f>
        <v>Elbow</v>
      </c>
      <c r="C187" s="9" t="s">
        <v>3072</v>
      </c>
      <c r="D187" s="54" t="s">
        <v>3620</v>
      </c>
      <c r="E187" s="54" t="s">
        <v>3621</v>
      </c>
      <c r="F187" s="54" t="s">
        <v>50</v>
      </c>
      <c r="G187" s="54" t="s">
        <v>50</v>
      </c>
    </row>
    <row r="188">
      <c r="A188" s="53">
        <f>IFERROR(__xludf.DUMMYFUNCTION("""COMPUTED_VALUE"""),334.0)</f>
        <v>334</v>
      </c>
      <c r="B188" s="16" t="str">
        <f>IFERROR(__xludf.DUMMYFUNCTION("""COMPUTED_VALUE"""),"elder")</f>
        <v>elder</v>
      </c>
      <c r="C188" s="9" t="s">
        <v>3072</v>
      </c>
      <c r="D188" s="54" t="s">
        <v>3622</v>
      </c>
      <c r="E188" s="54" t="s">
        <v>3623</v>
      </c>
      <c r="F188" s="54" t="s">
        <v>50</v>
      </c>
      <c r="G188" s="54" t="s">
        <v>50</v>
      </c>
    </row>
    <row r="189">
      <c r="A189" s="53">
        <f>IFERROR(__xludf.DUMMYFUNCTION("""COMPUTED_VALUE"""),337.0)</f>
        <v>337</v>
      </c>
      <c r="B189" s="16" t="str">
        <f>IFERROR(__xludf.DUMMYFUNCTION("""COMPUTED_VALUE"""),"Emanciapation Park ")</f>
        <v>Emanciapation Park </v>
      </c>
      <c r="C189" s="9" t="s">
        <v>3072</v>
      </c>
      <c r="D189" s="54" t="s">
        <v>3624</v>
      </c>
      <c r="E189" s="54" t="s">
        <v>3625</v>
      </c>
      <c r="F189" s="54" t="s">
        <v>50</v>
      </c>
      <c r="G189" s="54" t="s">
        <v>50</v>
      </c>
    </row>
    <row r="190">
      <c r="A190" s="53">
        <f>IFERROR(__xludf.DUMMYFUNCTION("""COMPUTED_VALUE"""),339.0)</f>
        <v>339</v>
      </c>
      <c r="B190" s="16" t="str">
        <f>IFERROR(__xludf.DUMMYFUNCTION("""COMPUTED_VALUE"""),"emergency")</f>
        <v>emergency</v>
      </c>
      <c r="C190" s="9" t="s">
        <v>3072</v>
      </c>
      <c r="D190" s="54" t="s">
        <v>3626</v>
      </c>
      <c r="E190" s="54" t="s">
        <v>3627</v>
      </c>
      <c r="F190" s="54" t="s">
        <v>50</v>
      </c>
      <c r="G190" s="54" t="s">
        <v>50</v>
      </c>
    </row>
    <row r="191">
      <c r="A191" s="53">
        <f>IFERROR(__xludf.DUMMYFUNCTION("""COMPUTED_VALUE"""),341.0)</f>
        <v>341</v>
      </c>
      <c r="B191" s="16" t="str">
        <f>IFERROR(__xludf.DUMMYFUNCTION("""COMPUTED_VALUE"""),"end")</f>
        <v>end</v>
      </c>
      <c r="C191" s="9" t="s">
        <v>3072</v>
      </c>
      <c r="D191" s="54" t="s">
        <v>3628</v>
      </c>
      <c r="E191" s="54" t="s">
        <v>3629</v>
      </c>
      <c r="F191" s="54" t="s">
        <v>50</v>
      </c>
      <c r="G191" s="54" t="s">
        <v>50</v>
      </c>
    </row>
    <row r="192">
      <c r="A192" s="53">
        <f>IFERROR(__xludf.DUMMYFUNCTION("""COMPUTED_VALUE"""),343.0)</f>
        <v>343</v>
      </c>
      <c r="B192" s="16" t="str">
        <f>IFERROR(__xludf.DUMMYFUNCTION("""COMPUTED_VALUE"""),"endurance")</f>
        <v>endurance</v>
      </c>
      <c r="C192" s="9" t="s">
        <v>3072</v>
      </c>
      <c r="D192" s="54" t="s">
        <v>50</v>
      </c>
      <c r="E192" s="54" t="s">
        <v>50</v>
      </c>
      <c r="F192" s="54" t="s">
        <v>50</v>
      </c>
      <c r="G192" s="54" t="s">
        <v>50</v>
      </c>
    </row>
    <row r="193">
      <c r="A193" s="53">
        <f>IFERROR(__xludf.DUMMYFUNCTION("""COMPUTED_VALUE"""),344.0)</f>
        <v>344</v>
      </c>
      <c r="B193" s="16" t="str">
        <f>IFERROR(__xludf.DUMMYFUNCTION("""COMPUTED_VALUE"""),"enthusiasm")</f>
        <v>enthusiasm</v>
      </c>
      <c r="C193" s="9" t="s">
        <v>3072</v>
      </c>
      <c r="D193" s="54" t="s">
        <v>50</v>
      </c>
      <c r="E193" s="54" t="s">
        <v>50</v>
      </c>
      <c r="F193" s="54" t="s">
        <v>50</v>
      </c>
      <c r="G193" s="54" t="s">
        <v>50</v>
      </c>
    </row>
    <row r="194">
      <c r="A194" s="53">
        <f>IFERROR(__xludf.DUMMYFUNCTION("""COMPUTED_VALUE"""),346.0)</f>
        <v>346</v>
      </c>
      <c r="B194" s="16" t="str">
        <f>IFERROR(__xludf.DUMMYFUNCTION("""COMPUTED_VALUE"""),"environment")</f>
        <v>environment</v>
      </c>
      <c r="C194" s="9" t="s">
        <v>3072</v>
      </c>
      <c r="D194" s="54" t="s">
        <v>50</v>
      </c>
      <c r="E194" s="54" t="s">
        <v>50</v>
      </c>
      <c r="F194" s="54" t="s">
        <v>50</v>
      </c>
      <c r="G194" s="54" t="s">
        <v>50</v>
      </c>
    </row>
    <row r="195">
      <c r="A195" s="53">
        <f>IFERROR(__xludf.DUMMYFUNCTION("""COMPUTED_VALUE"""),349.0)</f>
        <v>349</v>
      </c>
      <c r="B195" s="16" t="str">
        <f>IFERROR(__xludf.DUMMYFUNCTION("""COMPUTED_VALUE"""),"estimation")</f>
        <v>estimation</v>
      </c>
      <c r="C195" s="9" t="s">
        <v>3072</v>
      </c>
      <c r="D195" s="54" t="s">
        <v>50</v>
      </c>
      <c r="E195" s="54" t="s">
        <v>50</v>
      </c>
      <c r="F195" s="54" t="s">
        <v>50</v>
      </c>
      <c r="G195" s="54" t="s">
        <v>50</v>
      </c>
    </row>
    <row r="196">
      <c r="A196" s="53">
        <f>IFERROR(__xludf.DUMMYFUNCTION("""COMPUTED_VALUE"""),350.0)</f>
        <v>350</v>
      </c>
      <c r="B196" s="16" t="str">
        <f>IFERROR(__xludf.DUMMYFUNCTION("""COMPUTED_VALUE"""),"ethnic")</f>
        <v>ethnic</v>
      </c>
      <c r="C196" s="9" t="s">
        <v>3072</v>
      </c>
      <c r="D196" s="54" t="s">
        <v>50</v>
      </c>
      <c r="E196" s="54" t="s">
        <v>50</v>
      </c>
      <c r="F196" s="54" t="s">
        <v>50</v>
      </c>
      <c r="G196" s="54" t="s">
        <v>50</v>
      </c>
    </row>
    <row r="197">
      <c r="A197" s="53">
        <f>IFERROR(__xludf.DUMMYFUNCTION("""COMPUTED_VALUE"""),351.0)</f>
        <v>351</v>
      </c>
      <c r="B197" s="16" t="str">
        <f>IFERROR(__xludf.DUMMYFUNCTION("""COMPUTED_VALUE"""),"Europe")</f>
        <v>Europe</v>
      </c>
      <c r="C197" s="9" t="s">
        <v>3072</v>
      </c>
      <c r="D197" s="54" t="s">
        <v>3630</v>
      </c>
      <c r="E197" s="54" t="s">
        <v>3631</v>
      </c>
      <c r="F197" s="54" t="s">
        <v>50</v>
      </c>
      <c r="G197" s="54" t="s">
        <v>50</v>
      </c>
    </row>
    <row r="198">
      <c r="A198" s="53">
        <f>IFERROR(__xludf.DUMMYFUNCTION("""COMPUTED_VALUE"""),353.0)</f>
        <v>353</v>
      </c>
      <c r="B198" s="16" t="str">
        <f>IFERROR(__xludf.DUMMYFUNCTION("""COMPUTED_VALUE"""),"evcuation plan")</f>
        <v>evcuation plan</v>
      </c>
      <c r="C198" s="9" t="s">
        <v>3072</v>
      </c>
      <c r="D198" s="54" t="s">
        <v>3632</v>
      </c>
      <c r="E198" s="54" t="s">
        <v>3633</v>
      </c>
      <c r="F198" s="54" t="s">
        <v>50</v>
      </c>
      <c r="G198" s="54" t="s">
        <v>50</v>
      </c>
    </row>
    <row r="199">
      <c r="A199" s="53">
        <f>IFERROR(__xludf.DUMMYFUNCTION("""COMPUTED_VALUE"""),354.0)</f>
        <v>354</v>
      </c>
      <c r="B199" s="16" t="str">
        <f>IFERROR(__xludf.DUMMYFUNCTION("""COMPUTED_VALUE"""),"evening")</f>
        <v>evening</v>
      </c>
      <c r="C199" s="9" t="s">
        <v>3072</v>
      </c>
      <c r="D199" s="54" t="s">
        <v>3634</v>
      </c>
      <c r="E199" s="54" t="s">
        <v>3635</v>
      </c>
      <c r="F199" s="54" t="s">
        <v>50</v>
      </c>
      <c r="G199" s="54" t="s">
        <v>50</v>
      </c>
    </row>
    <row r="200">
      <c r="A200" s="53">
        <f>IFERROR(__xludf.DUMMYFUNCTION("""COMPUTED_VALUE"""),358.0)</f>
        <v>358</v>
      </c>
      <c r="B200" s="16" t="str">
        <f>IFERROR(__xludf.DUMMYFUNCTION("""COMPUTED_VALUE"""),"exercise")</f>
        <v>exercise</v>
      </c>
      <c r="C200" s="9" t="s">
        <v>3072</v>
      </c>
      <c r="D200" s="54" t="s">
        <v>3636</v>
      </c>
      <c r="E200" s="54" t="s">
        <v>3637</v>
      </c>
      <c r="F200" s="54" t="s">
        <v>50</v>
      </c>
      <c r="G200" s="54" t="s">
        <v>50</v>
      </c>
    </row>
    <row r="201">
      <c r="A201" s="53">
        <f>IFERROR(__xludf.DUMMYFUNCTION("""COMPUTED_VALUE"""),359.0)</f>
        <v>359</v>
      </c>
      <c r="B201" s="16" t="str">
        <f>IFERROR(__xludf.DUMMYFUNCTION("""COMPUTED_VALUE"""),"exit")</f>
        <v>exit</v>
      </c>
      <c r="C201" s="9" t="s">
        <v>3072</v>
      </c>
      <c r="D201" s="54" t="s">
        <v>1091</v>
      </c>
      <c r="E201" s="54" t="s">
        <v>3638</v>
      </c>
      <c r="F201" s="54" t="s">
        <v>50</v>
      </c>
      <c r="G201" s="54" t="s">
        <v>50</v>
      </c>
    </row>
    <row r="202">
      <c r="A202" s="53">
        <f>IFERROR(__xludf.DUMMYFUNCTION("""COMPUTED_VALUE"""),360.0)</f>
        <v>360</v>
      </c>
      <c r="B202" s="16" t="str">
        <f>IFERROR(__xludf.DUMMYFUNCTION("""COMPUTED_VALUE"""),"exploration")</f>
        <v>exploration</v>
      </c>
      <c r="C202" s="9" t="s">
        <v>3072</v>
      </c>
      <c r="D202" s="54" t="s">
        <v>3639</v>
      </c>
      <c r="E202" s="54" t="s">
        <v>3640</v>
      </c>
      <c r="F202" s="54" t="s">
        <v>50</v>
      </c>
      <c r="G202" s="54" t="s">
        <v>50</v>
      </c>
    </row>
    <row r="203">
      <c r="A203" s="53">
        <f>IFERROR(__xludf.DUMMYFUNCTION("""COMPUTED_VALUE"""),361.0)</f>
        <v>361</v>
      </c>
      <c r="B203" s="16" t="str">
        <f>IFERROR(__xludf.DUMMYFUNCTION("""COMPUTED_VALUE"""),"explosive")</f>
        <v>explosive</v>
      </c>
      <c r="C203" s="9" t="s">
        <v>3072</v>
      </c>
      <c r="D203" s="54" t="s">
        <v>3641</v>
      </c>
      <c r="E203" s="54" t="s">
        <v>3642</v>
      </c>
      <c r="F203" s="54" t="s">
        <v>50</v>
      </c>
      <c r="G203" s="54" t="s">
        <v>50</v>
      </c>
    </row>
    <row r="204">
      <c r="A204" s="53">
        <f>IFERROR(__xludf.DUMMYFUNCTION("""COMPUTED_VALUE"""),362.0)</f>
        <v>362</v>
      </c>
      <c r="B204" s="16" t="str">
        <f>IFERROR(__xludf.DUMMYFUNCTION("""COMPUTED_VALUE"""),"Eye")</f>
        <v>Eye</v>
      </c>
      <c r="C204" s="9" t="s">
        <v>3072</v>
      </c>
      <c r="D204" s="54" t="s">
        <v>3643</v>
      </c>
      <c r="E204" s="54" t="s">
        <v>3644</v>
      </c>
      <c r="F204" s="54" t="s">
        <v>50</v>
      </c>
      <c r="G204" s="54" t="s">
        <v>50</v>
      </c>
    </row>
    <row r="205">
      <c r="A205" s="53">
        <f>IFERROR(__xludf.DUMMYFUNCTION("""COMPUTED_VALUE"""),363.0)</f>
        <v>363</v>
      </c>
      <c r="B205" s="16" t="str">
        <f>IFERROR(__xludf.DUMMYFUNCTION("""COMPUTED_VALUE"""),"fact")</f>
        <v>fact</v>
      </c>
      <c r="C205" s="9" t="s">
        <v>3072</v>
      </c>
      <c r="D205" s="54" t="s">
        <v>3645</v>
      </c>
      <c r="E205" s="54" t="s">
        <v>3646</v>
      </c>
      <c r="F205" s="54" t="s">
        <v>50</v>
      </c>
      <c r="G205" s="54" t="s">
        <v>50</v>
      </c>
    </row>
    <row r="206">
      <c r="A206" s="53">
        <f>IFERROR(__xludf.DUMMYFUNCTION("""COMPUTED_VALUE"""),364.0)</f>
        <v>364</v>
      </c>
      <c r="B206" s="16" t="str">
        <f>IFERROR(__xludf.DUMMYFUNCTION("""COMPUTED_VALUE"""),"family")</f>
        <v>family</v>
      </c>
      <c r="C206" s="9" t="s">
        <v>3072</v>
      </c>
      <c r="D206" s="54" t="s">
        <v>50</v>
      </c>
      <c r="E206" s="54" t="s">
        <v>50</v>
      </c>
      <c r="F206" s="54" t="s">
        <v>50</v>
      </c>
      <c r="G206" s="54" t="s">
        <v>50</v>
      </c>
    </row>
    <row r="207">
      <c r="A207" s="53">
        <f>IFERROR(__xludf.DUMMYFUNCTION("""COMPUTED_VALUE"""),366.0)</f>
        <v>366</v>
      </c>
      <c r="B207" s="16" t="str">
        <f>IFERROR(__xludf.DUMMYFUNCTION("""COMPUTED_VALUE"""),"farmer")</f>
        <v>farmer</v>
      </c>
      <c r="C207" s="9" t="s">
        <v>3072</v>
      </c>
      <c r="D207" s="54" t="s">
        <v>223</v>
      </c>
      <c r="E207" s="54" t="s">
        <v>3647</v>
      </c>
      <c r="F207" s="54" t="s">
        <v>50</v>
      </c>
      <c r="G207" s="54" t="s">
        <v>50</v>
      </c>
    </row>
    <row r="208">
      <c r="A208" s="53">
        <f>IFERROR(__xludf.DUMMYFUNCTION("""COMPUTED_VALUE"""),367.0)</f>
        <v>367</v>
      </c>
      <c r="B208" s="16" t="str">
        <f>IFERROR(__xludf.DUMMYFUNCTION("""COMPUTED_VALUE"""),"fat")</f>
        <v>fat</v>
      </c>
      <c r="C208" s="9" t="s">
        <v>3072</v>
      </c>
      <c r="D208" s="54" t="s">
        <v>3648</v>
      </c>
      <c r="E208" s="54" t="s">
        <v>3649</v>
      </c>
      <c r="F208" s="54" t="s">
        <v>50</v>
      </c>
      <c r="G208" s="54" t="s">
        <v>3650</v>
      </c>
    </row>
    <row r="209">
      <c r="A209" s="53">
        <f>IFERROR(__xludf.DUMMYFUNCTION("""COMPUTED_VALUE"""),369.0)</f>
        <v>369</v>
      </c>
      <c r="B209" s="16" t="str">
        <f>IFERROR(__xludf.DUMMYFUNCTION("""COMPUTED_VALUE"""),"father")</f>
        <v>father</v>
      </c>
      <c r="C209" s="9" t="s">
        <v>3072</v>
      </c>
      <c r="D209" s="54" t="s">
        <v>3651</v>
      </c>
      <c r="E209" s="54" t="s">
        <v>3652</v>
      </c>
      <c r="F209" s="54" t="s">
        <v>50</v>
      </c>
      <c r="G209" s="54" t="s">
        <v>3653</v>
      </c>
    </row>
    <row r="210">
      <c r="A210" s="53">
        <f>IFERROR(__xludf.DUMMYFUNCTION("""COMPUTED_VALUE"""),371.0)</f>
        <v>371</v>
      </c>
      <c r="B210" s="16" t="str">
        <f>IFERROR(__xludf.DUMMYFUNCTION("""COMPUTED_VALUE"""),"February")</f>
        <v>February</v>
      </c>
      <c r="C210" s="9" t="s">
        <v>3072</v>
      </c>
      <c r="D210" s="54" t="s">
        <v>3654</v>
      </c>
      <c r="E210" s="54" t="s">
        <v>3655</v>
      </c>
      <c r="F210" s="54" t="s">
        <v>622</v>
      </c>
      <c r="G210" s="54" t="s">
        <v>1024</v>
      </c>
    </row>
    <row r="211">
      <c r="A211" s="53">
        <f>IFERROR(__xludf.DUMMYFUNCTION("""COMPUTED_VALUE"""),372.0)</f>
        <v>372</v>
      </c>
      <c r="B211" s="16" t="str">
        <f>IFERROR(__xludf.DUMMYFUNCTION("""COMPUTED_VALUE"""),"feeling")</f>
        <v>feeling</v>
      </c>
      <c r="C211" s="9" t="s">
        <v>3072</v>
      </c>
      <c r="D211" s="54" t="s">
        <v>3656</v>
      </c>
      <c r="E211" s="54" t="s">
        <v>3657</v>
      </c>
      <c r="F211" s="54" t="s">
        <v>50</v>
      </c>
      <c r="G211" s="54" t="s">
        <v>50</v>
      </c>
    </row>
    <row r="212">
      <c r="A212" s="53">
        <f>IFERROR(__xludf.DUMMYFUNCTION("""COMPUTED_VALUE"""),373.0)</f>
        <v>373</v>
      </c>
      <c r="B212" s="16" t="str">
        <f>IFERROR(__xludf.DUMMYFUNCTION("""COMPUTED_VALUE"""),"feet")</f>
        <v>feet</v>
      </c>
      <c r="C212" s="9" t="s">
        <v>3072</v>
      </c>
      <c r="D212" s="54" t="s">
        <v>50</v>
      </c>
      <c r="E212" s="54" t="s">
        <v>50</v>
      </c>
      <c r="F212" s="54" t="s">
        <v>50</v>
      </c>
      <c r="G212" s="54" t="s">
        <v>50</v>
      </c>
    </row>
    <row r="213">
      <c r="A213" s="53">
        <f>IFERROR(__xludf.DUMMYFUNCTION("""COMPUTED_VALUE"""),374.0)</f>
        <v>374</v>
      </c>
      <c r="B213" s="16" t="str">
        <f>IFERROR(__xludf.DUMMYFUNCTION("""COMPUTED_VALUE"""),"fiction")</f>
        <v>fiction</v>
      </c>
      <c r="C213" s="9" t="s">
        <v>3072</v>
      </c>
      <c r="D213" s="54" t="s">
        <v>50</v>
      </c>
      <c r="E213" s="54" t="s">
        <v>50</v>
      </c>
      <c r="F213" s="54" t="s">
        <v>50</v>
      </c>
      <c r="G213" s="54" t="s">
        <v>50</v>
      </c>
    </row>
    <row r="214">
      <c r="A214" s="53">
        <f>IFERROR(__xludf.DUMMYFUNCTION("""COMPUTED_VALUE"""),375.0)</f>
        <v>375</v>
      </c>
      <c r="B214" s="16" t="str">
        <f>IFERROR(__xludf.DUMMYFUNCTION("""COMPUTED_VALUE"""),"Fingers")</f>
        <v>Fingers</v>
      </c>
      <c r="C214" s="9" t="s">
        <v>3072</v>
      </c>
      <c r="D214" s="54" t="s">
        <v>50</v>
      </c>
      <c r="E214" s="54" t="s">
        <v>50</v>
      </c>
      <c r="F214" s="54" t="s">
        <v>50</v>
      </c>
      <c r="G214" s="54" t="s">
        <v>50</v>
      </c>
    </row>
    <row r="215">
      <c r="A215" s="53">
        <f>IFERROR(__xludf.DUMMYFUNCTION("""COMPUTED_VALUE"""),377.0)</f>
        <v>377</v>
      </c>
      <c r="B215" s="16" t="str">
        <f>IFERROR(__xludf.DUMMYFUNCTION("""COMPUTED_VALUE"""),"fire")</f>
        <v>fire</v>
      </c>
      <c r="C215" s="9" t="s">
        <v>3072</v>
      </c>
      <c r="D215" s="54" t="s">
        <v>50</v>
      </c>
      <c r="E215" s="54" t="s">
        <v>50</v>
      </c>
      <c r="F215" s="54" t="s">
        <v>50</v>
      </c>
      <c r="G215" s="54" t="s">
        <v>50</v>
      </c>
    </row>
    <row r="216">
      <c r="A216" s="53">
        <f>IFERROR(__xludf.DUMMYFUNCTION("""COMPUTED_VALUE"""),378.0)</f>
        <v>378</v>
      </c>
      <c r="B216" s="16" t="str">
        <f>IFERROR(__xludf.DUMMYFUNCTION("""COMPUTED_VALUE"""),"first aid")</f>
        <v>first aid</v>
      </c>
      <c r="C216" s="9" t="s">
        <v>3072</v>
      </c>
      <c r="D216" s="54" t="s">
        <v>50</v>
      </c>
      <c r="E216" s="54" t="s">
        <v>50</v>
      </c>
      <c r="F216" s="54" t="s">
        <v>50</v>
      </c>
      <c r="G216" s="54" t="s">
        <v>50</v>
      </c>
    </row>
    <row r="217">
      <c r="A217" s="53">
        <f>IFERROR(__xludf.DUMMYFUNCTION("""COMPUTED_VALUE"""),379.0)</f>
        <v>379</v>
      </c>
      <c r="B217" s="16" t="str">
        <f>IFERROR(__xludf.DUMMYFUNCTION("""COMPUTED_VALUE"""),"fish")</f>
        <v>fish</v>
      </c>
      <c r="C217" s="9" t="s">
        <v>3072</v>
      </c>
      <c r="D217" s="54" t="s">
        <v>50</v>
      </c>
      <c r="E217" s="54" t="s">
        <v>50</v>
      </c>
      <c r="F217" s="54" t="s">
        <v>50</v>
      </c>
      <c r="G217" s="54" t="s">
        <v>50</v>
      </c>
    </row>
    <row r="218">
      <c r="A218" s="53">
        <f>IFERROR(__xludf.DUMMYFUNCTION("""COMPUTED_VALUE"""),380.0)</f>
        <v>380</v>
      </c>
      <c r="B218" s="16" t="str">
        <f>IFERROR(__xludf.DUMMYFUNCTION("""COMPUTED_VALUE"""),"furniture")</f>
        <v>furniture</v>
      </c>
      <c r="C218" s="9" t="s">
        <v>3072</v>
      </c>
      <c r="D218" s="54" t="s">
        <v>50</v>
      </c>
      <c r="E218" s="54" t="s">
        <v>50</v>
      </c>
      <c r="F218" s="54" t="s">
        <v>50</v>
      </c>
      <c r="G218" s="54" t="s">
        <v>50</v>
      </c>
    </row>
    <row r="219">
      <c r="A219" s="53">
        <f>IFERROR(__xludf.DUMMYFUNCTION("""COMPUTED_VALUE"""),381.0)</f>
        <v>381</v>
      </c>
      <c r="B219" s="16" t="str">
        <f>IFERROR(__xludf.DUMMYFUNCTION("""COMPUTED_VALUE"""),"flood")</f>
        <v>flood</v>
      </c>
      <c r="C219" s="9" t="s">
        <v>3072</v>
      </c>
      <c r="D219" s="54" t="s">
        <v>50</v>
      </c>
      <c r="E219" s="54" t="s">
        <v>50</v>
      </c>
      <c r="F219" s="54" t="s">
        <v>50</v>
      </c>
      <c r="G219" s="54" t="s">
        <v>50</v>
      </c>
    </row>
    <row r="220">
      <c r="A220" s="53">
        <f>IFERROR(__xludf.DUMMYFUNCTION("""COMPUTED_VALUE"""),383.0)</f>
        <v>383</v>
      </c>
      <c r="B220" s="16" t="str">
        <f>IFERROR(__xludf.DUMMYFUNCTION("""COMPUTED_VALUE"""),"folk-tales")</f>
        <v>folk-tales</v>
      </c>
      <c r="C220" s="9" t="s">
        <v>3072</v>
      </c>
      <c r="D220" s="54" t="s">
        <v>50</v>
      </c>
      <c r="E220" s="54" t="s">
        <v>50</v>
      </c>
      <c r="F220" s="54" t="s">
        <v>50</v>
      </c>
      <c r="G220" s="54" t="s">
        <v>50</v>
      </c>
    </row>
    <row r="221">
      <c r="A221" s="53">
        <f>IFERROR(__xludf.DUMMYFUNCTION("""COMPUTED_VALUE"""),384.0)</f>
        <v>384</v>
      </c>
      <c r="B221" s="16" t="str">
        <f>IFERROR(__xludf.DUMMYFUNCTION("""COMPUTED_VALUE"""),"food")</f>
        <v>food</v>
      </c>
      <c r="C221" s="9" t="s">
        <v>3072</v>
      </c>
      <c r="D221" s="54" t="s">
        <v>50</v>
      </c>
      <c r="E221" s="54" t="s">
        <v>50</v>
      </c>
      <c r="F221" s="54" t="s">
        <v>50</v>
      </c>
      <c r="G221" s="54" t="s">
        <v>50</v>
      </c>
    </row>
    <row r="222">
      <c r="A222" s="53">
        <f>IFERROR(__xludf.DUMMYFUNCTION("""COMPUTED_VALUE"""),385.0)</f>
        <v>385</v>
      </c>
      <c r="B222" s="16" t="str">
        <f>IFERROR(__xludf.DUMMYFUNCTION("""COMPUTED_VALUE"""),"Foot")</f>
        <v>Foot</v>
      </c>
      <c r="C222" s="9" t="s">
        <v>3072</v>
      </c>
      <c r="D222" s="54" t="s">
        <v>50</v>
      </c>
      <c r="E222" s="54" t="s">
        <v>50</v>
      </c>
      <c r="F222" s="54" t="s">
        <v>50</v>
      </c>
      <c r="G222" s="54" t="s">
        <v>50</v>
      </c>
    </row>
    <row r="223">
      <c r="A223" s="53">
        <f>IFERROR(__xludf.DUMMYFUNCTION("""COMPUTED_VALUE"""),386.0)</f>
        <v>386</v>
      </c>
      <c r="B223" s="16" t="str">
        <f>IFERROR(__xludf.DUMMYFUNCTION("""COMPUTED_VALUE"""),"football")</f>
        <v>football</v>
      </c>
      <c r="C223" s="9" t="s">
        <v>3072</v>
      </c>
      <c r="D223" s="54" t="s">
        <v>50</v>
      </c>
      <c r="E223" s="54" t="s">
        <v>50</v>
      </c>
      <c r="F223" s="54" t="s">
        <v>50</v>
      </c>
      <c r="G223" s="54" t="s">
        <v>50</v>
      </c>
    </row>
    <row r="224">
      <c r="A224" s="53">
        <f>IFERROR(__xludf.DUMMYFUNCTION("""COMPUTED_VALUE"""),389.0)</f>
        <v>389</v>
      </c>
      <c r="B224" s="16" t="str">
        <f>IFERROR(__xludf.DUMMYFUNCTION("""COMPUTED_VALUE"""),"forehead")</f>
        <v>forehead</v>
      </c>
      <c r="C224" s="9" t="s">
        <v>3072</v>
      </c>
      <c r="D224" s="54" t="s">
        <v>50</v>
      </c>
      <c r="E224" s="54" t="s">
        <v>50</v>
      </c>
      <c r="F224" s="54" t="s">
        <v>50</v>
      </c>
      <c r="G224" s="54" t="s">
        <v>50</v>
      </c>
    </row>
    <row r="225">
      <c r="A225" s="53">
        <f>IFERROR(__xludf.DUMMYFUNCTION("""COMPUTED_VALUE"""),391.0)</f>
        <v>391</v>
      </c>
      <c r="B225" s="16" t="str">
        <f>IFERROR(__xludf.DUMMYFUNCTION("""COMPUTED_VALUE"""),"fowl")</f>
        <v>fowl</v>
      </c>
      <c r="C225" s="9" t="s">
        <v>3072</v>
      </c>
      <c r="D225" s="54" t="s">
        <v>50</v>
      </c>
      <c r="E225" s="54" t="s">
        <v>50</v>
      </c>
      <c r="F225" s="54" t="s">
        <v>50</v>
      </c>
      <c r="G225" s="54" t="s">
        <v>50</v>
      </c>
    </row>
    <row r="226">
      <c r="A226" s="53">
        <f>IFERROR(__xludf.DUMMYFUNCTION("""COMPUTED_VALUE"""),392.0)</f>
        <v>392</v>
      </c>
      <c r="B226" s="16" t="str">
        <f>IFERROR(__xludf.DUMMYFUNCTION("""COMPUTED_VALUE"""),"fractions")</f>
        <v>fractions</v>
      </c>
      <c r="C226" s="9" t="s">
        <v>3072</v>
      </c>
      <c r="D226" s="54" t="s">
        <v>50</v>
      </c>
      <c r="E226" s="54" t="s">
        <v>50</v>
      </c>
      <c r="F226" s="54" t="s">
        <v>50</v>
      </c>
      <c r="G226" s="54" t="s">
        <v>50</v>
      </c>
    </row>
    <row r="227">
      <c r="A227" s="53">
        <f>IFERROR(__xludf.DUMMYFUNCTION("""COMPUTED_VALUE"""),393.0)</f>
        <v>393</v>
      </c>
      <c r="B227" s="16" t="str">
        <f>IFERROR(__xludf.DUMMYFUNCTION("""COMPUTED_VALUE"""),"Friday")</f>
        <v>Friday</v>
      </c>
      <c r="C227" s="9" t="s">
        <v>3072</v>
      </c>
      <c r="D227" s="54" t="s">
        <v>50</v>
      </c>
      <c r="E227" s="54" t="s">
        <v>50</v>
      </c>
      <c r="F227" s="54" t="s">
        <v>50</v>
      </c>
      <c r="G227" s="54" t="s">
        <v>50</v>
      </c>
    </row>
    <row r="228">
      <c r="A228" s="53">
        <f>IFERROR(__xludf.DUMMYFUNCTION("""COMPUTED_VALUE"""),396.0)</f>
        <v>396</v>
      </c>
      <c r="B228" s="16" t="str">
        <f>IFERROR(__xludf.DUMMYFUNCTION("""COMPUTED_VALUE"""),"friend")</f>
        <v>friend</v>
      </c>
      <c r="C228" s="9" t="s">
        <v>3072</v>
      </c>
      <c r="D228" s="54" t="s">
        <v>50</v>
      </c>
      <c r="E228" s="54" t="s">
        <v>50</v>
      </c>
      <c r="F228" s="54" t="s">
        <v>50</v>
      </c>
      <c r="G228" s="54" t="s">
        <v>50</v>
      </c>
    </row>
    <row r="229">
      <c r="A229" s="53">
        <f>IFERROR(__xludf.DUMMYFUNCTION("""COMPUTED_VALUE"""),397.0)</f>
        <v>397</v>
      </c>
      <c r="B229" s="16" t="str">
        <f>IFERROR(__xludf.DUMMYFUNCTION("""COMPUTED_VALUE"""),"friend")</f>
        <v>friend</v>
      </c>
      <c r="C229" s="9" t="s">
        <v>3072</v>
      </c>
      <c r="D229" s="54" t="s">
        <v>50</v>
      </c>
      <c r="E229" s="54" t="s">
        <v>50</v>
      </c>
      <c r="F229" s="54" t="s">
        <v>50</v>
      </c>
      <c r="G229" s="54" t="s">
        <v>50</v>
      </c>
    </row>
    <row r="230">
      <c r="A230" s="53">
        <f>IFERROR(__xludf.DUMMYFUNCTION("""COMPUTED_VALUE"""),399.0)</f>
        <v>399</v>
      </c>
      <c r="B230" s="16" t="str">
        <f>IFERROR(__xludf.DUMMYFUNCTION("""COMPUTED_VALUE"""),"friendship")</f>
        <v>friendship</v>
      </c>
      <c r="C230" s="9" t="s">
        <v>3072</v>
      </c>
      <c r="D230" s="54" t="s">
        <v>50</v>
      </c>
      <c r="E230" s="54" t="s">
        <v>50</v>
      </c>
      <c r="F230" s="54" t="s">
        <v>50</v>
      </c>
      <c r="G230" s="54" t="s">
        <v>50</v>
      </c>
    </row>
    <row r="231">
      <c r="A231" s="53">
        <f>IFERROR(__xludf.DUMMYFUNCTION("""COMPUTED_VALUE"""),400.0)</f>
        <v>400</v>
      </c>
      <c r="B231" s="16" t="str">
        <f>IFERROR(__xludf.DUMMYFUNCTION("""COMPUTED_VALUE"""),"frog")</f>
        <v>frog</v>
      </c>
      <c r="C231" s="9" t="s">
        <v>3072</v>
      </c>
      <c r="D231" s="54" t="s">
        <v>50</v>
      </c>
      <c r="E231" s="54" t="s">
        <v>50</v>
      </c>
      <c r="F231" s="54" t="s">
        <v>50</v>
      </c>
      <c r="G231" s="54" t="s">
        <v>50</v>
      </c>
    </row>
    <row r="232">
      <c r="A232" s="53">
        <f>IFERROR(__xludf.DUMMYFUNCTION("""COMPUTED_VALUE"""),404.0)</f>
        <v>404</v>
      </c>
      <c r="B232" s="16" t="str">
        <f>IFERROR(__xludf.DUMMYFUNCTION("""COMPUTED_VALUE"""),"gloves")</f>
        <v>gloves</v>
      </c>
      <c r="C232" s="9" t="s">
        <v>3072</v>
      </c>
      <c r="D232" s="54" t="s">
        <v>50</v>
      </c>
      <c r="E232" s="54" t="s">
        <v>50</v>
      </c>
      <c r="F232" s="54" t="s">
        <v>50</v>
      </c>
      <c r="G232" s="54" t="s">
        <v>50</v>
      </c>
    </row>
    <row r="233">
      <c r="A233" s="53">
        <f>IFERROR(__xludf.DUMMYFUNCTION("""COMPUTED_VALUE"""),405.0)</f>
        <v>405</v>
      </c>
      <c r="B233" s="16" t="str">
        <f>IFERROR(__xludf.DUMMYFUNCTION("""COMPUTED_VALUE"""),"game")</f>
        <v>game</v>
      </c>
      <c r="C233" s="9" t="s">
        <v>3072</v>
      </c>
      <c r="D233" s="54" t="s">
        <v>50</v>
      </c>
      <c r="E233" s="54" t="s">
        <v>50</v>
      </c>
      <c r="F233" s="54" t="s">
        <v>50</v>
      </c>
      <c r="G233" s="54" t="s">
        <v>50</v>
      </c>
    </row>
    <row r="234">
      <c r="A234" s="53">
        <f>IFERROR(__xludf.DUMMYFUNCTION("""COMPUTED_VALUE"""),406.0)</f>
        <v>406</v>
      </c>
      <c r="B234" s="16" t="str">
        <f>IFERROR(__xludf.DUMMYFUNCTION("""COMPUTED_VALUE"""),"game")</f>
        <v>game</v>
      </c>
      <c r="C234" s="9" t="s">
        <v>3072</v>
      </c>
      <c r="D234" s="54" t="s">
        <v>50</v>
      </c>
      <c r="E234" s="54" t="s">
        <v>50</v>
      </c>
      <c r="F234" s="54" t="s">
        <v>50</v>
      </c>
      <c r="G234" s="54" t="s">
        <v>50</v>
      </c>
    </row>
    <row r="235">
      <c r="A235" s="53">
        <f>IFERROR(__xludf.DUMMYFUNCTION("""COMPUTED_VALUE"""),407.0)</f>
        <v>407</v>
      </c>
      <c r="B235" s="16" t="str">
        <f>IFERROR(__xludf.DUMMYFUNCTION("""COMPUTED_VALUE"""),"girl")</f>
        <v>girl</v>
      </c>
      <c r="C235" s="9" t="s">
        <v>3072</v>
      </c>
      <c r="D235" s="54" t="s">
        <v>50</v>
      </c>
      <c r="E235" s="54" t="s">
        <v>50</v>
      </c>
      <c r="F235" s="54" t="s">
        <v>50</v>
      </c>
      <c r="G235" s="54" t="s">
        <v>50</v>
      </c>
    </row>
    <row r="236">
      <c r="A236" s="53">
        <f>IFERROR(__xludf.DUMMYFUNCTION("""COMPUTED_VALUE"""),408.0)</f>
        <v>408</v>
      </c>
      <c r="B236" s="16" t="str">
        <f>IFERROR(__xludf.DUMMYFUNCTION("""COMPUTED_VALUE"""),"hanger")</f>
        <v>hanger</v>
      </c>
    </row>
    <row r="237">
      <c r="A237" s="53">
        <f>IFERROR(__xludf.DUMMYFUNCTION("""COMPUTED_VALUE"""),410.0)</f>
        <v>410</v>
      </c>
      <c r="B237" s="16" t="str">
        <f>IFERROR(__xludf.DUMMYFUNCTION("""COMPUTED_VALUE"""),"go")</f>
        <v>go</v>
      </c>
    </row>
    <row r="238">
      <c r="A238" s="53">
        <f>IFERROR(__xludf.DUMMYFUNCTION("""COMPUTED_VALUE"""),412.0)</f>
        <v>412</v>
      </c>
      <c r="B238" s="16" t="str">
        <f>IFERROR(__xludf.DUMMYFUNCTION("""COMPUTED_VALUE"""),"goal")</f>
        <v>goal</v>
      </c>
    </row>
    <row r="239">
      <c r="A239" s="53">
        <f>IFERROR(__xludf.DUMMYFUNCTION("""COMPUTED_VALUE"""),413.0)</f>
        <v>413</v>
      </c>
      <c r="B239" s="16" t="str">
        <f>IFERROR(__xludf.DUMMYFUNCTION("""COMPUTED_VALUE"""),"goat")</f>
        <v>goat</v>
      </c>
    </row>
    <row r="240">
      <c r="A240" s="53">
        <f>IFERROR(__xludf.DUMMYFUNCTION("""COMPUTED_VALUE"""),414.0)</f>
        <v>414</v>
      </c>
      <c r="B240" s="16" t="str">
        <f>IFERROR(__xludf.DUMMYFUNCTION("""COMPUTED_VALUE"""),"God")</f>
        <v>God</v>
      </c>
    </row>
    <row r="241">
      <c r="A241" s="53">
        <f>IFERROR(__xludf.DUMMYFUNCTION("""COMPUTED_VALUE"""),416.0)</f>
        <v>416</v>
      </c>
      <c r="B241" s="16" t="str">
        <f>IFERROR(__xludf.DUMMYFUNCTION("""COMPUTED_VALUE"""),"good")</f>
        <v>good</v>
      </c>
    </row>
    <row r="242">
      <c r="A242" s="53">
        <f>IFERROR(__xludf.DUMMYFUNCTION("""COMPUTED_VALUE"""),420.0)</f>
        <v>420</v>
      </c>
      <c r="B242" s="16" t="str">
        <f>IFERROR(__xludf.DUMMYFUNCTION("""COMPUTED_VALUE"""),"grandfather")</f>
        <v>grandfather</v>
      </c>
    </row>
    <row r="243">
      <c r="A243" s="53">
        <f>IFERROR(__xludf.DUMMYFUNCTION("""COMPUTED_VALUE"""),421.0)</f>
        <v>421</v>
      </c>
      <c r="B243" s="16" t="str">
        <f>IFERROR(__xludf.DUMMYFUNCTION("""COMPUTED_VALUE"""),"grandmother")</f>
        <v>grandmother</v>
      </c>
    </row>
    <row r="244">
      <c r="A244" s="53">
        <f>IFERROR(__xludf.DUMMYFUNCTION("""COMPUTED_VALUE"""),422.0)</f>
        <v>422</v>
      </c>
      <c r="B244" s="16" t="str">
        <f>IFERROR(__xludf.DUMMYFUNCTION("""COMPUTED_VALUE"""),"grandparent")</f>
        <v>grandparent</v>
      </c>
    </row>
    <row r="245">
      <c r="A245" s="53">
        <f>IFERROR(__xludf.DUMMYFUNCTION("""COMPUTED_VALUE"""),426.0)</f>
        <v>426</v>
      </c>
      <c r="B245" s="16" t="str">
        <f>IFERROR(__xludf.DUMMYFUNCTION("""COMPUTED_VALUE"""),"greed")</f>
        <v>greed</v>
      </c>
    </row>
    <row r="246">
      <c r="A246" s="53">
        <f>IFERROR(__xludf.DUMMYFUNCTION("""COMPUTED_VALUE"""),428.0)</f>
        <v>428</v>
      </c>
      <c r="B246" s="16" t="str">
        <f>IFERROR(__xludf.DUMMYFUNCTION("""COMPUTED_VALUE"""),"group")</f>
        <v>group</v>
      </c>
    </row>
    <row r="247">
      <c r="A247" s="53">
        <f>IFERROR(__xludf.DUMMYFUNCTION("""COMPUTED_VALUE"""),430.0)</f>
        <v>430</v>
      </c>
      <c r="B247" s="16" t="str">
        <f>IFERROR(__xludf.DUMMYFUNCTION("""COMPUTED_VALUE"""),"group")</f>
        <v>group</v>
      </c>
    </row>
    <row r="248">
      <c r="A248" s="53">
        <f>IFERROR(__xludf.DUMMYFUNCTION("""COMPUTED_VALUE"""),432.0)</f>
        <v>432</v>
      </c>
      <c r="B248" s="16" t="str">
        <f>IFERROR(__xludf.DUMMYFUNCTION("""COMPUTED_VALUE"""),"growth")</f>
        <v>growth</v>
      </c>
    </row>
    <row r="249">
      <c r="A249" s="53">
        <f>IFERROR(__xludf.DUMMYFUNCTION("""COMPUTED_VALUE"""),433.0)</f>
        <v>433</v>
      </c>
      <c r="B249" s="16" t="str">
        <f>IFERROR(__xludf.DUMMYFUNCTION("""COMPUTED_VALUE"""),"guardian")</f>
        <v>guardian</v>
      </c>
    </row>
    <row r="250">
      <c r="A250" s="53">
        <f>IFERROR(__xludf.DUMMYFUNCTION("""COMPUTED_VALUE"""),434.0)</f>
        <v>434</v>
      </c>
      <c r="B250" s="16" t="str">
        <f>IFERROR(__xludf.DUMMYFUNCTION("""COMPUTED_VALUE"""),"haiku")</f>
        <v>haiku</v>
      </c>
    </row>
    <row r="251">
      <c r="A251" s="53">
        <f>IFERROR(__xludf.DUMMYFUNCTION("""COMPUTED_VALUE"""),435.0)</f>
        <v>435</v>
      </c>
      <c r="B251" s="16" t="str">
        <f>IFERROR(__xludf.DUMMYFUNCTION("""COMPUTED_VALUE"""),"Hair")</f>
        <v>Hair</v>
      </c>
    </row>
    <row r="252">
      <c r="A252" s="53">
        <f>IFERROR(__xludf.DUMMYFUNCTION("""COMPUTED_VALUE"""),436.0)</f>
        <v>436</v>
      </c>
      <c r="B252" s="16" t="str">
        <f>IFERROR(__xludf.DUMMYFUNCTION("""COMPUTED_VALUE"""),"Hand")</f>
        <v>Hand</v>
      </c>
    </row>
    <row r="253">
      <c r="A253" s="53">
        <f>IFERROR(__xludf.DUMMYFUNCTION("""COMPUTED_VALUE"""),437.0)</f>
        <v>437</v>
      </c>
      <c r="B253" s="16" t="str">
        <f>IFERROR(__xludf.DUMMYFUNCTION("""COMPUTED_VALUE"""),"hat")</f>
        <v>hat</v>
      </c>
    </row>
    <row r="254">
      <c r="A254" s="53">
        <f>IFERROR(__xludf.DUMMYFUNCTION("""COMPUTED_VALUE"""),438.0)</f>
        <v>438</v>
      </c>
      <c r="B254" s="16" t="str">
        <f>IFERROR(__xludf.DUMMYFUNCTION("""COMPUTED_VALUE"""),"Hanover")</f>
        <v>Hanover</v>
      </c>
    </row>
    <row r="255">
      <c r="A255" s="53">
        <f>IFERROR(__xludf.DUMMYFUNCTION("""COMPUTED_VALUE"""),443.0)</f>
        <v>443</v>
      </c>
      <c r="B255" s="16" t="str">
        <f>IFERROR(__xludf.DUMMYFUNCTION("""COMPUTED_VALUE"""),"hazard")</f>
        <v>hazard</v>
      </c>
    </row>
    <row r="256">
      <c r="A256" s="53">
        <f>IFERROR(__xludf.DUMMYFUNCTION("""COMPUTED_VALUE"""),445.0)</f>
        <v>445</v>
      </c>
      <c r="B256" s="16" t="str">
        <f>IFERROR(__xludf.DUMMYFUNCTION("""COMPUTED_VALUE"""),"He")</f>
        <v>He</v>
      </c>
    </row>
    <row r="257">
      <c r="A257" s="53">
        <f>IFERROR(__xludf.DUMMYFUNCTION("""COMPUTED_VALUE"""),446.0)</f>
        <v>446</v>
      </c>
      <c r="B257" s="16" t="str">
        <f>IFERROR(__xludf.DUMMYFUNCTION("""COMPUTED_VALUE"""),"Head")</f>
        <v>Head</v>
      </c>
    </row>
    <row r="258">
      <c r="A258" s="53">
        <f>IFERROR(__xludf.DUMMYFUNCTION("""COMPUTED_VALUE"""),451.0)</f>
        <v>451</v>
      </c>
      <c r="B258" s="16" t="str">
        <f>IFERROR(__xludf.DUMMYFUNCTION("""COMPUTED_VALUE"""),"hoodie")</f>
        <v>hoodie</v>
      </c>
    </row>
    <row r="259">
      <c r="A259" s="53">
        <f>IFERROR(__xludf.DUMMYFUNCTION("""COMPUTED_VALUE"""),452.0)</f>
        <v>452</v>
      </c>
      <c r="B259" s="16" t="str">
        <f>IFERROR(__xludf.DUMMYFUNCTION("""COMPUTED_VALUE"""),"hen")</f>
        <v>hen</v>
      </c>
    </row>
    <row r="260">
      <c r="A260" s="53">
        <f>IFERROR(__xludf.DUMMYFUNCTION("""COMPUTED_VALUE"""),458.0)</f>
        <v>458</v>
      </c>
      <c r="B260" s="16" t="str">
        <f>IFERROR(__xludf.DUMMYFUNCTION("""COMPUTED_VALUE"""),"hill")</f>
        <v>hill</v>
      </c>
    </row>
    <row r="261">
      <c r="A261" s="53">
        <f>IFERROR(__xludf.DUMMYFUNCTION("""COMPUTED_VALUE"""),460.0)</f>
        <v>460</v>
      </c>
      <c r="B261" s="16" t="str">
        <f>IFERROR(__xludf.DUMMYFUNCTION("""COMPUTED_VALUE"""),"Hip")</f>
        <v>Hip</v>
      </c>
    </row>
    <row r="262">
      <c r="A262" s="53">
        <f>IFERROR(__xludf.DUMMYFUNCTION("""COMPUTED_VALUE"""),462.0)</f>
        <v>462</v>
      </c>
      <c r="B262" s="16" t="str">
        <f>IFERROR(__xludf.DUMMYFUNCTION("""COMPUTED_VALUE"""),"house")</f>
        <v>house</v>
      </c>
    </row>
    <row r="263">
      <c r="A263" s="53">
        <f>IFERROR(__xludf.DUMMYFUNCTION("""COMPUTED_VALUE"""),463.0)</f>
        <v>463</v>
      </c>
      <c r="B263" s="16" t="str">
        <f>IFERROR(__xludf.DUMMYFUNCTION("""COMPUTED_VALUE"""),"hoof")</f>
        <v>hoof</v>
      </c>
    </row>
    <row r="264">
      <c r="A264" s="53">
        <f>IFERROR(__xludf.DUMMYFUNCTION("""COMPUTED_VALUE"""),464.0)</f>
        <v>464</v>
      </c>
      <c r="B264" s="16" t="str">
        <f>IFERROR(__xludf.DUMMYFUNCTION("""COMPUTED_VALUE"""),"hoop")</f>
        <v>hoop</v>
      </c>
    </row>
    <row r="265">
      <c r="A265" s="53">
        <f>IFERROR(__xludf.DUMMYFUNCTION("""COMPUTED_VALUE"""),466.0)</f>
        <v>466</v>
      </c>
      <c r="B265" s="16" t="str">
        <f>IFERROR(__xludf.DUMMYFUNCTION("""COMPUTED_VALUE"""),"hopscotch")</f>
        <v>hopscotch</v>
      </c>
    </row>
    <row r="266">
      <c r="A266" s="53">
        <f>IFERROR(__xludf.DUMMYFUNCTION("""COMPUTED_VALUE"""),468.0)</f>
        <v>468</v>
      </c>
      <c r="B266" s="16" t="str">
        <f>IFERROR(__xludf.DUMMYFUNCTION("""COMPUTED_VALUE"""),"hour")</f>
        <v>hour</v>
      </c>
    </row>
    <row r="267">
      <c r="A267" s="53">
        <f>IFERROR(__xludf.DUMMYFUNCTION("""COMPUTED_VALUE"""),469.0)</f>
        <v>469</v>
      </c>
      <c r="B267" s="16" t="str">
        <f>IFERROR(__xludf.DUMMYFUNCTION("""COMPUTED_VALUE"""),"home")</f>
        <v>home</v>
      </c>
    </row>
    <row r="268">
      <c r="A268" s="53">
        <f>IFERROR(__xludf.DUMMYFUNCTION("""COMPUTED_VALUE"""),471.0)</f>
        <v>471</v>
      </c>
      <c r="B268" s="16" t="str">
        <f>IFERROR(__xludf.DUMMYFUNCTION("""COMPUTED_VALUE"""),"hummingbird")</f>
        <v>hummingbird</v>
      </c>
    </row>
    <row r="269">
      <c r="A269" s="53">
        <f>IFERROR(__xludf.DUMMYFUNCTION("""COMPUTED_VALUE"""),474.0)</f>
        <v>474</v>
      </c>
      <c r="B269" s="16" t="str">
        <f>IFERROR(__xludf.DUMMYFUNCTION("""COMPUTED_VALUE"""),"hurricane")</f>
        <v>hurricane</v>
      </c>
    </row>
    <row r="270">
      <c r="A270" s="53">
        <f>IFERROR(__xludf.DUMMYFUNCTION("""COMPUTED_VALUE"""),476.0)</f>
        <v>476</v>
      </c>
      <c r="B270" s="16" t="str">
        <f>IFERROR(__xludf.DUMMYFUNCTION("""COMPUTED_VALUE"""),"I")</f>
        <v>I</v>
      </c>
    </row>
    <row r="271">
      <c r="A271" s="53">
        <f>IFERROR(__xludf.DUMMYFUNCTION("""COMPUTED_VALUE"""),477.0)</f>
        <v>477</v>
      </c>
      <c r="B271" s="16" t="str">
        <f>IFERROR(__xludf.DUMMYFUNCTION("""COMPUTED_VALUE"""),"iguana")</f>
        <v>iguana</v>
      </c>
    </row>
    <row r="272">
      <c r="A272" s="53">
        <f>IFERROR(__xludf.DUMMYFUNCTION("""COMPUTED_VALUE"""),480.0)</f>
        <v>480</v>
      </c>
      <c r="B272" s="16" t="str">
        <f>IFERROR(__xludf.DUMMYFUNCTION("""COMPUTED_VALUE"""),"ill")</f>
        <v>ill</v>
      </c>
    </row>
    <row r="273">
      <c r="A273" s="53">
        <f>IFERROR(__xludf.DUMMYFUNCTION("""COMPUTED_VALUE"""),482.0)</f>
        <v>482</v>
      </c>
      <c r="B273" s="16" t="str">
        <f>IFERROR(__xludf.DUMMYFUNCTION("""COMPUTED_VALUE"""),"illustration")</f>
        <v>illustration</v>
      </c>
    </row>
    <row r="274">
      <c r="A274" s="53">
        <f>IFERROR(__xludf.DUMMYFUNCTION("""COMPUTED_VALUE"""),483.0)</f>
        <v>483</v>
      </c>
      <c r="B274" s="16" t="str">
        <f>IFERROR(__xludf.DUMMYFUNCTION("""COMPUTED_VALUE"""),"images ")</f>
        <v>images </v>
      </c>
    </row>
    <row r="275">
      <c r="A275" s="53">
        <f>IFERROR(__xludf.DUMMYFUNCTION("""COMPUTED_VALUE"""),490.0)</f>
        <v>490</v>
      </c>
      <c r="B275" s="16" t="str">
        <f>IFERROR(__xludf.DUMMYFUNCTION("""COMPUTED_VALUE"""),"in")</f>
        <v>in</v>
      </c>
    </row>
    <row r="276">
      <c r="A276" s="53">
        <f>IFERROR(__xludf.DUMMYFUNCTION("""COMPUTED_VALUE"""),494.0)</f>
        <v>494</v>
      </c>
      <c r="B276" s="16" t="str">
        <f>IFERROR(__xludf.DUMMYFUNCTION("""COMPUTED_VALUE"""),"index")</f>
        <v>index</v>
      </c>
    </row>
    <row r="277">
      <c r="A277" s="53">
        <f>IFERROR(__xludf.DUMMYFUNCTION("""COMPUTED_VALUE"""),496.0)</f>
        <v>496</v>
      </c>
      <c r="B277" s="16" t="str">
        <f>IFERROR(__xludf.DUMMYFUNCTION("""COMPUTED_VALUE"""),"information")</f>
        <v>information</v>
      </c>
    </row>
    <row r="278">
      <c r="A278" s="53">
        <f>IFERROR(__xludf.DUMMYFUNCTION("""COMPUTED_VALUE"""),497.0)</f>
        <v>497</v>
      </c>
      <c r="B278" s="16" t="str">
        <f>IFERROR(__xludf.DUMMYFUNCTION("""COMPUTED_VALUE"""),"injury")</f>
        <v>injury</v>
      </c>
    </row>
    <row r="279">
      <c r="A279" s="53">
        <f>IFERROR(__xludf.DUMMYFUNCTION("""COMPUTED_VALUE"""),499.0)</f>
        <v>499</v>
      </c>
      <c r="B279" s="16" t="str">
        <f>IFERROR(__xludf.DUMMYFUNCTION("""COMPUTED_VALUE"""),"instrumentation")</f>
        <v>instrumentation</v>
      </c>
    </row>
    <row r="280">
      <c r="A280" s="53">
        <f>IFERROR(__xludf.DUMMYFUNCTION("""COMPUTED_VALUE"""),502.0)</f>
        <v>502</v>
      </c>
      <c r="B280" s="16" t="str">
        <f>IFERROR(__xludf.DUMMYFUNCTION("""COMPUTED_VALUE"""),"interpretation")</f>
        <v>interpretation</v>
      </c>
    </row>
    <row r="281">
      <c r="A281" s="53">
        <f>IFERROR(__xludf.DUMMYFUNCTION("""COMPUTED_VALUE"""),505.0)</f>
        <v>505</v>
      </c>
      <c r="B281" s="16" t="str">
        <f>IFERROR(__xludf.DUMMYFUNCTION("""COMPUTED_VALUE"""),"iron")</f>
        <v>iron</v>
      </c>
    </row>
    <row r="282">
      <c r="A282" s="53">
        <f>IFERROR(__xludf.DUMMYFUNCTION("""COMPUTED_VALUE"""),509.0)</f>
        <v>509</v>
      </c>
      <c r="B282" s="16" t="str">
        <f>IFERROR(__xludf.DUMMYFUNCTION("""COMPUTED_VALUE"""),"it")</f>
        <v>it</v>
      </c>
    </row>
    <row r="283">
      <c r="A283" s="53">
        <f>IFERROR(__xludf.DUMMYFUNCTION("""COMPUTED_VALUE"""),510.0)</f>
        <v>510</v>
      </c>
      <c r="B283" s="16" t="str">
        <f>IFERROR(__xludf.DUMMYFUNCTION("""COMPUTED_VALUE"""),"jacket")</f>
        <v>jacket</v>
      </c>
    </row>
    <row r="284">
      <c r="A284" s="53">
        <f>IFERROR(__xludf.DUMMYFUNCTION("""COMPUTED_VALUE"""),511.0)</f>
        <v>511</v>
      </c>
      <c r="B284" s="16" t="str">
        <f>IFERROR(__xludf.DUMMYFUNCTION("""COMPUTED_VALUE"""),"January")</f>
        <v>January</v>
      </c>
    </row>
    <row r="285">
      <c r="A285" s="53">
        <f>IFERROR(__xludf.DUMMYFUNCTION("""COMPUTED_VALUE"""),512.0)</f>
        <v>512</v>
      </c>
      <c r="B285" s="16" t="str">
        <f>IFERROR(__xludf.DUMMYFUNCTION("""COMPUTED_VALUE"""),"jazz")</f>
        <v>jazz</v>
      </c>
    </row>
    <row r="286">
      <c r="A286" s="53">
        <f>IFERROR(__xludf.DUMMYFUNCTION("""COMPUTED_VALUE"""),514.0)</f>
        <v>514</v>
      </c>
      <c r="B286" s="16" t="str">
        <f>IFERROR(__xludf.DUMMYFUNCTION("""COMPUTED_VALUE"""),"Jerk Chicken")</f>
        <v>Jerk Chicken</v>
      </c>
    </row>
    <row r="287">
      <c r="A287" s="53">
        <f>IFERROR(__xludf.DUMMYFUNCTION("""COMPUTED_VALUE"""),515.0)</f>
        <v>515</v>
      </c>
      <c r="B287" s="16" t="str">
        <f>IFERROR(__xludf.DUMMYFUNCTION("""COMPUTED_VALUE"""),"Jerk Pork ")</f>
        <v>Jerk Pork </v>
      </c>
    </row>
    <row r="288">
      <c r="A288" s="53">
        <f>IFERROR(__xludf.DUMMYFUNCTION("""COMPUTED_VALUE"""),516.0)</f>
        <v>516</v>
      </c>
      <c r="B288" s="16" t="str">
        <f>IFERROR(__xludf.DUMMYFUNCTION("""COMPUTED_VALUE"""),"johncrow")</f>
        <v>johncrow</v>
      </c>
    </row>
    <row r="289">
      <c r="A289" s="53">
        <f>IFERROR(__xludf.DUMMYFUNCTION("""COMPUTED_VALUE"""),517.0)</f>
        <v>517</v>
      </c>
      <c r="B289" s="16" t="str">
        <f>IFERROR(__xludf.DUMMYFUNCTION("""COMPUTED_VALUE"""),"journal")</f>
        <v>journal</v>
      </c>
    </row>
    <row r="290">
      <c r="A290" s="53">
        <f>IFERROR(__xludf.DUMMYFUNCTION("""COMPUTED_VALUE"""),518.0)</f>
        <v>518</v>
      </c>
      <c r="B290" s="16" t="str">
        <f>IFERROR(__xludf.DUMMYFUNCTION("""COMPUTED_VALUE"""),"July")</f>
        <v>July</v>
      </c>
    </row>
    <row r="291">
      <c r="A291" s="53">
        <f>IFERROR(__xludf.DUMMYFUNCTION("""COMPUTED_VALUE"""),521.0)</f>
        <v>521</v>
      </c>
      <c r="B291" s="16" t="str">
        <f>IFERROR(__xludf.DUMMYFUNCTION("""COMPUTED_VALUE"""),"jump")</f>
        <v>jump</v>
      </c>
    </row>
    <row r="292">
      <c r="A292" s="53">
        <f>IFERROR(__xludf.DUMMYFUNCTION("""COMPUTED_VALUE"""),522.0)</f>
        <v>522</v>
      </c>
      <c r="B292" s="16" t="str">
        <f>IFERROR(__xludf.DUMMYFUNCTION("""COMPUTED_VALUE"""),"June")</f>
        <v>June</v>
      </c>
    </row>
    <row r="293">
      <c r="A293" s="53">
        <f>IFERROR(__xludf.DUMMYFUNCTION("""COMPUTED_VALUE"""),525.0)</f>
        <v>525</v>
      </c>
      <c r="B293" s="16" t="str">
        <f>IFERROR(__xludf.DUMMYFUNCTION("""COMPUTED_VALUE"""),"kick")</f>
        <v>kick</v>
      </c>
    </row>
    <row r="294">
      <c r="A294" s="53">
        <f>IFERROR(__xludf.DUMMYFUNCTION("""COMPUTED_VALUE"""),527.0)</f>
        <v>527</v>
      </c>
      <c r="B294" s="16" t="str">
        <f>IFERROR(__xludf.DUMMYFUNCTION("""COMPUTED_VALUE"""),"Kingston")</f>
        <v>Kingston</v>
      </c>
    </row>
    <row r="295">
      <c r="A295" s="53">
        <f>IFERROR(__xludf.DUMMYFUNCTION("""COMPUTED_VALUE"""),528.0)</f>
        <v>528</v>
      </c>
      <c r="B295" s="16" t="str">
        <f>IFERROR(__xludf.DUMMYFUNCTION("""COMPUTED_VALUE"""),"kitchen")</f>
        <v>kitchen</v>
      </c>
    </row>
    <row r="296">
      <c r="A296" s="53">
        <f>IFERROR(__xludf.DUMMYFUNCTION("""COMPUTED_VALUE"""),529.0)</f>
        <v>529</v>
      </c>
      <c r="B296" s="16" t="str">
        <f>IFERROR(__xludf.DUMMYFUNCTION("""COMPUTED_VALUE"""),"kitchen")</f>
        <v>kitchen</v>
      </c>
    </row>
    <row r="297">
      <c r="A297" s="53">
        <f>IFERROR(__xludf.DUMMYFUNCTION("""COMPUTED_VALUE"""),530.0)</f>
        <v>530</v>
      </c>
      <c r="B297" s="16" t="str">
        <f>IFERROR(__xludf.DUMMYFUNCTION("""COMPUTED_VALUE"""),"Knee")</f>
        <v>Knee</v>
      </c>
    </row>
    <row r="298">
      <c r="A298" s="53">
        <f>IFERROR(__xludf.DUMMYFUNCTION("""COMPUTED_VALUE"""),534.0)</f>
        <v>534</v>
      </c>
      <c r="B298" s="16" t="str">
        <f>IFERROR(__xludf.DUMMYFUNCTION("""COMPUTED_VALUE"""),"last month")</f>
        <v>last month</v>
      </c>
    </row>
    <row r="299">
      <c r="A299" s="53">
        <f>IFERROR(__xludf.DUMMYFUNCTION("""COMPUTED_VALUE"""),536.0)</f>
        <v>536</v>
      </c>
      <c r="B299" s="16" t="str">
        <f>IFERROR(__xludf.DUMMYFUNCTION("""COMPUTED_VALUE"""),"last night")</f>
        <v>last night</v>
      </c>
    </row>
    <row r="300">
      <c r="A300" s="53">
        <f>IFERROR(__xludf.DUMMYFUNCTION("""COMPUTED_VALUE"""),539.0)</f>
        <v>539</v>
      </c>
      <c r="B300" s="16" t="str">
        <f>IFERROR(__xludf.DUMMYFUNCTION("""COMPUTED_VALUE"""),"last week")</f>
        <v>last week</v>
      </c>
    </row>
    <row r="301">
      <c r="A301" s="53">
        <f>IFERROR(__xludf.DUMMYFUNCTION("""COMPUTED_VALUE"""),541.0)</f>
        <v>541</v>
      </c>
      <c r="B301" s="16" t="str">
        <f>IFERROR(__xludf.DUMMYFUNCTION("""COMPUTED_VALUE"""),"last year")</f>
        <v>last year</v>
      </c>
    </row>
    <row r="302">
      <c r="A302" s="53">
        <f>IFERROR(__xludf.DUMMYFUNCTION("""COMPUTED_VALUE"""),542.0)</f>
        <v>542</v>
      </c>
      <c r="B302" s="16" t="str">
        <f>IFERROR(__xludf.DUMMYFUNCTION("""COMPUTED_VALUE"""),"lay-out")</f>
        <v>lay-out</v>
      </c>
    </row>
    <row r="303">
      <c r="A303" s="53">
        <f>IFERROR(__xludf.DUMMYFUNCTION("""COMPUTED_VALUE"""),545.0)</f>
        <v>545</v>
      </c>
      <c r="B303" s="16" t="str">
        <f>IFERROR(__xludf.DUMMYFUNCTION("""COMPUTED_VALUE"""),"left")</f>
        <v>left</v>
      </c>
    </row>
    <row r="304">
      <c r="A304" s="53">
        <f>IFERROR(__xludf.DUMMYFUNCTION("""COMPUTED_VALUE"""),547.0)</f>
        <v>547</v>
      </c>
      <c r="B304" s="16" t="str">
        <f>IFERROR(__xludf.DUMMYFUNCTION("""COMPUTED_VALUE"""),"Leg")</f>
        <v>Leg</v>
      </c>
    </row>
    <row r="305">
      <c r="A305" s="53">
        <f>IFERROR(__xludf.DUMMYFUNCTION("""COMPUTED_VALUE"""),548.0)</f>
        <v>548</v>
      </c>
      <c r="B305" s="16" t="str">
        <f>IFERROR(__xludf.DUMMYFUNCTION("""COMPUTED_VALUE"""),"leggings")</f>
        <v>leggings</v>
      </c>
    </row>
    <row r="306">
      <c r="A306" s="53">
        <f>IFERROR(__xludf.DUMMYFUNCTION("""COMPUTED_VALUE"""),549.0)</f>
        <v>549</v>
      </c>
      <c r="B306" s="16" t="str">
        <f>IFERROR(__xludf.DUMMYFUNCTION("""COMPUTED_VALUE"""),"legume")</f>
        <v>legume</v>
      </c>
    </row>
    <row r="307">
      <c r="A307" s="53">
        <f>IFERROR(__xludf.DUMMYFUNCTION("""COMPUTED_VALUE"""),551.0)</f>
        <v>551</v>
      </c>
      <c r="B307" s="16" t="str">
        <f>IFERROR(__xludf.DUMMYFUNCTION("""COMPUTED_VALUE"""),"levels")</f>
        <v>levels</v>
      </c>
    </row>
    <row r="308">
      <c r="A308" s="53">
        <f>IFERROR(__xludf.DUMMYFUNCTION("""COMPUTED_VALUE"""),552.0)</f>
        <v>552</v>
      </c>
      <c r="B308" s="16" t="str">
        <f>IFERROR(__xludf.DUMMYFUNCTION("""COMPUTED_VALUE"""),"librarian")</f>
        <v>librarian</v>
      </c>
    </row>
    <row r="309">
      <c r="A309" s="53">
        <f>IFERROR(__xludf.DUMMYFUNCTION("""COMPUTED_VALUE"""),553.0)</f>
        <v>553</v>
      </c>
      <c r="B309" s="16" t="str">
        <f>IFERROR(__xludf.DUMMYFUNCTION("""COMPUTED_VALUE"""),"library")</f>
        <v>library</v>
      </c>
    </row>
    <row r="310">
      <c r="A310" s="53">
        <f>IFERROR(__xludf.DUMMYFUNCTION("""COMPUTED_VALUE"""),557.0)</f>
        <v>557</v>
      </c>
      <c r="B310" s="16" t="str">
        <f>IFERROR(__xludf.DUMMYFUNCTION("""COMPUTED_VALUE"""),"light")</f>
        <v>light</v>
      </c>
    </row>
    <row r="311">
      <c r="A311" s="53">
        <f>IFERROR(__xludf.DUMMYFUNCTION("""COMPUTED_VALUE"""),558.0)</f>
        <v>558</v>
      </c>
      <c r="B311" s="16" t="str">
        <f>IFERROR(__xludf.DUMMYFUNCTION("""COMPUTED_VALUE"""),"Lignum Vitae ")</f>
        <v>Lignum Vitae </v>
      </c>
    </row>
    <row r="312">
      <c r="A312" s="53">
        <f>IFERROR(__xludf.DUMMYFUNCTION("""COMPUTED_VALUE"""),565.0)</f>
        <v>565</v>
      </c>
      <c r="B312" s="16" t="str">
        <f>IFERROR(__xludf.DUMMYFUNCTION("""COMPUTED_VALUE"""),"like")</f>
        <v>like</v>
      </c>
    </row>
    <row r="313">
      <c r="A313" s="53">
        <f>IFERROR(__xludf.DUMMYFUNCTION("""COMPUTED_VALUE"""),567.0)</f>
        <v>567</v>
      </c>
      <c r="B313" s="16" t="str">
        <f>IFERROR(__xludf.DUMMYFUNCTION("""COMPUTED_VALUE"""),"limerick")</f>
        <v>limerick</v>
      </c>
    </row>
    <row r="314">
      <c r="A314" s="53">
        <f>IFERROR(__xludf.DUMMYFUNCTION("""COMPUTED_VALUE"""),568.0)</f>
        <v>568</v>
      </c>
      <c r="B314" s="16" t="str">
        <f>IFERROR(__xludf.DUMMYFUNCTION("""COMPUTED_VALUE"""),"line")</f>
        <v>line</v>
      </c>
    </row>
    <row r="315">
      <c r="A315" s="53">
        <f>IFERROR(__xludf.DUMMYFUNCTION("""COMPUTED_VALUE"""),569.0)</f>
        <v>569</v>
      </c>
      <c r="B315" s="16" t="str">
        <f>IFERROR(__xludf.DUMMYFUNCTION("""COMPUTED_VALUE"""),"line graphs")</f>
        <v>line graphs</v>
      </c>
    </row>
    <row r="316">
      <c r="A316" s="53">
        <f>IFERROR(__xludf.DUMMYFUNCTION("""COMPUTED_VALUE"""),570.0)</f>
        <v>570</v>
      </c>
      <c r="B316" s="16" t="str">
        <f>IFERROR(__xludf.DUMMYFUNCTION("""COMPUTED_VALUE"""),"lion")</f>
        <v>lion</v>
      </c>
    </row>
    <row r="317">
      <c r="A317" s="53">
        <f>IFERROR(__xludf.DUMMYFUNCTION("""COMPUTED_VALUE"""),571.0)</f>
        <v>571</v>
      </c>
      <c r="B317" s="16" t="str">
        <f>IFERROR(__xludf.DUMMYFUNCTION("""COMPUTED_VALUE"""),"lips")</f>
        <v>lips</v>
      </c>
    </row>
    <row r="318">
      <c r="A318" s="53">
        <f>IFERROR(__xludf.DUMMYFUNCTION("""COMPUTED_VALUE"""),574.0)</f>
        <v>574</v>
      </c>
      <c r="B318" s="16" t="str">
        <f>IFERROR(__xludf.DUMMYFUNCTION("""COMPUTED_VALUE"""),"living room")</f>
        <v>living room</v>
      </c>
    </row>
    <row r="319">
      <c r="A319" s="53">
        <f>IFERROR(__xludf.DUMMYFUNCTION("""COMPUTED_VALUE"""),575.0)</f>
        <v>575</v>
      </c>
      <c r="B319" s="16" t="str">
        <f>IFERROR(__xludf.DUMMYFUNCTION("""COMPUTED_VALUE"""),"lizard")</f>
        <v>lizard</v>
      </c>
    </row>
    <row r="320">
      <c r="A320" s="53">
        <f>IFERROR(__xludf.DUMMYFUNCTION("""COMPUTED_VALUE"""),579.0)</f>
        <v>579</v>
      </c>
      <c r="B320" s="16" t="str">
        <f>IFERROR(__xludf.DUMMYFUNCTION("""COMPUTED_VALUE"""),"longing")</f>
        <v>longing</v>
      </c>
    </row>
    <row r="321">
      <c r="A321" s="53">
        <f>IFERROR(__xludf.DUMMYFUNCTION("""COMPUTED_VALUE"""),582.0)</f>
        <v>582</v>
      </c>
      <c r="B321" s="16" t="str">
        <f>IFERROR(__xludf.DUMMYFUNCTION("""COMPUTED_VALUE"""),"lunch")</f>
        <v>lunch</v>
      </c>
    </row>
    <row r="322">
      <c r="A322" s="53">
        <f>IFERROR(__xludf.DUMMYFUNCTION("""COMPUTED_VALUE"""),586.0)</f>
        <v>586</v>
      </c>
      <c r="B322" s="16" t="str">
        <f>IFERROR(__xludf.DUMMYFUNCTION("""COMPUTED_VALUE"""),"main idea")</f>
        <v>main idea</v>
      </c>
    </row>
    <row r="323">
      <c r="A323" s="53">
        <f>IFERROR(__xludf.DUMMYFUNCTION("""COMPUTED_VALUE"""),587.0)</f>
        <v>587</v>
      </c>
      <c r="B323" s="16" t="str">
        <f>IFERROR(__xludf.DUMMYFUNCTION("""COMPUTED_VALUE"""),"Manchester")</f>
        <v>Manchester</v>
      </c>
    </row>
    <row r="324">
      <c r="A324" s="53">
        <f>IFERROR(__xludf.DUMMYFUNCTION("""COMPUTED_VALUE"""),588.0)</f>
        <v>588</v>
      </c>
      <c r="B324" s="16" t="str">
        <f>IFERROR(__xludf.DUMMYFUNCTION("""COMPUTED_VALUE"""),"mango")</f>
        <v>mango</v>
      </c>
    </row>
    <row r="325">
      <c r="A325" s="53">
        <f>IFERROR(__xludf.DUMMYFUNCTION("""COMPUTED_VALUE"""),589.0)</f>
        <v>589</v>
      </c>
      <c r="B325" s="16" t="str">
        <f>IFERROR(__xludf.DUMMYFUNCTION("""COMPUTED_VALUE"""),"March")</f>
        <v>March</v>
      </c>
    </row>
    <row r="326">
      <c r="A326" s="53">
        <f>IFERROR(__xludf.DUMMYFUNCTION("""COMPUTED_VALUE"""),591.0)</f>
        <v>591</v>
      </c>
      <c r="B326" s="16" t="str">
        <f>IFERROR(__xludf.DUMMYFUNCTION("""COMPUTED_VALUE"""),"match")</f>
        <v>match</v>
      </c>
    </row>
    <row r="327">
      <c r="A327" s="53">
        <f>IFERROR(__xludf.DUMMYFUNCTION("""COMPUTED_VALUE"""),592.0)</f>
        <v>592</v>
      </c>
      <c r="B327" s="16" t="str">
        <f>IFERROR(__xludf.DUMMYFUNCTION("""COMPUTED_VALUE"""),"May")</f>
        <v>May</v>
      </c>
    </row>
    <row r="328">
      <c r="A328" s="53">
        <f>IFERROR(__xludf.DUMMYFUNCTION("""COMPUTED_VALUE"""),594.0)</f>
        <v>594</v>
      </c>
      <c r="B328" s="16" t="str">
        <f>IFERROR(__xludf.DUMMYFUNCTION("""COMPUTED_VALUE"""),"meal")</f>
        <v>meal</v>
      </c>
    </row>
    <row r="329">
      <c r="A329" s="53">
        <f>IFERROR(__xludf.DUMMYFUNCTION("""COMPUTED_VALUE"""),595.0)</f>
        <v>595</v>
      </c>
      <c r="B329" s="16" t="str">
        <f>IFERROR(__xludf.DUMMYFUNCTION("""COMPUTED_VALUE"""),"medal")</f>
        <v>medal</v>
      </c>
    </row>
    <row r="330">
      <c r="A330" s="53">
        <f>IFERROR(__xludf.DUMMYFUNCTION("""COMPUTED_VALUE"""),596.0)</f>
        <v>596</v>
      </c>
      <c r="B330" s="16" t="str">
        <f>IFERROR(__xludf.DUMMYFUNCTION("""COMPUTED_VALUE"""),"medicine")</f>
        <v>medicine</v>
      </c>
    </row>
    <row r="331">
      <c r="A331" s="53">
        <f>IFERROR(__xludf.DUMMYFUNCTION("""COMPUTED_VALUE"""),598.0)</f>
        <v>598</v>
      </c>
      <c r="B331" s="16" t="str">
        <f>IFERROR(__xludf.DUMMYFUNCTION("""COMPUTED_VALUE"""),"microwave")</f>
        <v>microwave</v>
      </c>
    </row>
    <row r="332">
      <c r="A332" s="53">
        <f>IFERROR(__xludf.DUMMYFUNCTION("""COMPUTED_VALUE"""),600.0)</f>
        <v>600</v>
      </c>
      <c r="B332" s="16" t="str">
        <f>IFERROR(__xludf.DUMMYFUNCTION("""COMPUTED_VALUE"""),"middle")</f>
        <v>middle</v>
      </c>
    </row>
    <row r="333">
      <c r="A333" s="53">
        <f>IFERROR(__xludf.DUMMYFUNCTION("""COMPUTED_VALUE"""),603.0)</f>
        <v>603</v>
      </c>
      <c r="B333" s="16" t="str">
        <f>IFERROR(__xludf.DUMMYFUNCTION("""COMPUTED_VALUE"""),"milk")</f>
        <v>milk</v>
      </c>
    </row>
    <row r="334">
      <c r="A334" s="53">
        <f>IFERROR(__xludf.DUMMYFUNCTION("""COMPUTED_VALUE"""),607.0)</f>
        <v>607</v>
      </c>
      <c r="B334" s="16" t="str">
        <f>IFERROR(__xludf.DUMMYFUNCTION("""COMPUTED_VALUE"""),"minute")</f>
        <v>minute</v>
      </c>
    </row>
    <row r="335">
      <c r="A335" s="53">
        <f>IFERROR(__xludf.DUMMYFUNCTION("""COMPUTED_VALUE"""),608.0)</f>
        <v>608</v>
      </c>
      <c r="B335" s="16" t="str">
        <f>IFERROR(__xludf.DUMMYFUNCTION("""COMPUTED_VALUE"""),"mittens")</f>
        <v>mittens</v>
      </c>
    </row>
    <row r="336">
      <c r="A336" s="53">
        <f>IFERROR(__xludf.DUMMYFUNCTION("""COMPUTED_VALUE"""),609.0)</f>
        <v>609</v>
      </c>
      <c r="B336" s="16" t="str">
        <f>IFERROR(__xludf.DUMMYFUNCTION("""COMPUTED_VALUE"""),"Monday")</f>
        <v>Monday</v>
      </c>
    </row>
    <row r="337">
      <c r="A337" s="53">
        <f>IFERROR(__xludf.DUMMYFUNCTION("""COMPUTED_VALUE"""),610.0)</f>
        <v>610</v>
      </c>
      <c r="B337" s="16" t="str">
        <f>IFERROR(__xludf.DUMMYFUNCTION("""COMPUTED_VALUE"""),"monkey")</f>
        <v>monkey</v>
      </c>
    </row>
    <row r="338">
      <c r="A338" s="53">
        <f>IFERROR(__xludf.DUMMYFUNCTION("""COMPUTED_VALUE"""),611.0)</f>
        <v>611</v>
      </c>
      <c r="B338" s="16" t="str">
        <f>IFERROR(__xludf.DUMMYFUNCTION("""COMPUTED_VALUE"""),"month")</f>
        <v>month</v>
      </c>
    </row>
    <row r="339">
      <c r="A339" s="53">
        <f>IFERROR(__xludf.DUMMYFUNCTION("""COMPUTED_VALUE"""),612.0)</f>
        <v>612</v>
      </c>
      <c r="B339" s="16" t="str">
        <f>IFERROR(__xludf.DUMMYFUNCTION("""COMPUTED_VALUE"""),"mood")</f>
        <v>mood</v>
      </c>
    </row>
    <row r="340">
      <c r="A340" s="53">
        <f>IFERROR(__xludf.DUMMYFUNCTION("""COMPUTED_VALUE"""),613.0)</f>
        <v>613</v>
      </c>
      <c r="B340" s="16" t="str">
        <f>IFERROR(__xludf.DUMMYFUNCTION("""COMPUTED_VALUE"""),"mop")</f>
        <v>mop</v>
      </c>
    </row>
    <row r="341">
      <c r="A341" s="53">
        <f>IFERROR(__xludf.DUMMYFUNCTION("""COMPUTED_VALUE"""),614.0)</f>
        <v>614</v>
      </c>
      <c r="B341" s="16" t="str">
        <f>IFERROR(__xludf.DUMMYFUNCTION("""COMPUTED_VALUE"""),"morning")</f>
        <v>morning</v>
      </c>
    </row>
    <row r="342">
      <c r="A342" s="53">
        <f>IFERROR(__xludf.DUMMYFUNCTION("""COMPUTED_VALUE"""),615.0)</f>
        <v>615</v>
      </c>
      <c r="B342" s="16" t="str">
        <f>IFERROR(__xludf.DUMMYFUNCTION("""COMPUTED_VALUE"""),"mother")</f>
        <v>mother</v>
      </c>
    </row>
    <row r="343">
      <c r="A343" s="53">
        <f>IFERROR(__xludf.DUMMYFUNCTION("""COMPUTED_VALUE"""),616.0)</f>
        <v>616</v>
      </c>
      <c r="B343" s="16" t="str">
        <f>IFERROR(__xludf.DUMMYFUNCTION("""COMPUTED_VALUE"""),"mountain")</f>
        <v>mountain</v>
      </c>
    </row>
    <row r="344">
      <c r="A344" s="53">
        <f>IFERROR(__xludf.DUMMYFUNCTION("""COMPUTED_VALUE"""),617.0)</f>
        <v>617</v>
      </c>
      <c r="B344" s="16" t="str">
        <f>IFERROR(__xludf.DUMMYFUNCTION("""COMPUTED_VALUE"""),"Mouth")</f>
        <v>Mouth</v>
      </c>
    </row>
    <row r="345">
      <c r="A345" s="53">
        <f>IFERROR(__xludf.DUMMYFUNCTION("""COMPUTED_VALUE"""),618.0)</f>
        <v>618</v>
      </c>
      <c r="B345" s="16" t="str">
        <f>IFERROR(__xludf.DUMMYFUNCTION("""COMPUTED_VALUE"""),"multi-media")</f>
        <v>multi-media</v>
      </c>
    </row>
    <row r="346">
      <c r="A346" s="53">
        <f>IFERROR(__xludf.DUMMYFUNCTION("""COMPUTED_VALUE"""),619.0)</f>
        <v>619</v>
      </c>
      <c r="B346" s="16" t="str">
        <f>IFERROR(__xludf.DUMMYFUNCTION("""COMPUTED_VALUE"""),"music")</f>
        <v>music</v>
      </c>
    </row>
    <row r="347">
      <c r="A347" s="53">
        <f>IFERROR(__xludf.DUMMYFUNCTION("""COMPUTED_VALUE"""),621.0)</f>
        <v>621</v>
      </c>
      <c r="B347" s="16" t="str">
        <f>IFERROR(__xludf.DUMMYFUNCTION("""COMPUTED_VALUE"""),"musical elements")</f>
        <v>musical elements</v>
      </c>
    </row>
    <row r="348">
      <c r="A348" s="53">
        <f>IFERROR(__xludf.DUMMYFUNCTION("""COMPUTED_VALUE"""),625.0)</f>
        <v>625</v>
      </c>
      <c r="B348" s="16" t="str">
        <f>IFERROR(__xludf.DUMMYFUNCTION("""COMPUTED_VALUE"""),"name")</f>
        <v>name</v>
      </c>
    </row>
    <row r="349">
      <c r="A349" s="53">
        <f>IFERROR(__xludf.DUMMYFUNCTION("""COMPUTED_VALUE"""),626.0)</f>
        <v>626</v>
      </c>
      <c r="B349" s="16" t="str">
        <f>IFERROR(__xludf.DUMMYFUNCTION("""COMPUTED_VALUE"""),"narration")</f>
        <v>narration</v>
      </c>
    </row>
    <row r="350">
      <c r="A350" s="53">
        <f>IFERROR(__xludf.DUMMYFUNCTION("""COMPUTED_VALUE"""),627.0)</f>
        <v>627</v>
      </c>
      <c r="B350" s="16" t="str">
        <f>IFERROR(__xludf.DUMMYFUNCTION("""COMPUTED_VALUE"""),"narrative")</f>
        <v>narrative</v>
      </c>
    </row>
    <row r="351">
      <c r="A351" s="53">
        <f>IFERROR(__xludf.DUMMYFUNCTION("""COMPUTED_VALUE"""),628.0)</f>
        <v>628</v>
      </c>
      <c r="B351" s="16" t="str">
        <f>IFERROR(__xludf.DUMMYFUNCTION("""COMPUTED_VALUE"""),"narrator")</f>
        <v>narrator</v>
      </c>
    </row>
    <row r="352">
      <c r="A352" s="53">
        <f>IFERROR(__xludf.DUMMYFUNCTION("""COMPUTED_VALUE"""),631.0)</f>
        <v>631</v>
      </c>
      <c r="B352" s="16" t="str">
        <f>IFERROR(__xludf.DUMMYFUNCTION("""COMPUTED_VALUE"""),"National Stadium ")</f>
        <v>National Stadium </v>
      </c>
    </row>
    <row r="353">
      <c r="A353" s="53">
        <f>IFERROR(__xludf.DUMMYFUNCTION("""COMPUTED_VALUE"""),632.0)</f>
        <v>632</v>
      </c>
      <c r="B353" s="16" t="str">
        <f>IFERROR(__xludf.DUMMYFUNCTION("""COMPUTED_VALUE"""),"nature")</f>
        <v>nature</v>
      </c>
    </row>
    <row r="354">
      <c r="A354" s="53">
        <f>IFERROR(__xludf.DUMMYFUNCTION("""COMPUTED_VALUE"""),634.0)</f>
        <v>634</v>
      </c>
      <c r="B354" s="16" t="str">
        <f>IFERROR(__xludf.DUMMYFUNCTION("""COMPUTED_VALUE"""),"Neck")</f>
        <v>Neck</v>
      </c>
    </row>
    <row r="355">
      <c r="A355" s="53">
        <f>IFERROR(__xludf.DUMMYFUNCTION("""COMPUTED_VALUE"""),636.0)</f>
        <v>636</v>
      </c>
      <c r="B355" s="16" t="str">
        <f>IFERROR(__xludf.DUMMYFUNCTION("""COMPUTED_VALUE"""),"nephew")</f>
        <v>nephew</v>
      </c>
    </row>
    <row r="356">
      <c r="A356" s="53">
        <f>IFERROR(__xludf.DUMMYFUNCTION("""COMPUTED_VALUE"""),638.0)</f>
        <v>638</v>
      </c>
      <c r="B356" s="16" t="str">
        <f>IFERROR(__xludf.DUMMYFUNCTION("""COMPUTED_VALUE"""),"netball")</f>
        <v>netball</v>
      </c>
    </row>
    <row r="357">
      <c r="A357" s="53">
        <f>IFERROR(__xludf.DUMMYFUNCTION("""COMPUTED_VALUE"""),642.0)</f>
        <v>642</v>
      </c>
      <c r="B357" s="16" t="str">
        <f>IFERROR(__xludf.DUMMYFUNCTION("""COMPUTED_VALUE"""),"next")</f>
        <v>next</v>
      </c>
    </row>
    <row r="358">
      <c r="A358" s="53">
        <f>IFERROR(__xludf.DUMMYFUNCTION("""COMPUTED_VALUE"""),644.0)</f>
        <v>644</v>
      </c>
      <c r="B358" s="16" t="str">
        <f>IFERROR(__xludf.DUMMYFUNCTION("""COMPUTED_VALUE"""),"next day")</f>
        <v>next day</v>
      </c>
    </row>
    <row r="359">
      <c r="A359" s="53">
        <f>IFERROR(__xludf.DUMMYFUNCTION("""COMPUTED_VALUE"""),646.0)</f>
        <v>646</v>
      </c>
      <c r="B359" s="16" t="str">
        <f>IFERROR(__xludf.DUMMYFUNCTION("""COMPUTED_VALUE"""),"next month")</f>
        <v>next month</v>
      </c>
    </row>
    <row r="360">
      <c r="A360" s="53">
        <f>IFERROR(__xludf.DUMMYFUNCTION("""COMPUTED_VALUE"""),648.0)</f>
        <v>648</v>
      </c>
      <c r="B360" s="16" t="str">
        <f>IFERROR(__xludf.DUMMYFUNCTION("""COMPUTED_VALUE"""),"next week")</f>
        <v>next week</v>
      </c>
    </row>
    <row r="361">
      <c r="A361" s="53">
        <f>IFERROR(__xludf.DUMMYFUNCTION("""COMPUTED_VALUE"""),650.0)</f>
        <v>650</v>
      </c>
      <c r="B361" s="16" t="str">
        <f>IFERROR(__xludf.DUMMYFUNCTION("""COMPUTED_VALUE"""),"niece")</f>
        <v>niece</v>
      </c>
    </row>
    <row r="362">
      <c r="A362" s="53">
        <f>IFERROR(__xludf.DUMMYFUNCTION("""COMPUTED_VALUE"""),651.0)</f>
        <v>651</v>
      </c>
      <c r="B362" s="16" t="str">
        <f>IFERROR(__xludf.DUMMYFUNCTION("""COMPUTED_VALUE"""),"night")</f>
        <v>night</v>
      </c>
    </row>
    <row r="363">
      <c r="A363" s="53">
        <f>IFERROR(__xludf.DUMMYFUNCTION("""COMPUTED_VALUE"""),653.0)</f>
        <v>653</v>
      </c>
      <c r="B363" s="16" t="str">
        <f>IFERROR(__xludf.DUMMYFUNCTION("""COMPUTED_VALUE"""),"Americas")</f>
        <v>Americas</v>
      </c>
    </row>
    <row r="364">
      <c r="A364" s="53">
        <f>IFERROR(__xludf.DUMMYFUNCTION("""COMPUTED_VALUE"""),654.0)</f>
        <v>654</v>
      </c>
      <c r="B364" s="16" t="str">
        <f>IFERROR(__xludf.DUMMYFUNCTION("""COMPUTED_VALUE"""),"Nose")</f>
        <v>Nose</v>
      </c>
    </row>
    <row r="365">
      <c r="A365" s="53">
        <f>IFERROR(__xludf.DUMMYFUNCTION("""COMPUTED_VALUE"""),655.0)</f>
        <v>655</v>
      </c>
      <c r="B365" s="16" t="str">
        <f>IFERROR(__xludf.DUMMYFUNCTION("""COMPUTED_VALUE"""),"nostril")</f>
        <v>nostril</v>
      </c>
    </row>
    <row r="366">
      <c r="A366" s="53">
        <f>IFERROR(__xludf.DUMMYFUNCTION("""COMPUTED_VALUE"""),656.0)</f>
        <v>656</v>
      </c>
      <c r="B366" s="16" t="str">
        <f>IFERROR(__xludf.DUMMYFUNCTION("""COMPUTED_VALUE"""),"notation")</f>
        <v>notation</v>
      </c>
    </row>
    <row r="367">
      <c r="A367" s="53">
        <f>IFERROR(__xludf.DUMMYFUNCTION("""COMPUTED_VALUE"""),657.0)</f>
        <v>657</v>
      </c>
      <c r="B367" s="16" t="str">
        <f>IFERROR(__xludf.DUMMYFUNCTION("""COMPUTED_VALUE"""),"notes")</f>
        <v>notes</v>
      </c>
    </row>
    <row r="368">
      <c r="A368" s="53">
        <f>IFERROR(__xludf.DUMMYFUNCTION("""COMPUTED_VALUE"""),658.0)</f>
        <v>658</v>
      </c>
      <c r="B368" s="16" t="str">
        <f>IFERROR(__xludf.DUMMYFUNCTION("""COMPUTED_VALUE"""),"November")</f>
        <v>November</v>
      </c>
    </row>
    <row r="369">
      <c r="A369" s="53">
        <f>IFERROR(__xludf.DUMMYFUNCTION("""COMPUTED_VALUE"""),659.0)</f>
        <v>659</v>
      </c>
      <c r="B369" s="16" t="str">
        <f>IFERROR(__xludf.DUMMYFUNCTION("""COMPUTED_VALUE"""),"oats")</f>
        <v>oats</v>
      </c>
    </row>
    <row r="370">
      <c r="A370" s="53">
        <f>IFERROR(__xludf.DUMMYFUNCTION("""COMPUTED_VALUE"""),660.0)</f>
        <v>660</v>
      </c>
      <c r="B370" s="16" t="str">
        <f>IFERROR(__xludf.DUMMYFUNCTION("""COMPUTED_VALUE"""),"observation")</f>
        <v>observation</v>
      </c>
    </row>
    <row r="371">
      <c r="A371" s="53">
        <f>IFERROR(__xludf.DUMMYFUNCTION("""COMPUTED_VALUE"""),661.0)</f>
        <v>661</v>
      </c>
      <c r="B371" s="16" t="str">
        <f>IFERROR(__xludf.DUMMYFUNCTION("""COMPUTED_VALUE"""),"October")</f>
        <v>October</v>
      </c>
    </row>
    <row r="372">
      <c r="A372" s="53">
        <f>IFERROR(__xludf.DUMMYFUNCTION("""COMPUTED_VALUE"""),663.0)</f>
        <v>663</v>
      </c>
      <c r="B372" s="16" t="str">
        <f>IFERROR(__xludf.DUMMYFUNCTION("""COMPUTED_VALUE"""),"Olympics")</f>
        <v>Olympics</v>
      </c>
    </row>
    <row r="373">
      <c r="A373" s="53">
        <f>IFERROR(__xludf.DUMMYFUNCTION("""COMPUTED_VALUE"""),668.0)</f>
        <v>668</v>
      </c>
      <c r="B373" s="16" t="str">
        <f>IFERROR(__xludf.DUMMYFUNCTION("""COMPUTED_VALUE"""),"oval")</f>
        <v>oval</v>
      </c>
    </row>
    <row r="374">
      <c r="A374" s="53">
        <f>IFERROR(__xludf.DUMMYFUNCTION("""COMPUTED_VALUE"""),669.0)</f>
        <v>669</v>
      </c>
      <c r="B374" s="16" t="str">
        <f>IFERROR(__xludf.DUMMYFUNCTION("""COMPUTED_VALUE"""),"oven")</f>
        <v>oven</v>
      </c>
    </row>
    <row r="375">
      <c r="A375" s="53">
        <f>IFERROR(__xludf.DUMMYFUNCTION("""COMPUTED_VALUE"""),672.0)</f>
        <v>672</v>
      </c>
      <c r="B375" s="16" t="str">
        <f>IFERROR(__xludf.DUMMYFUNCTION("""COMPUTED_VALUE"""),"over")</f>
        <v>over</v>
      </c>
    </row>
    <row r="376">
      <c r="A376" s="53">
        <f>IFERROR(__xludf.DUMMYFUNCTION("""COMPUTED_VALUE"""),674.0)</f>
        <v>674</v>
      </c>
      <c r="B376" s="16" t="str">
        <f>IFERROR(__xludf.DUMMYFUNCTION("""COMPUTED_VALUE"""),"overall")</f>
        <v>overall</v>
      </c>
    </row>
    <row r="377">
      <c r="A377" s="53">
        <f>IFERROR(__xludf.DUMMYFUNCTION("""COMPUTED_VALUE"""),676.0)</f>
        <v>676</v>
      </c>
      <c r="B377" s="16" t="str">
        <f>IFERROR(__xludf.DUMMYFUNCTION("""COMPUTED_VALUE"""),"page")</f>
        <v>page</v>
      </c>
    </row>
    <row r="378">
      <c r="A378" s="53">
        <f>IFERROR(__xludf.DUMMYFUNCTION("""COMPUTED_VALUE"""),677.0)</f>
        <v>677</v>
      </c>
      <c r="B378" s="16" t="str">
        <f>IFERROR(__xludf.DUMMYFUNCTION("""COMPUTED_VALUE"""),"pants")</f>
        <v>pants</v>
      </c>
    </row>
    <row r="379">
      <c r="A379" s="53">
        <f>IFERROR(__xludf.DUMMYFUNCTION("""COMPUTED_VALUE"""),679.0)</f>
        <v>679</v>
      </c>
      <c r="B379" s="16" t="str">
        <f>IFERROR(__xludf.DUMMYFUNCTION("""COMPUTED_VALUE"""),"parent")</f>
        <v>parent</v>
      </c>
    </row>
    <row r="380">
      <c r="A380" s="53">
        <f>IFERROR(__xludf.DUMMYFUNCTION("""COMPUTED_VALUE"""),681.0)</f>
        <v>681</v>
      </c>
      <c r="B380" s="16" t="str">
        <f>IFERROR(__xludf.DUMMYFUNCTION("""COMPUTED_VALUE"""),"passion")</f>
        <v>passion</v>
      </c>
    </row>
    <row r="381">
      <c r="A381" s="53">
        <f>IFERROR(__xludf.DUMMYFUNCTION("""COMPUTED_VALUE"""),682.0)</f>
        <v>682</v>
      </c>
      <c r="B381" s="16" t="str">
        <f>IFERROR(__xludf.DUMMYFUNCTION("""COMPUTED_VALUE"""),"pencil")</f>
        <v>pencil</v>
      </c>
    </row>
    <row r="382">
      <c r="A382" s="53">
        <f>IFERROR(__xludf.DUMMYFUNCTION("""COMPUTED_VALUE"""),684.0)</f>
        <v>684</v>
      </c>
      <c r="B382" s="16" t="str">
        <f>IFERROR(__xludf.DUMMYFUNCTION("""COMPUTED_VALUE"""),"performer")</f>
        <v>performer</v>
      </c>
    </row>
    <row r="383">
      <c r="A383" s="53">
        <f>IFERROR(__xludf.DUMMYFUNCTION("""COMPUTED_VALUE"""),685.0)</f>
        <v>685</v>
      </c>
      <c r="B383" s="16" t="str">
        <f>IFERROR(__xludf.DUMMYFUNCTION("""COMPUTED_VALUE"""),"performer")</f>
        <v>performer</v>
      </c>
    </row>
    <row r="384">
      <c r="A384" s="53">
        <f>IFERROR(__xludf.DUMMYFUNCTION("""COMPUTED_VALUE"""),688.0)</f>
        <v>688</v>
      </c>
      <c r="B384" s="16" t="str">
        <f>IFERROR(__xludf.DUMMYFUNCTION("""COMPUTED_VALUE"""),"pets")</f>
        <v>pets</v>
      </c>
    </row>
    <row r="385">
      <c r="A385" s="53">
        <f>IFERROR(__xludf.DUMMYFUNCTION("""COMPUTED_VALUE"""),689.0)</f>
        <v>689</v>
      </c>
      <c r="B385" s="16" t="str">
        <f>IFERROR(__xludf.DUMMYFUNCTION("""COMPUTED_VALUE"""),"pictograph")</f>
        <v>pictograph</v>
      </c>
    </row>
    <row r="386">
      <c r="A386" s="53">
        <f>IFERROR(__xludf.DUMMYFUNCTION("""COMPUTED_VALUE"""),690.0)</f>
        <v>690</v>
      </c>
      <c r="B386" s="16" t="str">
        <f>IFERROR(__xludf.DUMMYFUNCTION("""COMPUTED_VALUE"""),"picture")</f>
        <v>picture</v>
      </c>
    </row>
    <row r="387">
      <c r="A387" s="53">
        <f>IFERROR(__xludf.DUMMYFUNCTION("""COMPUTED_VALUE"""),691.0)</f>
        <v>691</v>
      </c>
      <c r="B387" s="16" t="str">
        <f>IFERROR(__xludf.DUMMYFUNCTION("""COMPUTED_VALUE"""),"picture graph")</f>
        <v>picture graph</v>
      </c>
    </row>
    <row r="388">
      <c r="A388" s="53">
        <f>IFERROR(__xludf.DUMMYFUNCTION("""COMPUTED_VALUE"""),692.0)</f>
        <v>692</v>
      </c>
      <c r="B388" s="16" t="str">
        <f>IFERROR(__xludf.DUMMYFUNCTION("""COMPUTED_VALUE"""),"pie chart")</f>
        <v>pie chart</v>
      </c>
    </row>
    <row r="389">
      <c r="A389" s="53">
        <f>IFERROR(__xludf.DUMMYFUNCTION("""COMPUTED_VALUE"""),693.0)</f>
        <v>693</v>
      </c>
      <c r="B389" s="16" t="str">
        <f>IFERROR(__xludf.DUMMYFUNCTION("""COMPUTED_VALUE"""),"pig")</f>
        <v>pig</v>
      </c>
    </row>
    <row r="390">
      <c r="A390" s="53">
        <f>IFERROR(__xludf.DUMMYFUNCTION("""COMPUTED_VALUE"""),694.0)</f>
        <v>694</v>
      </c>
      <c r="B390" s="16" t="str">
        <f>IFERROR(__xludf.DUMMYFUNCTION("""COMPUTED_VALUE"""),"pillow")</f>
        <v>pillow</v>
      </c>
    </row>
    <row r="391">
      <c r="A391" s="53">
        <f>IFERROR(__xludf.DUMMYFUNCTION("""COMPUTED_VALUE"""),698.0)</f>
        <v>698</v>
      </c>
      <c r="B391" s="16" t="str">
        <f>IFERROR(__xludf.DUMMYFUNCTION("""COMPUTED_VALUE"""),"plants")</f>
        <v>plants</v>
      </c>
    </row>
    <row r="392">
      <c r="A392" s="53">
        <f>IFERROR(__xludf.DUMMYFUNCTION("""COMPUTED_VALUE"""),701.0)</f>
        <v>701</v>
      </c>
      <c r="B392" s="16" t="str">
        <f>IFERROR(__xludf.DUMMYFUNCTION("""COMPUTED_VALUE"""),"playground")</f>
        <v>playground</v>
      </c>
    </row>
    <row r="393">
      <c r="A393" s="53">
        <f>IFERROR(__xludf.DUMMYFUNCTION("""COMPUTED_VALUE"""),705.0)</f>
        <v>705</v>
      </c>
      <c r="B393" s="16" t="str">
        <f>IFERROR(__xludf.DUMMYFUNCTION("""COMPUTED_VALUE"""),"pocket")</f>
        <v>pocket</v>
      </c>
    </row>
    <row r="394">
      <c r="A394" s="53">
        <f>IFERROR(__xludf.DUMMYFUNCTION("""COMPUTED_VALUE"""),706.0)</f>
        <v>706</v>
      </c>
      <c r="B394" s="16" t="str">
        <f>IFERROR(__xludf.DUMMYFUNCTION("""COMPUTED_VALUE"""),"poem")</f>
        <v>poem</v>
      </c>
    </row>
    <row r="395">
      <c r="A395" s="53">
        <f>IFERROR(__xludf.DUMMYFUNCTION("""COMPUTED_VALUE"""),707.0)</f>
        <v>707</v>
      </c>
      <c r="B395" s="16" t="str">
        <f>IFERROR(__xludf.DUMMYFUNCTION("""COMPUTED_VALUE"""),"poet")</f>
        <v>poet</v>
      </c>
    </row>
    <row r="396">
      <c r="A396" s="53">
        <f>IFERROR(__xludf.DUMMYFUNCTION("""COMPUTED_VALUE"""),709.0)</f>
        <v>709</v>
      </c>
      <c r="B396" s="16" t="str">
        <f>IFERROR(__xludf.DUMMYFUNCTION("""COMPUTED_VALUE"""),"poison")</f>
        <v>poison</v>
      </c>
    </row>
    <row r="397">
      <c r="A397" s="53">
        <f>IFERROR(__xludf.DUMMYFUNCTION("""COMPUTED_VALUE"""),710.0)</f>
        <v>710</v>
      </c>
      <c r="B397" s="16" t="str">
        <f>IFERROR(__xludf.DUMMYFUNCTION("""COMPUTED_VALUE"""),"police")</f>
        <v>police</v>
      </c>
    </row>
    <row r="398">
      <c r="A398" s="53">
        <f>IFERROR(__xludf.DUMMYFUNCTION("""COMPUTED_VALUE"""),711.0)</f>
        <v>711</v>
      </c>
      <c r="B398" s="16" t="str">
        <f>IFERROR(__xludf.DUMMYFUNCTION("""COMPUTED_VALUE"""),"population")</f>
        <v>population</v>
      </c>
    </row>
    <row r="399">
      <c r="A399" s="53">
        <f>IFERROR(__xludf.DUMMYFUNCTION("""COMPUTED_VALUE"""),712.0)</f>
        <v>712</v>
      </c>
      <c r="B399" s="16" t="str">
        <f>IFERROR(__xludf.DUMMYFUNCTION("""COMPUTED_VALUE"""),"Portland")</f>
        <v>Portland</v>
      </c>
    </row>
    <row r="400">
      <c r="A400" s="53">
        <f>IFERROR(__xludf.DUMMYFUNCTION("""COMPUTED_VALUE"""),713.0)</f>
        <v>713</v>
      </c>
      <c r="B400" s="16" t="str">
        <f>IFERROR(__xludf.DUMMYFUNCTION("""COMPUTED_VALUE"""),"posion")</f>
        <v>posion</v>
      </c>
    </row>
    <row r="401">
      <c r="A401" s="53">
        <f>IFERROR(__xludf.DUMMYFUNCTION("""COMPUTED_VALUE"""),714.0)</f>
        <v>714</v>
      </c>
      <c r="B401" s="16" t="str">
        <f>IFERROR(__xludf.DUMMYFUNCTION("""COMPUTED_VALUE"""),"potato")</f>
        <v>potato</v>
      </c>
    </row>
    <row r="402">
      <c r="A402" s="53">
        <f>IFERROR(__xludf.DUMMYFUNCTION("""COMPUTED_VALUE"""),715.0)</f>
        <v>715</v>
      </c>
      <c r="B402" s="16" t="str">
        <f>IFERROR(__xludf.DUMMYFUNCTION("""COMPUTED_VALUE"""),"praise")</f>
        <v>praise</v>
      </c>
    </row>
    <row r="403">
      <c r="A403" s="53">
        <f>IFERROR(__xludf.DUMMYFUNCTION("""COMPUTED_VALUE"""),717.0)</f>
        <v>717</v>
      </c>
      <c r="B403" s="16" t="str">
        <f>IFERROR(__xludf.DUMMYFUNCTION("""COMPUTED_VALUE"""),"prayer")</f>
        <v>prayer</v>
      </c>
    </row>
    <row r="404">
      <c r="A404" s="53">
        <f>IFERROR(__xludf.DUMMYFUNCTION("""COMPUTED_VALUE"""),718.0)</f>
        <v>718</v>
      </c>
      <c r="B404" s="16" t="str">
        <f>IFERROR(__xludf.DUMMYFUNCTION("""COMPUTED_VALUE"""),"prayer")</f>
        <v>prayer</v>
      </c>
    </row>
    <row r="405">
      <c r="A405" s="53">
        <f>IFERROR(__xludf.DUMMYFUNCTION("""COMPUTED_VALUE"""),721.0)</f>
        <v>721</v>
      </c>
      <c r="B405" s="16" t="str">
        <f>IFERROR(__xludf.DUMMYFUNCTION("""COMPUTED_VALUE"""),"prefixes")</f>
        <v>prefixes</v>
      </c>
    </row>
    <row r="406">
      <c r="A406" s="53">
        <f>IFERROR(__xludf.DUMMYFUNCTION("""COMPUTED_VALUE"""),722.0)</f>
        <v>722</v>
      </c>
      <c r="B406" s="16" t="str">
        <f>IFERROR(__xludf.DUMMYFUNCTION("""COMPUTED_VALUE"""),"presentation")</f>
        <v>presentation</v>
      </c>
    </row>
    <row r="407">
      <c r="A407" s="53">
        <f>IFERROR(__xludf.DUMMYFUNCTION("""COMPUTED_VALUE"""),725.0)</f>
        <v>725</v>
      </c>
      <c r="B407" s="16" t="str">
        <f>IFERROR(__xludf.DUMMYFUNCTION("""COMPUTED_VALUE"""),"pretty")</f>
        <v>pretty</v>
      </c>
    </row>
    <row r="408">
      <c r="A408" s="53">
        <f>IFERROR(__xludf.DUMMYFUNCTION("""COMPUTED_VALUE"""),728.0)</f>
        <v>728</v>
      </c>
      <c r="B408" s="16" t="str">
        <f>IFERROR(__xludf.DUMMYFUNCTION("""COMPUTED_VALUE"""),"product")</f>
        <v>product</v>
      </c>
    </row>
    <row r="409">
      <c r="A409" s="53">
        <f>IFERROR(__xludf.DUMMYFUNCTION("""COMPUTED_VALUE"""),730.0)</f>
        <v>730</v>
      </c>
      <c r="B409" s="16" t="str">
        <f>IFERROR(__xludf.DUMMYFUNCTION("""COMPUTED_VALUE"""),"programme")</f>
        <v>programme</v>
      </c>
    </row>
    <row r="410">
      <c r="A410" s="53">
        <f>IFERROR(__xludf.DUMMYFUNCTION("""COMPUTED_VALUE"""),732.0)</f>
        <v>732</v>
      </c>
      <c r="B410" s="16" t="str">
        <f>IFERROR(__xludf.DUMMYFUNCTION("""COMPUTED_VALUE"""),"protein")</f>
        <v>protein</v>
      </c>
    </row>
    <row r="411">
      <c r="A411" s="53">
        <f>IFERROR(__xludf.DUMMYFUNCTION("""COMPUTED_VALUE"""),735.0)</f>
        <v>735</v>
      </c>
      <c r="B411" s="16" t="str">
        <f>IFERROR(__xludf.DUMMYFUNCTION("""COMPUTED_VALUE"""),"publisher")</f>
        <v>publisher</v>
      </c>
    </row>
    <row r="412">
      <c r="A412" s="53">
        <f>IFERROR(__xludf.DUMMYFUNCTION("""COMPUTED_VALUE"""),736.0)</f>
        <v>736</v>
      </c>
      <c r="B412" s="16" t="str">
        <f>IFERROR(__xludf.DUMMYFUNCTION("""COMPUTED_VALUE"""),"pumpkin")</f>
        <v>pumpkin</v>
      </c>
    </row>
    <row r="413">
      <c r="A413" s="53">
        <f>IFERROR(__xludf.DUMMYFUNCTION("""COMPUTED_VALUE"""),742.0)</f>
        <v>742</v>
      </c>
      <c r="B413" s="16" t="str">
        <f>IFERROR(__xludf.DUMMYFUNCTION("""COMPUTED_VALUE"""),"rat")</f>
        <v>rat</v>
      </c>
    </row>
    <row r="414">
      <c r="A414" s="53">
        <f>IFERROR(__xludf.DUMMYFUNCTION("""COMPUTED_VALUE"""),743.0)</f>
        <v>743</v>
      </c>
      <c r="B414" s="16" t="str">
        <f>IFERROR(__xludf.DUMMYFUNCTION("""COMPUTED_VALUE"""),"ray")</f>
        <v>ray</v>
      </c>
    </row>
    <row r="415">
      <c r="A415" s="53">
        <f>IFERROR(__xludf.DUMMYFUNCTION("""COMPUTED_VALUE"""),745.0)</f>
        <v>745</v>
      </c>
      <c r="B415" s="16" t="str">
        <f>IFERROR(__xludf.DUMMYFUNCTION("""COMPUTED_VALUE"""),"read")</f>
        <v>read</v>
      </c>
    </row>
    <row r="416">
      <c r="A416" s="53">
        <f>IFERROR(__xludf.DUMMYFUNCTION("""COMPUTED_VALUE"""),749.0)</f>
        <v>749</v>
      </c>
      <c r="B416" s="16" t="str">
        <f>IFERROR(__xludf.DUMMYFUNCTION("""COMPUTED_VALUE"""),"recording")</f>
        <v>recording</v>
      </c>
    </row>
    <row r="417">
      <c r="A417" s="53">
        <f>IFERROR(__xludf.DUMMYFUNCTION("""COMPUTED_VALUE"""),753.0)</f>
        <v>753</v>
      </c>
      <c r="B417" s="16" t="str">
        <f>IFERROR(__xludf.DUMMYFUNCTION("""COMPUTED_VALUE"""),"references")</f>
        <v>references</v>
      </c>
    </row>
    <row r="418">
      <c r="A418" s="53">
        <f>IFERROR(__xludf.DUMMYFUNCTION("""COMPUTED_VALUE"""),754.0)</f>
        <v>754</v>
      </c>
      <c r="B418" s="16" t="str">
        <f>IFERROR(__xludf.DUMMYFUNCTION("""COMPUTED_VALUE"""),"refrigerator")</f>
        <v>refrigerator</v>
      </c>
    </row>
    <row r="419">
      <c r="A419" s="53">
        <f>IFERROR(__xludf.DUMMYFUNCTION("""COMPUTED_VALUE"""),758.0)</f>
        <v>758</v>
      </c>
      <c r="B419" s="16" t="str">
        <f>IFERROR(__xludf.DUMMYFUNCTION("""COMPUTED_VALUE"""),"repetition")</f>
        <v>repetition</v>
      </c>
    </row>
    <row r="420">
      <c r="A420" s="53">
        <f>IFERROR(__xludf.DUMMYFUNCTION("""COMPUTED_VALUE"""),760.0)</f>
        <v>760</v>
      </c>
      <c r="B420" s="16" t="str">
        <f>IFERROR(__xludf.DUMMYFUNCTION("""COMPUTED_VALUE"""),"report")</f>
        <v>report</v>
      </c>
    </row>
    <row r="421">
      <c r="A421" s="53">
        <f>IFERROR(__xludf.DUMMYFUNCTION("""COMPUTED_VALUE"""),761.0)</f>
        <v>761</v>
      </c>
      <c r="B421" s="16" t="str">
        <f>IFERROR(__xludf.DUMMYFUNCTION("""COMPUTED_VALUE"""),"representation")</f>
        <v>representation</v>
      </c>
    </row>
    <row r="422">
      <c r="A422" s="53">
        <f>IFERROR(__xludf.DUMMYFUNCTION("""COMPUTED_VALUE"""),765.0)</f>
        <v>765</v>
      </c>
      <c r="B422" s="16" t="str">
        <f>IFERROR(__xludf.DUMMYFUNCTION("""COMPUTED_VALUE"""),"resource")</f>
        <v>resource</v>
      </c>
    </row>
    <row r="423">
      <c r="A423" s="53">
        <f>IFERROR(__xludf.DUMMYFUNCTION("""COMPUTED_VALUE"""),767.0)</f>
        <v>767</v>
      </c>
      <c r="B423" s="16" t="str">
        <f>IFERROR(__xludf.DUMMYFUNCTION("""COMPUTED_VALUE"""),"rhythm")</f>
        <v>rhythm</v>
      </c>
    </row>
    <row r="424">
      <c r="A424" s="53">
        <f>IFERROR(__xludf.DUMMYFUNCTION("""COMPUTED_VALUE"""),768.0)</f>
        <v>768</v>
      </c>
      <c r="B424" s="16" t="str">
        <f>IFERROR(__xludf.DUMMYFUNCTION("""COMPUTED_VALUE"""),"rice")</f>
        <v>rice</v>
      </c>
    </row>
    <row r="425">
      <c r="A425" s="53">
        <f>IFERROR(__xludf.DUMMYFUNCTION("""COMPUTED_VALUE"""),769.0)</f>
        <v>769</v>
      </c>
      <c r="B425" s="16" t="str">
        <f>IFERROR(__xludf.DUMMYFUNCTION("""COMPUTED_VALUE"""),"rice")</f>
        <v>rice</v>
      </c>
    </row>
    <row r="426">
      <c r="A426" s="53">
        <f>IFERROR(__xludf.DUMMYFUNCTION("""COMPUTED_VALUE"""),770.0)</f>
        <v>770</v>
      </c>
      <c r="B426" s="16" t="str">
        <f>IFERROR(__xludf.DUMMYFUNCTION("""COMPUTED_VALUE"""),"rice and peas")</f>
        <v>rice and peas</v>
      </c>
    </row>
    <row r="427">
      <c r="A427" s="53">
        <f>IFERROR(__xludf.DUMMYFUNCTION("""COMPUTED_VALUE"""),773.0)</f>
        <v>773</v>
      </c>
      <c r="B427" s="16" t="str">
        <f>IFERROR(__xludf.DUMMYFUNCTION("""COMPUTED_VALUE"""),"right")</f>
        <v>right</v>
      </c>
    </row>
    <row r="428">
      <c r="A428" s="53">
        <f>IFERROR(__xludf.DUMMYFUNCTION("""COMPUTED_VALUE"""),774.0)</f>
        <v>774</v>
      </c>
      <c r="B428" s="16" t="str">
        <f>IFERROR(__xludf.DUMMYFUNCTION("""COMPUTED_VALUE"""),"ring-games")</f>
        <v>ring-games</v>
      </c>
    </row>
    <row r="429">
      <c r="A429" s="53">
        <f>IFERROR(__xludf.DUMMYFUNCTION("""COMPUTED_VALUE"""),775.0)</f>
        <v>775</v>
      </c>
      <c r="B429" s="16" t="str">
        <f>IFERROR(__xludf.DUMMYFUNCTION("""COMPUTED_VALUE"""),"river")</f>
        <v>river</v>
      </c>
    </row>
    <row r="430">
      <c r="A430" s="53">
        <f>IFERROR(__xludf.DUMMYFUNCTION("""COMPUTED_VALUE"""),776.0)</f>
        <v>776</v>
      </c>
      <c r="B430" s="16" t="str">
        <f>IFERROR(__xludf.DUMMYFUNCTION("""COMPUTED_VALUE"""),"roof")</f>
        <v>roof</v>
      </c>
    </row>
    <row r="431">
      <c r="A431" s="53">
        <f>IFERROR(__xludf.DUMMYFUNCTION("""COMPUTED_VALUE"""),780.0)</f>
        <v>780</v>
      </c>
      <c r="B431" s="16" t="str">
        <f>IFERROR(__xludf.DUMMYFUNCTION("""COMPUTED_VALUE"""),"round")</f>
        <v>round</v>
      </c>
    </row>
    <row r="432">
      <c r="A432" s="53">
        <f>IFERROR(__xludf.DUMMYFUNCTION("""COMPUTED_VALUE"""),782.0)</f>
        <v>782</v>
      </c>
      <c r="B432" s="16" t="str">
        <f>IFERROR(__xludf.DUMMYFUNCTION("""COMPUTED_VALUE"""),"run")</f>
        <v>run</v>
      </c>
    </row>
    <row r="433">
      <c r="A433" s="53">
        <f>IFERROR(__xludf.DUMMYFUNCTION("""COMPUTED_VALUE"""),786.0)</f>
        <v>786</v>
      </c>
      <c r="B433" s="16" t="str">
        <f>IFERROR(__xludf.DUMMYFUNCTION("""COMPUTED_VALUE"""),"safety")</f>
        <v>safety</v>
      </c>
    </row>
    <row r="434">
      <c r="A434" s="53">
        <f>IFERROR(__xludf.DUMMYFUNCTION("""COMPUTED_VALUE"""),788.0)</f>
        <v>788</v>
      </c>
      <c r="B434" s="16" t="str">
        <f>IFERROR(__xludf.DUMMYFUNCTION("""COMPUTED_VALUE"""),"sandals")</f>
        <v>sandals</v>
      </c>
    </row>
    <row r="435">
      <c r="A435" s="53">
        <f>IFERROR(__xludf.DUMMYFUNCTION("""COMPUTED_VALUE"""),789.0)</f>
        <v>789</v>
      </c>
      <c r="B435" s="16" t="str">
        <f>IFERROR(__xludf.DUMMYFUNCTION("""COMPUTED_VALUE"""),"Saturday")</f>
        <v>Saturday</v>
      </c>
    </row>
    <row r="436">
      <c r="A436" s="53">
        <f>IFERROR(__xludf.DUMMYFUNCTION("""COMPUTED_VALUE"""),792.0)</f>
        <v>792</v>
      </c>
      <c r="B436" s="16" t="str">
        <f>IFERROR(__xludf.DUMMYFUNCTION("""COMPUTED_VALUE"""),"scarf")</f>
        <v>scarf</v>
      </c>
    </row>
    <row r="437">
      <c r="A437" s="53">
        <f>IFERROR(__xludf.DUMMYFUNCTION("""COMPUTED_VALUE"""),794.0)</f>
        <v>794</v>
      </c>
      <c r="B437" s="16" t="str">
        <f>IFERROR(__xludf.DUMMYFUNCTION("""COMPUTED_VALUE"""),"school")</f>
        <v>school</v>
      </c>
    </row>
    <row r="438">
      <c r="A438" s="53">
        <f>IFERROR(__xludf.DUMMYFUNCTION("""COMPUTED_VALUE"""),795.0)</f>
        <v>795</v>
      </c>
      <c r="B438" s="16" t="str">
        <f>IFERROR(__xludf.DUMMYFUNCTION("""COMPUTED_VALUE"""),"score")</f>
        <v>score</v>
      </c>
    </row>
    <row r="439">
      <c r="A439" s="53">
        <f>IFERROR(__xludf.DUMMYFUNCTION("""COMPUTED_VALUE"""),799.0)</f>
        <v>799</v>
      </c>
      <c r="B439" s="16" t="str">
        <f>IFERROR(__xludf.DUMMYFUNCTION("""COMPUTED_VALUE"""),"second")</f>
        <v>second</v>
      </c>
    </row>
    <row r="440">
      <c r="A440" s="53">
        <f>IFERROR(__xludf.DUMMYFUNCTION("""COMPUTED_VALUE"""),801.0)</f>
        <v>801</v>
      </c>
      <c r="B440" s="16" t="str">
        <f>IFERROR(__xludf.DUMMYFUNCTION("""COMPUTED_VALUE"""),"see")</f>
        <v>see</v>
      </c>
    </row>
    <row r="441">
      <c r="A441" s="53">
        <f>IFERROR(__xludf.DUMMYFUNCTION("""COMPUTED_VALUE"""),803.0)</f>
        <v>803</v>
      </c>
      <c r="B441" s="16" t="str">
        <f>IFERROR(__xludf.DUMMYFUNCTION("""COMPUTED_VALUE"""),"segment")</f>
        <v>segment</v>
      </c>
    </row>
    <row r="442">
      <c r="A442" s="53">
        <f>IFERROR(__xludf.DUMMYFUNCTION("""COMPUTED_VALUE"""),806.0)</f>
        <v>806</v>
      </c>
      <c r="B442" s="16" t="str">
        <f>IFERROR(__xludf.DUMMYFUNCTION("""COMPUTED_VALUE"""),"senior")</f>
        <v>senior</v>
      </c>
    </row>
    <row r="443">
      <c r="A443" s="53">
        <f>IFERROR(__xludf.DUMMYFUNCTION("""COMPUTED_VALUE"""),807.0)</f>
        <v>807</v>
      </c>
      <c r="B443" s="16" t="str">
        <f>IFERROR(__xludf.DUMMYFUNCTION("""COMPUTED_VALUE"""),"sense")</f>
        <v>sense</v>
      </c>
    </row>
    <row r="444">
      <c r="A444" s="53">
        <f>IFERROR(__xludf.DUMMYFUNCTION("""COMPUTED_VALUE"""),808.0)</f>
        <v>808</v>
      </c>
      <c r="B444" s="16" t="str">
        <f>IFERROR(__xludf.DUMMYFUNCTION("""COMPUTED_VALUE"""),"senses")</f>
        <v>senses</v>
      </c>
    </row>
    <row r="445">
      <c r="A445" s="53">
        <f>IFERROR(__xludf.DUMMYFUNCTION("""COMPUTED_VALUE"""),809.0)</f>
        <v>809</v>
      </c>
      <c r="B445" s="16" t="str">
        <f>IFERROR(__xludf.DUMMYFUNCTION("""COMPUTED_VALUE"""),"September")</f>
        <v>September</v>
      </c>
    </row>
    <row r="446">
      <c r="A446" s="53">
        <f>IFERROR(__xludf.DUMMYFUNCTION("""COMPUTED_VALUE"""),810.0)</f>
        <v>810</v>
      </c>
      <c r="B446" s="16" t="str">
        <f>IFERROR(__xludf.DUMMYFUNCTION("""COMPUTED_VALUE"""),"sequence")</f>
        <v>sequence</v>
      </c>
    </row>
    <row r="447">
      <c r="A447" s="53">
        <f>IFERROR(__xludf.DUMMYFUNCTION("""COMPUTED_VALUE"""),813.0)</f>
        <v>813</v>
      </c>
      <c r="B447" s="16" t="str">
        <f>IFERROR(__xludf.DUMMYFUNCTION("""COMPUTED_VALUE"""),"set")</f>
        <v>set</v>
      </c>
    </row>
    <row r="448">
      <c r="A448" s="53">
        <f>IFERROR(__xludf.DUMMYFUNCTION("""COMPUTED_VALUE"""),816.0)</f>
        <v>816</v>
      </c>
      <c r="B448" s="16" t="str">
        <f>IFERROR(__xludf.DUMMYFUNCTION("""COMPUTED_VALUE"""),"shark")</f>
        <v>shark</v>
      </c>
    </row>
    <row r="449">
      <c r="A449" s="53">
        <f>IFERROR(__xludf.DUMMYFUNCTION("""COMPUTED_VALUE"""),818.0)</f>
        <v>818</v>
      </c>
      <c r="B449" s="16" t="str">
        <f>IFERROR(__xludf.DUMMYFUNCTION("""COMPUTED_VALUE"""),"shirt")</f>
        <v>shirt</v>
      </c>
    </row>
    <row r="450">
      <c r="A450" s="53">
        <f>IFERROR(__xludf.DUMMYFUNCTION("""COMPUTED_VALUE"""),819.0)</f>
        <v>819</v>
      </c>
      <c r="B450" s="16" t="str">
        <f>IFERROR(__xludf.DUMMYFUNCTION("""COMPUTED_VALUE"""),"shoes")</f>
        <v>shoes</v>
      </c>
    </row>
    <row r="451">
      <c r="A451" s="53">
        <f>IFERROR(__xludf.DUMMYFUNCTION("""COMPUTED_VALUE"""),822.0)</f>
        <v>822</v>
      </c>
      <c r="B451" s="16" t="str">
        <f>IFERROR(__xludf.DUMMYFUNCTION("""COMPUTED_VALUE"""),"shorts")</f>
        <v>shorts</v>
      </c>
    </row>
    <row r="452">
      <c r="A452" s="53">
        <f>IFERROR(__xludf.DUMMYFUNCTION("""COMPUTED_VALUE"""),823.0)</f>
        <v>823</v>
      </c>
      <c r="B452" s="16" t="str">
        <f>IFERROR(__xludf.DUMMYFUNCTION("""COMPUTED_VALUE"""),"Shoulder")</f>
        <v>Shoulder</v>
      </c>
    </row>
    <row r="453">
      <c r="A453" s="53">
        <f>IFERROR(__xludf.DUMMYFUNCTION("""COMPUTED_VALUE"""),827.0)</f>
        <v>827</v>
      </c>
      <c r="B453" s="16" t="str">
        <f>IFERROR(__xludf.DUMMYFUNCTION("""COMPUTED_VALUE"""),"simile")</f>
        <v>simile</v>
      </c>
    </row>
    <row r="454">
      <c r="A454" s="53">
        <f>IFERROR(__xludf.DUMMYFUNCTION("""COMPUTED_VALUE"""),829.0)</f>
        <v>829</v>
      </c>
      <c r="B454" s="16" t="str">
        <f>IFERROR(__xludf.DUMMYFUNCTION("""COMPUTED_VALUE"""),"sing")</f>
        <v>sing</v>
      </c>
    </row>
    <row r="455">
      <c r="A455" s="53">
        <f>IFERROR(__xludf.DUMMYFUNCTION("""COMPUTED_VALUE"""),830.0)</f>
        <v>830</v>
      </c>
      <c r="B455" s="16" t="str">
        <f>IFERROR(__xludf.DUMMYFUNCTION("""COMPUTED_VALUE"""),"siren")</f>
        <v>siren</v>
      </c>
    </row>
    <row r="456">
      <c r="A456" s="53">
        <f>IFERROR(__xludf.DUMMYFUNCTION("""COMPUTED_VALUE"""),831.0)</f>
        <v>831</v>
      </c>
      <c r="B456" s="16" t="str">
        <f>IFERROR(__xludf.DUMMYFUNCTION("""COMPUTED_VALUE"""),"sister")</f>
        <v>sister</v>
      </c>
    </row>
    <row r="457">
      <c r="A457" s="53">
        <f>IFERROR(__xludf.DUMMYFUNCTION("""COMPUTED_VALUE"""),832.0)</f>
        <v>832</v>
      </c>
      <c r="B457" s="16" t="str">
        <f>IFERROR(__xludf.DUMMYFUNCTION("""COMPUTED_VALUE"""),"skateboard")</f>
        <v>skateboard</v>
      </c>
    </row>
    <row r="458">
      <c r="A458" s="53">
        <f>IFERROR(__xludf.DUMMYFUNCTION("""COMPUTED_VALUE"""),834.0)</f>
        <v>834</v>
      </c>
      <c r="B458" s="16" t="str">
        <f>IFERROR(__xludf.DUMMYFUNCTION("""COMPUTED_VALUE"""),"skirt")</f>
        <v>skirt</v>
      </c>
    </row>
    <row r="459">
      <c r="A459" s="53">
        <f>IFERROR(__xludf.DUMMYFUNCTION("""COMPUTED_VALUE"""),835.0)</f>
        <v>835</v>
      </c>
      <c r="B459" s="16" t="str">
        <f>IFERROR(__xludf.DUMMYFUNCTION("""COMPUTED_VALUE"""),"sky")</f>
        <v>sky</v>
      </c>
    </row>
    <row r="460">
      <c r="A460" s="53">
        <f>IFERROR(__xludf.DUMMYFUNCTION("""COMPUTED_VALUE"""),843.0)</f>
        <v>843</v>
      </c>
      <c r="B460" s="16" t="str">
        <f>IFERROR(__xludf.DUMMYFUNCTION("""COMPUTED_VALUE"""),"smooth")</f>
        <v>smooth</v>
      </c>
    </row>
    <row r="461">
      <c r="A461" s="53">
        <f>IFERROR(__xludf.DUMMYFUNCTION("""COMPUTED_VALUE"""),844.0)</f>
        <v>844</v>
      </c>
      <c r="B461" s="16" t="str">
        <f>IFERROR(__xludf.DUMMYFUNCTION("""COMPUTED_VALUE"""),"snake")</f>
        <v>snake</v>
      </c>
    </row>
    <row r="462">
      <c r="A462" s="53">
        <f>IFERROR(__xludf.DUMMYFUNCTION("""COMPUTED_VALUE"""),846.0)</f>
        <v>846</v>
      </c>
      <c r="B462" s="16" t="str">
        <f>IFERROR(__xludf.DUMMYFUNCTION("""COMPUTED_VALUE"""),"snap")</f>
        <v>snap</v>
      </c>
    </row>
    <row r="463">
      <c r="A463" s="53">
        <f>IFERROR(__xludf.DUMMYFUNCTION("""COMPUTED_VALUE"""),847.0)</f>
        <v>847</v>
      </c>
      <c r="B463" s="16" t="str">
        <f>IFERROR(__xludf.DUMMYFUNCTION("""COMPUTED_VALUE"""),"sneakers")</f>
        <v>sneakers</v>
      </c>
    </row>
    <row r="464">
      <c r="A464" s="53">
        <f>IFERROR(__xludf.DUMMYFUNCTION("""COMPUTED_VALUE"""),848.0)</f>
        <v>848</v>
      </c>
      <c r="B464" s="16" t="str">
        <f>IFERROR(__xludf.DUMMYFUNCTION("""COMPUTED_VALUE"""),"soccer")</f>
        <v>soccer</v>
      </c>
    </row>
    <row r="465">
      <c r="A465" s="53">
        <f>IFERROR(__xludf.DUMMYFUNCTION("""COMPUTED_VALUE"""),849.0)</f>
        <v>849</v>
      </c>
      <c r="B465" s="16" t="str">
        <f>IFERROR(__xludf.DUMMYFUNCTION("""COMPUTED_VALUE"""),"socks")</f>
        <v>socks</v>
      </c>
    </row>
    <row r="466">
      <c r="A466" s="53">
        <f>IFERROR(__xludf.DUMMYFUNCTION("""COMPUTED_VALUE"""),850.0)</f>
        <v>850</v>
      </c>
      <c r="B466" s="16" t="str">
        <f>IFERROR(__xludf.DUMMYFUNCTION("""COMPUTED_VALUE"""),"sofa")</f>
        <v>sofa</v>
      </c>
    </row>
    <row r="467">
      <c r="A467" s="53">
        <f>IFERROR(__xludf.DUMMYFUNCTION("""COMPUTED_VALUE"""),853.0)</f>
        <v>853</v>
      </c>
      <c r="B467" s="16" t="str">
        <f>IFERROR(__xludf.DUMMYFUNCTION("""COMPUTED_VALUE"""),"solution")</f>
        <v>solution</v>
      </c>
    </row>
    <row r="468">
      <c r="A468" s="53">
        <f>IFERROR(__xludf.DUMMYFUNCTION("""COMPUTED_VALUE"""),856.0)</f>
        <v>856</v>
      </c>
      <c r="B468" s="16" t="str">
        <f>IFERROR(__xludf.DUMMYFUNCTION("""COMPUTED_VALUE"""),"sour")</f>
        <v>sour</v>
      </c>
    </row>
    <row r="469">
      <c r="A469" s="53">
        <f>IFERROR(__xludf.DUMMYFUNCTION("""COMPUTED_VALUE"""),858.0)</f>
        <v>858</v>
      </c>
      <c r="B469" s="16" t="str">
        <f>IFERROR(__xludf.DUMMYFUNCTION("""COMPUTED_VALUE"""),"spacing")</f>
        <v>spacing</v>
      </c>
    </row>
    <row r="470">
      <c r="A470" s="53">
        <f>IFERROR(__xludf.DUMMYFUNCTION("""COMPUTED_VALUE"""),862.0)</f>
        <v>862</v>
      </c>
      <c r="B470" s="16" t="str">
        <f>IFERROR(__xludf.DUMMYFUNCTION("""COMPUTED_VALUE"""),"spin")</f>
        <v>spin</v>
      </c>
    </row>
    <row r="471">
      <c r="A471" s="53">
        <f>IFERROR(__xludf.DUMMYFUNCTION("""COMPUTED_VALUE"""),863.0)</f>
        <v>863</v>
      </c>
      <c r="B471" s="16" t="str">
        <f>IFERROR(__xludf.DUMMYFUNCTION("""COMPUTED_VALUE"""),"sports")</f>
        <v>sports</v>
      </c>
    </row>
    <row r="472">
      <c r="A472" s="53">
        <f>IFERROR(__xludf.DUMMYFUNCTION("""COMPUTED_VALUE"""),864.0)</f>
        <v>864</v>
      </c>
      <c r="B472" s="16" t="str">
        <f>IFERROR(__xludf.DUMMYFUNCTION("""COMPUTED_VALUE"""),"sports")</f>
        <v>sports</v>
      </c>
    </row>
    <row r="473">
      <c r="A473" s="53">
        <f>IFERROR(__xludf.DUMMYFUNCTION("""COMPUTED_VALUE"""),865.0)</f>
        <v>865</v>
      </c>
      <c r="B473" s="16" t="str">
        <f>IFERROR(__xludf.DUMMYFUNCTION("""COMPUTED_VALUE"""),"sprinter")</f>
        <v>sprinter</v>
      </c>
    </row>
    <row r="474">
      <c r="A474" s="53">
        <f>IFERROR(__xludf.DUMMYFUNCTION("""COMPUTED_VALUE"""),866.0)</f>
        <v>866</v>
      </c>
      <c r="B474" s="16" t="str">
        <f>IFERROR(__xludf.DUMMYFUNCTION("""COMPUTED_VALUE"""),"square")</f>
        <v>square</v>
      </c>
    </row>
    <row r="475">
      <c r="A475" s="53">
        <f>IFERROR(__xludf.DUMMYFUNCTION("""COMPUTED_VALUE"""),870.0)</f>
        <v>870</v>
      </c>
      <c r="B475" s="16" t="str">
        <f>IFERROR(__xludf.DUMMYFUNCTION("""COMPUTED_VALUE"""),"St Andrew")</f>
        <v>St Andrew</v>
      </c>
    </row>
    <row r="476">
      <c r="A476" s="53">
        <f>IFERROR(__xludf.DUMMYFUNCTION("""COMPUTED_VALUE"""),871.0)</f>
        <v>871</v>
      </c>
      <c r="B476" s="16" t="str">
        <f>IFERROR(__xludf.DUMMYFUNCTION("""COMPUTED_VALUE"""),"St Ann")</f>
        <v>St Ann</v>
      </c>
    </row>
    <row r="477">
      <c r="A477" s="53">
        <f>IFERROR(__xludf.DUMMYFUNCTION("""COMPUTED_VALUE"""),872.0)</f>
        <v>872</v>
      </c>
      <c r="B477" s="16" t="str">
        <f>IFERROR(__xludf.DUMMYFUNCTION("""COMPUTED_VALUE"""),"St Catherine")</f>
        <v>St Catherine</v>
      </c>
    </row>
    <row r="478">
      <c r="A478" s="53">
        <f>IFERROR(__xludf.DUMMYFUNCTION("""COMPUTED_VALUE"""),873.0)</f>
        <v>873</v>
      </c>
      <c r="B478" s="16" t="str">
        <f>IFERROR(__xludf.DUMMYFUNCTION("""COMPUTED_VALUE"""),"St Elizabeth")</f>
        <v>St Elizabeth</v>
      </c>
    </row>
    <row r="479">
      <c r="A479" s="53">
        <f>IFERROR(__xludf.DUMMYFUNCTION("""COMPUTED_VALUE"""),874.0)</f>
        <v>874</v>
      </c>
      <c r="B479" s="16" t="str">
        <f>IFERROR(__xludf.DUMMYFUNCTION("""COMPUTED_VALUE"""),"St James")</f>
        <v>St James</v>
      </c>
    </row>
    <row r="480">
      <c r="A480" s="53">
        <f>IFERROR(__xludf.DUMMYFUNCTION("""COMPUTED_VALUE"""),875.0)</f>
        <v>875</v>
      </c>
      <c r="B480" s="16" t="str">
        <f>IFERROR(__xludf.DUMMYFUNCTION("""COMPUTED_VALUE"""),"St Mary")</f>
        <v>St Mary</v>
      </c>
    </row>
    <row r="481">
      <c r="A481" s="53">
        <f>IFERROR(__xludf.DUMMYFUNCTION("""COMPUTED_VALUE"""),876.0)</f>
        <v>876</v>
      </c>
      <c r="B481" s="16" t="str">
        <f>IFERROR(__xludf.DUMMYFUNCTION("""COMPUTED_VALUE"""),"St Thomas")</f>
        <v>St Thomas</v>
      </c>
    </row>
    <row r="482">
      <c r="A482" s="53">
        <f>IFERROR(__xludf.DUMMYFUNCTION("""COMPUTED_VALUE"""),877.0)</f>
        <v>877</v>
      </c>
      <c r="B482" s="16" t="str">
        <f>IFERROR(__xludf.DUMMYFUNCTION("""COMPUTED_VALUE"""),"stain")</f>
        <v>stain</v>
      </c>
    </row>
    <row r="483">
      <c r="A483" s="53">
        <f>IFERROR(__xludf.DUMMYFUNCTION("""COMPUTED_VALUE"""),878.0)</f>
        <v>878</v>
      </c>
      <c r="B483" s="16" t="str">
        <f>IFERROR(__xludf.DUMMYFUNCTION("""COMPUTED_VALUE"""),"statue")</f>
        <v>statue</v>
      </c>
    </row>
    <row r="484">
      <c r="A484" s="53">
        <f>IFERROR(__xludf.DUMMYFUNCTION("""COMPUTED_VALUE"""),879.0)</f>
        <v>879</v>
      </c>
      <c r="B484" s="16" t="str">
        <f>IFERROR(__xludf.DUMMYFUNCTION("""COMPUTED_VALUE"""),"step-brother")</f>
        <v>step-brother</v>
      </c>
    </row>
    <row r="485">
      <c r="A485" s="53">
        <f>IFERROR(__xludf.DUMMYFUNCTION("""COMPUTED_VALUE"""),880.0)</f>
        <v>880</v>
      </c>
      <c r="B485" s="16" t="str">
        <f>IFERROR(__xludf.DUMMYFUNCTION("""COMPUTED_VALUE"""),"step-father")</f>
        <v>step-father</v>
      </c>
    </row>
    <row r="486">
      <c r="A486" s="53">
        <f>IFERROR(__xludf.DUMMYFUNCTION("""COMPUTED_VALUE"""),881.0)</f>
        <v>881</v>
      </c>
      <c r="B486" s="16" t="str">
        <f>IFERROR(__xludf.DUMMYFUNCTION("""COMPUTED_VALUE"""),"step-mother")</f>
        <v>step-mother</v>
      </c>
    </row>
    <row r="487">
      <c r="A487" s="53">
        <f>IFERROR(__xludf.DUMMYFUNCTION("""COMPUTED_VALUE"""),882.0)</f>
        <v>882</v>
      </c>
      <c r="B487" s="16" t="str">
        <f>IFERROR(__xludf.DUMMYFUNCTION("""COMPUTED_VALUE"""),"step-sister")</f>
        <v>step-sister</v>
      </c>
    </row>
    <row r="488">
      <c r="A488" s="53">
        <f>IFERROR(__xludf.DUMMYFUNCTION("""COMPUTED_VALUE"""),883.0)</f>
        <v>883</v>
      </c>
      <c r="B488" s="16" t="str">
        <f>IFERROR(__xludf.DUMMYFUNCTION("""COMPUTED_VALUE"""),"Stomach")</f>
        <v>Stomach</v>
      </c>
    </row>
    <row r="489">
      <c r="A489" s="53">
        <f>IFERROR(__xludf.DUMMYFUNCTION("""COMPUTED_VALUE"""),884.0)</f>
        <v>884</v>
      </c>
      <c r="B489" s="16" t="str">
        <f>IFERROR(__xludf.DUMMYFUNCTION("""COMPUTED_VALUE"""),"story")</f>
        <v>story</v>
      </c>
    </row>
    <row r="490">
      <c r="A490" s="53">
        <f>IFERROR(__xludf.DUMMYFUNCTION("""COMPUTED_VALUE"""),885.0)</f>
        <v>885</v>
      </c>
      <c r="B490" s="16" t="str">
        <f>IFERROR(__xludf.DUMMYFUNCTION("""COMPUTED_VALUE"""),"story")</f>
        <v>story</v>
      </c>
    </row>
    <row r="491">
      <c r="A491" s="53">
        <f>IFERROR(__xludf.DUMMYFUNCTION("""COMPUTED_VALUE"""),888.0)</f>
        <v>888</v>
      </c>
      <c r="B491" s="16" t="str">
        <f>IFERROR(__xludf.DUMMYFUNCTION("""COMPUTED_VALUE"""),"straight")</f>
        <v>straight</v>
      </c>
    </row>
    <row r="492">
      <c r="A492" s="53">
        <f>IFERROR(__xludf.DUMMYFUNCTION("""COMPUTED_VALUE"""),891.0)</f>
        <v>891</v>
      </c>
      <c r="B492" s="16" t="str">
        <f>IFERROR(__xludf.DUMMYFUNCTION("""COMPUTED_VALUE"""),"stretch")</f>
        <v>stretch</v>
      </c>
    </row>
    <row r="493">
      <c r="A493" s="53">
        <f>IFERROR(__xludf.DUMMYFUNCTION("""COMPUTED_VALUE"""),893.0)</f>
        <v>893</v>
      </c>
      <c r="B493" s="16" t="str">
        <f>IFERROR(__xludf.DUMMYFUNCTION("""COMPUTED_VALUE"""),"structure")</f>
        <v>structure</v>
      </c>
    </row>
    <row r="494">
      <c r="A494" s="53">
        <f>IFERROR(__xludf.DUMMYFUNCTION("""COMPUTED_VALUE"""),894.0)</f>
        <v>894</v>
      </c>
      <c r="B494" s="16" t="str">
        <f>IFERROR(__xludf.DUMMYFUNCTION("""COMPUTED_VALUE"""),"student")</f>
        <v>student</v>
      </c>
    </row>
    <row r="495">
      <c r="A495" s="53">
        <f>IFERROR(__xludf.DUMMYFUNCTION("""COMPUTED_VALUE"""),895.0)</f>
        <v>895</v>
      </c>
      <c r="B495" s="16" t="str">
        <f>IFERROR(__xludf.DUMMYFUNCTION("""COMPUTED_VALUE"""),"sub-heads")</f>
        <v>sub-heads</v>
      </c>
    </row>
    <row r="496">
      <c r="A496" s="53">
        <f>IFERROR(__xludf.DUMMYFUNCTION("""COMPUTED_VALUE"""),896.0)</f>
        <v>896</v>
      </c>
      <c r="B496" s="16" t="str">
        <f>IFERROR(__xludf.DUMMYFUNCTION("""COMPUTED_VALUE"""),"suffixes")</f>
        <v>suffixes</v>
      </c>
    </row>
    <row r="497">
      <c r="A497" s="53">
        <f>IFERROR(__xludf.DUMMYFUNCTION("""COMPUTED_VALUE"""),897.0)</f>
        <v>897</v>
      </c>
      <c r="B497" s="16" t="str">
        <f>IFERROR(__xludf.DUMMYFUNCTION("""COMPUTED_VALUE"""),"summary")</f>
        <v>summary</v>
      </c>
    </row>
    <row r="498">
      <c r="A498" s="53">
        <f>IFERROR(__xludf.DUMMYFUNCTION("""COMPUTED_VALUE"""),898.0)</f>
        <v>898</v>
      </c>
      <c r="B498" s="16" t="str">
        <f>IFERROR(__xludf.DUMMYFUNCTION("""COMPUTED_VALUE"""),"Sunday")</f>
        <v>Sunday</v>
      </c>
    </row>
    <row r="499">
      <c r="A499" s="53">
        <f>IFERROR(__xludf.DUMMYFUNCTION("""COMPUTED_VALUE"""),899.0)</f>
        <v>899</v>
      </c>
      <c r="B499" s="16" t="str">
        <f>IFERROR(__xludf.DUMMYFUNCTION("""COMPUTED_VALUE"""),"sunglasses")</f>
        <v>sunglasses</v>
      </c>
    </row>
    <row r="500">
      <c r="A500" s="53">
        <f>IFERROR(__xludf.DUMMYFUNCTION("""COMPUTED_VALUE"""),901.0)</f>
        <v>901</v>
      </c>
      <c r="B500" s="16" t="str">
        <f>IFERROR(__xludf.DUMMYFUNCTION("""COMPUTED_VALUE"""),"surroundings")</f>
        <v>surroundings</v>
      </c>
    </row>
    <row r="501">
      <c r="A501" s="53">
        <f>IFERROR(__xludf.DUMMYFUNCTION("""COMPUTED_VALUE"""),903.0)</f>
        <v>903</v>
      </c>
      <c r="B501" s="16" t="str">
        <f>IFERROR(__xludf.DUMMYFUNCTION("""COMPUTED_VALUE"""),"sweater")</f>
        <v>sweater</v>
      </c>
    </row>
    <row r="502">
      <c r="A502" s="53">
        <f>IFERROR(__xludf.DUMMYFUNCTION("""COMPUTED_VALUE"""),905.0)</f>
        <v>905</v>
      </c>
      <c r="B502" s="16" t="str">
        <f>IFERROR(__xludf.DUMMYFUNCTION("""COMPUTED_VALUE"""),"synonyms")</f>
        <v>synonyms</v>
      </c>
    </row>
    <row r="503">
      <c r="A503" s="53">
        <f>IFERROR(__xludf.DUMMYFUNCTION("""COMPUTED_VALUE"""),906.0)</f>
        <v>906</v>
      </c>
      <c r="B503" s="16" t="str">
        <f>IFERROR(__xludf.DUMMYFUNCTION("""COMPUTED_VALUE"""),"T-shirt")</f>
        <v>T-shirt</v>
      </c>
    </row>
    <row r="504">
      <c r="A504" s="53">
        <f>IFERROR(__xludf.DUMMYFUNCTION("""COMPUTED_VALUE"""),907.0)</f>
        <v>907</v>
      </c>
      <c r="B504" s="16" t="str">
        <f>IFERROR(__xludf.DUMMYFUNCTION("""COMPUTED_VALUE"""),"table")</f>
        <v>table</v>
      </c>
    </row>
    <row r="505">
      <c r="A505" s="53">
        <f>IFERROR(__xludf.DUMMYFUNCTION("""COMPUTED_VALUE"""),908.0)</f>
        <v>908</v>
      </c>
      <c r="B505" s="16" t="str">
        <f>IFERROR(__xludf.DUMMYFUNCTION("""COMPUTED_VALUE"""),"tableaux")</f>
        <v>tableaux</v>
      </c>
    </row>
    <row r="506">
      <c r="A506" s="53">
        <f>IFERROR(__xludf.DUMMYFUNCTION("""COMPUTED_VALUE"""),912.0)</f>
        <v>912</v>
      </c>
      <c r="B506" s="16" t="str">
        <f>IFERROR(__xludf.DUMMYFUNCTION("""COMPUTED_VALUE"""),"tap")</f>
        <v>tap</v>
      </c>
    </row>
    <row r="507">
      <c r="A507" s="53">
        <f>IFERROR(__xludf.DUMMYFUNCTION("""COMPUTED_VALUE"""),914.0)</f>
        <v>914</v>
      </c>
      <c r="B507" s="16" t="str">
        <f>IFERROR(__xludf.DUMMYFUNCTION("""COMPUTED_VALUE"""),"team")</f>
        <v>team</v>
      </c>
    </row>
    <row r="508">
      <c r="A508" s="53">
        <f>IFERROR(__xludf.DUMMYFUNCTION("""COMPUTED_VALUE"""),917.0)</f>
        <v>917</v>
      </c>
      <c r="B508" s="16" t="str">
        <f>IFERROR(__xludf.DUMMYFUNCTION("""COMPUTED_VALUE"""),"Teeth")</f>
        <v>Teeth</v>
      </c>
    </row>
    <row r="509">
      <c r="A509" s="53">
        <f>IFERROR(__xludf.DUMMYFUNCTION("""COMPUTED_VALUE"""),918.0)</f>
        <v>918</v>
      </c>
      <c r="B509" s="16" t="str">
        <f>IFERROR(__xludf.DUMMYFUNCTION("""COMPUTED_VALUE"""),"television")</f>
        <v>television</v>
      </c>
    </row>
    <row r="510">
      <c r="A510" s="53">
        <f>IFERROR(__xludf.DUMMYFUNCTION("""COMPUTED_VALUE"""),920.0)</f>
        <v>920</v>
      </c>
      <c r="B510" s="16" t="str">
        <f>IFERROR(__xludf.DUMMYFUNCTION("""COMPUTED_VALUE"""),"tell")</f>
        <v>tell</v>
      </c>
    </row>
    <row r="511">
      <c r="A511" s="53">
        <f>IFERROR(__xludf.DUMMYFUNCTION("""COMPUTED_VALUE"""),921.0)</f>
        <v>921</v>
      </c>
      <c r="B511" s="16" t="str">
        <f>IFERROR(__xludf.DUMMYFUNCTION("""COMPUTED_VALUE"""),"temperature")</f>
        <v>temperature</v>
      </c>
    </row>
    <row r="512">
      <c r="A512" s="53">
        <f>IFERROR(__xludf.DUMMYFUNCTION("""COMPUTED_VALUE"""),922.0)</f>
        <v>922</v>
      </c>
      <c r="B512" s="16" t="str">
        <f>IFERROR(__xludf.DUMMYFUNCTION("""COMPUTED_VALUE"""),"tempo ")</f>
        <v>tempo </v>
      </c>
    </row>
    <row r="513">
      <c r="A513" s="53">
        <f>IFERROR(__xludf.DUMMYFUNCTION("""COMPUTED_VALUE"""),923.0)</f>
        <v>923</v>
      </c>
      <c r="B513" s="16" t="str">
        <f>IFERROR(__xludf.DUMMYFUNCTION("""COMPUTED_VALUE"""),"tension ")</f>
        <v>tension </v>
      </c>
    </row>
    <row r="514">
      <c r="A514" s="53">
        <f>IFERROR(__xludf.DUMMYFUNCTION("""COMPUTED_VALUE"""),925.0)</f>
        <v>925</v>
      </c>
      <c r="B514" s="16" t="str">
        <f>IFERROR(__xludf.DUMMYFUNCTION("""COMPUTED_VALUE"""),"text")</f>
        <v>text</v>
      </c>
    </row>
    <row r="515">
      <c r="A515" s="53">
        <f>IFERROR(__xludf.DUMMYFUNCTION("""COMPUTED_VALUE"""),926.0)</f>
        <v>926</v>
      </c>
      <c r="B515" s="16" t="str">
        <f>IFERROR(__xludf.DUMMYFUNCTION("""COMPUTED_VALUE"""),"texture")</f>
        <v>texture</v>
      </c>
    </row>
    <row r="516">
      <c r="A516" s="53">
        <f>IFERROR(__xludf.DUMMYFUNCTION("""COMPUTED_VALUE"""),934.0)</f>
        <v>934</v>
      </c>
      <c r="B516" s="16" t="str">
        <f>IFERROR(__xludf.DUMMYFUNCTION("""COMPUTED_VALUE"""),"thesaurus")</f>
        <v>thesaurus</v>
      </c>
    </row>
    <row r="517">
      <c r="A517" s="53">
        <f>IFERROR(__xludf.DUMMYFUNCTION("""COMPUTED_VALUE"""),937.0)</f>
        <v>937</v>
      </c>
      <c r="B517" s="16" t="str">
        <f>IFERROR(__xludf.DUMMYFUNCTION("""COMPUTED_VALUE"""),"thigh")</f>
        <v>thigh</v>
      </c>
    </row>
    <row r="518">
      <c r="A518" s="53">
        <f>IFERROR(__xludf.DUMMYFUNCTION("""COMPUTED_VALUE"""),938.0)</f>
        <v>938</v>
      </c>
      <c r="B518" s="16" t="str">
        <f>IFERROR(__xludf.DUMMYFUNCTION("""COMPUTED_VALUE"""),"thing")</f>
        <v>thing</v>
      </c>
    </row>
    <row r="519">
      <c r="A519" s="53">
        <f>IFERROR(__xludf.DUMMYFUNCTION("""COMPUTED_VALUE"""),939.0)</f>
        <v>939</v>
      </c>
      <c r="B519" s="16" t="str">
        <f>IFERROR(__xludf.DUMMYFUNCTION("""COMPUTED_VALUE"""),"think")</f>
        <v>think</v>
      </c>
    </row>
    <row r="520">
      <c r="A520" s="53">
        <f>IFERROR(__xludf.DUMMYFUNCTION("""COMPUTED_VALUE"""),945.0)</f>
        <v>945</v>
      </c>
      <c r="B520" s="16" t="str">
        <f>IFERROR(__xludf.DUMMYFUNCTION("""COMPUTED_VALUE"""),"throw")</f>
        <v>throw</v>
      </c>
    </row>
    <row r="521">
      <c r="A521" s="53">
        <f>IFERROR(__xludf.DUMMYFUNCTION("""COMPUTED_VALUE"""),946.0)</f>
        <v>946</v>
      </c>
      <c r="B521" s="16" t="str">
        <f>IFERROR(__xludf.DUMMYFUNCTION("""COMPUTED_VALUE"""),"Thursday")</f>
        <v>Thursday</v>
      </c>
    </row>
    <row r="522">
      <c r="A522" s="53">
        <f>IFERROR(__xludf.DUMMYFUNCTION("""COMPUTED_VALUE"""),947.0)</f>
        <v>947</v>
      </c>
      <c r="B522" s="16" t="str">
        <f>IFERROR(__xludf.DUMMYFUNCTION("""COMPUTED_VALUE"""),"tie")</f>
        <v>tie</v>
      </c>
    </row>
    <row r="523">
      <c r="A523" s="53">
        <f>IFERROR(__xludf.DUMMYFUNCTION("""COMPUTED_VALUE"""),948.0)</f>
        <v>948</v>
      </c>
      <c r="B523" s="16" t="str">
        <f>IFERROR(__xludf.DUMMYFUNCTION("""COMPUTED_VALUE"""),"time")</f>
        <v>time</v>
      </c>
    </row>
    <row r="524">
      <c r="A524" s="53">
        <f>IFERROR(__xludf.DUMMYFUNCTION("""COMPUTED_VALUE"""),952.0)</f>
        <v>952</v>
      </c>
      <c r="B524" s="16" t="str">
        <f>IFERROR(__xludf.DUMMYFUNCTION("""COMPUTED_VALUE"""),"title")</f>
        <v>title</v>
      </c>
    </row>
    <row r="525">
      <c r="A525" s="53">
        <f>IFERROR(__xludf.DUMMYFUNCTION("""COMPUTED_VALUE"""),957.0)</f>
        <v>957</v>
      </c>
      <c r="B525" s="16" t="str">
        <f>IFERROR(__xludf.DUMMYFUNCTION("""COMPUTED_VALUE"""),"Toe")</f>
        <v>Toe</v>
      </c>
    </row>
    <row r="526">
      <c r="A526" s="53">
        <f>IFERROR(__xludf.DUMMYFUNCTION("""COMPUTED_VALUE"""),958.0)</f>
        <v>958</v>
      </c>
      <c r="B526" s="16" t="str">
        <f>IFERROR(__xludf.DUMMYFUNCTION("""COMPUTED_VALUE"""),"tomorrow")</f>
        <v>tomorrow</v>
      </c>
    </row>
    <row r="527">
      <c r="A527" s="53">
        <f>IFERROR(__xludf.DUMMYFUNCTION("""COMPUTED_VALUE"""),959.0)</f>
        <v>959</v>
      </c>
      <c r="B527" s="16" t="str">
        <f>IFERROR(__xludf.DUMMYFUNCTION("""COMPUTED_VALUE"""),"tomorrow")</f>
        <v>tomorrow</v>
      </c>
    </row>
    <row r="528">
      <c r="A528" s="53">
        <f>IFERROR(__xludf.DUMMYFUNCTION("""COMPUTED_VALUE"""),961.0)</f>
        <v>961</v>
      </c>
      <c r="B528" s="16" t="str">
        <f>IFERROR(__xludf.DUMMYFUNCTION("""COMPUTED_VALUE"""),"tone ")</f>
        <v>tone </v>
      </c>
    </row>
    <row r="529">
      <c r="A529" s="53">
        <f>IFERROR(__xludf.DUMMYFUNCTION("""COMPUTED_VALUE"""),962.0)</f>
        <v>962</v>
      </c>
      <c r="B529" s="16" t="str">
        <f>IFERROR(__xludf.DUMMYFUNCTION("""COMPUTED_VALUE"""),"Tongue")</f>
        <v>Tongue</v>
      </c>
    </row>
    <row r="530">
      <c r="A530" s="53">
        <f>IFERROR(__xludf.DUMMYFUNCTION("""COMPUTED_VALUE"""),963.0)</f>
        <v>963</v>
      </c>
      <c r="B530" s="16" t="str">
        <f>IFERROR(__xludf.DUMMYFUNCTION("""COMPUTED_VALUE"""),"tonne")</f>
        <v>tonne</v>
      </c>
    </row>
    <row r="531">
      <c r="A531" s="53">
        <f>IFERROR(__xludf.DUMMYFUNCTION("""COMPUTED_VALUE"""),964.0)</f>
        <v>964</v>
      </c>
      <c r="B531" s="16" t="str">
        <f>IFERROR(__xludf.DUMMYFUNCTION("""COMPUTED_VALUE"""),"tornado")</f>
        <v>tornado</v>
      </c>
    </row>
    <row r="532">
      <c r="A532" s="53">
        <f>IFERROR(__xludf.DUMMYFUNCTION("""COMPUTED_VALUE"""),966.0)</f>
        <v>966</v>
      </c>
      <c r="B532" s="16" t="str">
        <f>IFERROR(__xludf.DUMMYFUNCTION("""COMPUTED_VALUE"""),"toss")</f>
        <v>toss</v>
      </c>
    </row>
    <row r="533">
      <c r="A533" s="53">
        <f>IFERROR(__xludf.DUMMYFUNCTION("""COMPUTED_VALUE"""),967.0)</f>
        <v>967</v>
      </c>
      <c r="B533" s="16" t="str">
        <f>IFERROR(__xludf.DUMMYFUNCTION("""COMPUTED_VALUE"""),"toy")</f>
        <v>toy</v>
      </c>
    </row>
    <row r="534">
      <c r="A534" s="53">
        <f>IFERROR(__xludf.DUMMYFUNCTION("""COMPUTED_VALUE"""),968.0)</f>
        <v>968</v>
      </c>
      <c r="B534" s="16" t="str">
        <f>IFERROR(__xludf.DUMMYFUNCTION("""COMPUTED_VALUE"""),"track")</f>
        <v>track</v>
      </c>
    </row>
    <row r="535">
      <c r="A535" s="53">
        <f>IFERROR(__xludf.DUMMYFUNCTION("""COMPUTED_VALUE"""),970.0)</f>
        <v>970</v>
      </c>
      <c r="B535" s="16" t="str">
        <f>IFERROR(__xludf.DUMMYFUNCTION("""COMPUTED_VALUE"""),"tree")</f>
        <v>tree</v>
      </c>
    </row>
    <row r="536">
      <c r="A536" s="53">
        <f>IFERROR(__xludf.DUMMYFUNCTION("""COMPUTED_VALUE"""),971.0)</f>
        <v>971</v>
      </c>
      <c r="B536" s="16" t="str">
        <f>IFERROR(__xludf.DUMMYFUNCTION("""COMPUTED_VALUE"""),"Trelawny")</f>
        <v>Trelawny</v>
      </c>
    </row>
    <row r="537">
      <c r="A537" s="53">
        <f>IFERROR(__xludf.DUMMYFUNCTION("""COMPUTED_VALUE"""),974.0)</f>
        <v>974</v>
      </c>
      <c r="B537" s="16" t="str">
        <f>IFERROR(__xludf.DUMMYFUNCTION("""COMPUTED_VALUE"""),"tsunami")</f>
        <v>tsunami</v>
      </c>
    </row>
    <row r="538">
      <c r="A538" s="53">
        <f>IFERROR(__xludf.DUMMYFUNCTION("""COMPUTED_VALUE"""),975.0)</f>
        <v>975</v>
      </c>
      <c r="B538" s="16" t="str">
        <f>IFERROR(__xludf.DUMMYFUNCTION("""COMPUTED_VALUE"""),"Tuesday")</f>
        <v>Tuesday</v>
      </c>
    </row>
    <row r="539">
      <c r="A539" s="53">
        <f>IFERROR(__xludf.DUMMYFUNCTION("""COMPUTED_VALUE"""),977.0)</f>
        <v>977</v>
      </c>
      <c r="B539" s="16" t="str">
        <f>IFERROR(__xludf.DUMMYFUNCTION("""COMPUTED_VALUE"""),"turtle")</f>
        <v>turtle</v>
      </c>
    </row>
    <row r="540">
      <c r="A540" s="53">
        <f>IFERROR(__xludf.DUMMYFUNCTION("""COMPUTED_VALUE"""),979.0)</f>
        <v>979</v>
      </c>
      <c r="B540" s="16" t="str">
        <f>IFERROR(__xludf.DUMMYFUNCTION("""COMPUTED_VALUE"""),"ugly")</f>
        <v>ugly</v>
      </c>
    </row>
    <row r="541">
      <c r="A541" s="53">
        <f>IFERROR(__xludf.DUMMYFUNCTION("""COMPUTED_VALUE"""),980.0)</f>
        <v>980</v>
      </c>
      <c r="B541" s="16" t="str">
        <f>IFERROR(__xludf.DUMMYFUNCTION("""COMPUTED_VALUE"""),"uncle")</f>
        <v>uncle</v>
      </c>
    </row>
    <row r="542">
      <c r="A542" s="53">
        <f>IFERROR(__xludf.DUMMYFUNCTION("""COMPUTED_VALUE"""),984.0)</f>
        <v>984</v>
      </c>
      <c r="B542" s="16" t="str">
        <f>IFERROR(__xludf.DUMMYFUNCTION("""COMPUTED_VALUE"""),"up")</f>
        <v>up</v>
      </c>
    </row>
    <row r="543">
      <c r="A543" s="53">
        <f>IFERROR(__xludf.DUMMYFUNCTION("""COMPUTED_VALUE"""),990.0)</f>
        <v>990</v>
      </c>
      <c r="B543" s="16" t="str">
        <f>IFERROR(__xludf.DUMMYFUNCTION("""COMPUTED_VALUE"""),"vacuum cleaner")</f>
        <v>vacuum cleaner</v>
      </c>
    </row>
    <row r="544">
      <c r="A544" s="53">
        <f>IFERROR(__xludf.DUMMYFUNCTION("""COMPUTED_VALUE"""),991.0)</f>
        <v>991</v>
      </c>
      <c r="B544" s="16" t="str">
        <f>IFERROR(__xludf.DUMMYFUNCTION("""COMPUTED_VALUE"""),"values")</f>
        <v>values</v>
      </c>
    </row>
    <row r="545">
      <c r="A545" s="53">
        <f>IFERROR(__xludf.DUMMYFUNCTION("""COMPUTED_VALUE"""),992.0)</f>
        <v>992</v>
      </c>
      <c r="B545" s="16" t="str">
        <f>IFERROR(__xludf.DUMMYFUNCTION("""COMPUTED_VALUE"""),"vendor")</f>
        <v>vendor</v>
      </c>
    </row>
    <row r="546">
      <c r="A546" s="53">
        <f>IFERROR(__xludf.DUMMYFUNCTION("""COMPUTED_VALUE"""),993.0)</f>
        <v>993</v>
      </c>
      <c r="B546" s="16" t="str">
        <f>IFERROR(__xludf.DUMMYFUNCTION("""COMPUTED_VALUE"""),"verse ")</f>
        <v>verse </v>
      </c>
    </row>
    <row r="547">
      <c r="A547" s="53">
        <f>IFERROR(__xludf.DUMMYFUNCTION("""COMPUTED_VALUE"""),994.0)</f>
        <v>994</v>
      </c>
      <c r="B547" s="16" t="str">
        <f>IFERROR(__xludf.DUMMYFUNCTION("""COMPUTED_VALUE"""),"vest")</f>
        <v>vest</v>
      </c>
    </row>
    <row r="548">
      <c r="A548" s="53">
        <f>IFERROR(__xludf.DUMMYFUNCTION("""COMPUTED_VALUE"""),996.0)</f>
        <v>996</v>
      </c>
      <c r="B548" s="16" t="str">
        <f>IFERROR(__xludf.DUMMYFUNCTION("""COMPUTED_VALUE"""),"visual")</f>
        <v>visual</v>
      </c>
    </row>
    <row r="549">
      <c r="A549" s="53">
        <f>IFERROR(__xludf.DUMMYFUNCTION("""COMPUTED_VALUE"""),998.0)</f>
        <v>998</v>
      </c>
      <c r="B549" s="16" t="str">
        <f>IFERROR(__xludf.DUMMYFUNCTION("""COMPUTED_VALUE"""),"walk")</f>
        <v>walk</v>
      </c>
    </row>
    <row r="550">
      <c r="A550" s="53">
        <f>IFERROR(__xludf.DUMMYFUNCTION("""COMPUTED_VALUE"""),1001.0)</f>
        <v>1001</v>
      </c>
      <c r="B550" s="16" t="str">
        <f>IFERROR(__xludf.DUMMYFUNCTION("""COMPUTED_VALUE"""),"warning")</f>
        <v>warning</v>
      </c>
    </row>
    <row r="551">
      <c r="A551" s="53">
        <f>IFERROR(__xludf.DUMMYFUNCTION("""COMPUTED_VALUE"""),1002.0)</f>
        <v>1002</v>
      </c>
      <c r="B551" s="16" t="str">
        <f>IFERROR(__xludf.DUMMYFUNCTION("""COMPUTED_VALUE"""),"washing machine")</f>
        <v>washing machine</v>
      </c>
    </row>
    <row r="552">
      <c r="A552" s="53">
        <f>IFERROR(__xludf.DUMMYFUNCTION("""COMPUTED_VALUE"""),1003.0)</f>
        <v>1003</v>
      </c>
      <c r="B552" s="16" t="str">
        <f>IFERROR(__xludf.DUMMYFUNCTION("""COMPUTED_VALUE"""),"wasp")</f>
        <v>wasp</v>
      </c>
    </row>
    <row r="553">
      <c r="A553" s="53">
        <f>IFERROR(__xludf.DUMMYFUNCTION("""COMPUTED_VALUE"""),1004.0)</f>
        <v>1004</v>
      </c>
      <c r="B553" s="16" t="str">
        <f>IFERROR(__xludf.DUMMYFUNCTION("""COMPUTED_VALUE"""),"water")</f>
        <v>water</v>
      </c>
    </row>
    <row r="554">
      <c r="A554" s="53">
        <f>IFERROR(__xludf.DUMMYFUNCTION("""COMPUTED_VALUE"""),1008.0)</f>
        <v>1008</v>
      </c>
      <c r="B554" s="16" t="str">
        <f>IFERROR(__xludf.DUMMYFUNCTION("""COMPUTED_VALUE"""),"Wednesday")</f>
        <v>Wednesday</v>
      </c>
    </row>
    <row r="555">
      <c r="A555" s="53">
        <f>IFERROR(__xludf.DUMMYFUNCTION("""COMPUTED_VALUE"""),1009.0)</f>
        <v>1009</v>
      </c>
      <c r="B555" s="16" t="str">
        <f>IFERROR(__xludf.DUMMYFUNCTION("""COMPUTED_VALUE"""),"Westmoreland")</f>
        <v>Westmoreland</v>
      </c>
    </row>
    <row r="556">
      <c r="A556" s="53">
        <f>IFERROR(__xludf.DUMMYFUNCTION("""COMPUTED_VALUE"""),1020.0)</f>
        <v>1020</v>
      </c>
      <c r="B556" s="16" t="str">
        <f>IFERROR(__xludf.DUMMYFUNCTION("""COMPUTED_VALUE"""),"whiteboard")</f>
        <v>whiteboard</v>
      </c>
    </row>
    <row r="557">
      <c r="A557" s="53">
        <f>IFERROR(__xludf.DUMMYFUNCTION("""COMPUTED_VALUE"""),1027.0)</f>
        <v>1027</v>
      </c>
      <c r="B557" s="16" t="str">
        <f>IFERROR(__xludf.DUMMYFUNCTION("""COMPUTED_VALUE"""),"window")</f>
        <v>window</v>
      </c>
    </row>
    <row r="558">
      <c r="A558" s="53">
        <f>IFERROR(__xludf.DUMMYFUNCTION("""COMPUTED_VALUE"""),1030.0)</f>
        <v>1030</v>
      </c>
      <c r="B558" s="16" t="str">
        <f>IFERROR(__xludf.DUMMYFUNCTION("""COMPUTED_VALUE"""),"word")</f>
        <v>word</v>
      </c>
    </row>
    <row r="559">
      <c r="A559" s="53">
        <f>IFERROR(__xludf.DUMMYFUNCTION("""COMPUTED_VALUE"""),1032.0)</f>
        <v>1032</v>
      </c>
      <c r="B559" s="16" t="str">
        <f>IFERROR(__xludf.DUMMYFUNCTION("""COMPUTED_VALUE"""),"Wrist")</f>
        <v>Wrist</v>
      </c>
    </row>
    <row r="560">
      <c r="A560" s="53">
        <f>IFERROR(__xludf.DUMMYFUNCTION("""COMPUTED_VALUE"""),1033.0)</f>
        <v>1033</v>
      </c>
      <c r="B560" s="16" t="str">
        <f>IFERROR(__xludf.DUMMYFUNCTION("""COMPUTED_VALUE"""),"yam")</f>
        <v>yam</v>
      </c>
    </row>
    <row r="561">
      <c r="A561" s="53">
        <f>IFERROR(__xludf.DUMMYFUNCTION("""COMPUTED_VALUE"""),1034.0)</f>
        <v>1034</v>
      </c>
      <c r="B561" s="16" t="str">
        <f>IFERROR(__xludf.DUMMYFUNCTION("""COMPUTED_VALUE"""),"yard")</f>
        <v>yard</v>
      </c>
    </row>
    <row r="562">
      <c r="A562" s="53">
        <f>IFERROR(__xludf.DUMMYFUNCTION("""COMPUTED_VALUE"""),1035.0)</f>
        <v>1035</v>
      </c>
      <c r="B562" s="16" t="str">
        <f>IFERROR(__xludf.DUMMYFUNCTION("""COMPUTED_VALUE"""),"year")</f>
        <v>year</v>
      </c>
    </row>
    <row r="563">
      <c r="A563" s="53">
        <f>IFERROR(__xludf.DUMMYFUNCTION("""COMPUTED_VALUE"""),1037.0)</f>
        <v>1037</v>
      </c>
      <c r="B563" s="16" t="str">
        <f>IFERROR(__xludf.DUMMYFUNCTION("""COMPUTED_VALUE"""),"yearning")</f>
        <v>yearning</v>
      </c>
    </row>
    <row r="564">
      <c r="A564" s="53">
        <f>IFERROR(__xludf.DUMMYFUNCTION("""COMPUTED_VALUE"""),1039.0)</f>
        <v>1039</v>
      </c>
      <c r="B564" s="16" t="str">
        <f>IFERROR(__xludf.DUMMYFUNCTION("""COMPUTED_VALUE"""),"yesterday")</f>
        <v>yesterday</v>
      </c>
    </row>
    <row r="565">
      <c r="A565" s="53">
        <f>IFERROR(__xludf.DUMMYFUNCTION("""COMPUTED_VALUE"""),1049.0)</f>
        <v>1049</v>
      </c>
      <c r="B565" s="16" t="str">
        <f>IFERROR(__xludf.DUMMYFUNCTION("""COMPUTED_VALUE"""),"hello")</f>
        <v>hello</v>
      </c>
    </row>
    <row r="566">
      <c r="A566" s="53">
        <f>IFERROR(__xludf.DUMMYFUNCTION("""COMPUTED_VALUE"""),1052.0)</f>
        <v>1052</v>
      </c>
      <c r="B566" s="16" t="str">
        <f>IFERROR(__xludf.DUMMYFUNCTION("""COMPUTED_VALUE"""),"bed")</f>
        <v>bed</v>
      </c>
    </row>
    <row r="567">
      <c r="A567" s="53">
        <f>IFERROR(__xludf.DUMMYFUNCTION("""COMPUTED_VALUE"""),1053.0)</f>
        <v>1053</v>
      </c>
      <c r="B567" s="16" t="str">
        <f>IFERROR(__xludf.DUMMYFUNCTION("""COMPUTED_VALUE"""),"toothbrush")</f>
        <v>toothbrush</v>
      </c>
    </row>
    <row r="568">
      <c r="A568" s="53">
        <f>IFERROR(__xludf.DUMMYFUNCTION("""COMPUTED_VALUE"""),1054.0)</f>
        <v>1054</v>
      </c>
      <c r="B568" s="16" t="str">
        <f>IFERROR(__xludf.DUMMYFUNCTION("""COMPUTED_VALUE"""),"toothpaste")</f>
        <v>toothpaste</v>
      </c>
    </row>
    <row r="569">
      <c r="A569" s="52"/>
    </row>
    <row r="570">
      <c r="A570" s="52"/>
    </row>
    <row r="571">
      <c r="A571" s="52"/>
    </row>
    <row r="572">
      <c r="A572" s="52"/>
    </row>
    <row r="573">
      <c r="A573" s="52"/>
    </row>
    <row r="574">
      <c r="A574" s="52"/>
    </row>
    <row r="575">
      <c r="A575" s="52"/>
    </row>
    <row r="576">
      <c r="A576" s="52"/>
    </row>
    <row r="577">
      <c r="A577" s="52"/>
    </row>
    <row r="578">
      <c r="A578" s="52"/>
    </row>
    <row r="579">
      <c r="A579" s="52"/>
    </row>
    <row r="580">
      <c r="A580" s="52"/>
    </row>
    <row r="581">
      <c r="A581" s="52"/>
    </row>
    <row r="582">
      <c r="A582" s="52"/>
    </row>
    <row r="583">
      <c r="A583" s="52"/>
    </row>
    <row r="584">
      <c r="A584" s="52"/>
    </row>
    <row r="585">
      <c r="A585" s="52"/>
    </row>
    <row r="586">
      <c r="A586" s="52"/>
    </row>
    <row r="587">
      <c r="A587" s="52"/>
    </row>
    <row r="588">
      <c r="A588" s="52"/>
    </row>
    <row r="589">
      <c r="A589" s="52"/>
    </row>
    <row r="590">
      <c r="A590" s="52"/>
    </row>
    <row r="591">
      <c r="A591" s="52"/>
    </row>
    <row r="592">
      <c r="A592" s="52"/>
    </row>
    <row r="593">
      <c r="A593" s="52"/>
    </row>
    <row r="594">
      <c r="A594" s="52"/>
    </row>
    <row r="595">
      <c r="A595" s="52"/>
    </row>
    <row r="596">
      <c r="A596" s="52"/>
    </row>
    <row r="597">
      <c r="A597" s="52"/>
    </row>
    <row r="598">
      <c r="A598" s="52"/>
    </row>
    <row r="599">
      <c r="A599" s="52"/>
    </row>
    <row r="600">
      <c r="A600" s="52"/>
    </row>
    <row r="601">
      <c r="A601" s="52"/>
    </row>
    <row r="602">
      <c r="A602" s="52"/>
    </row>
    <row r="603">
      <c r="A603" s="52"/>
    </row>
    <row r="604">
      <c r="A604" s="52"/>
    </row>
    <row r="605">
      <c r="A605" s="52"/>
    </row>
    <row r="606">
      <c r="A606" s="52"/>
    </row>
    <row r="607">
      <c r="A607" s="52"/>
    </row>
    <row r="608">
      <c r="A608" s="52"/>
    </row>
    <row r="609">
      <c r="A609" s="52"/>
    </row>
    <row r="610">
      <c r="A610" s="52"/>
    </row>
    <row r="611">
      <c r="A611" s="52"/>
    </row>
    <row r="612">
      <c r="A612" s="52"/>
    </row>
    <row r="613">
      <c r="A613" s="52"/>
    </row>
    <row r="614">
      <c r="A614" s="52"/>
    </row>
    <row r="615">
      <c r="A615" s="52"/>
    </row>
    <row r="616">
      <c r="A616" s="52"/>
    </row>
    <row r="617">
      <c r="A617" s="52"/>
    </row>
    <row r="618">
      <c r="A618" s="52"/>
    </row>
    <row r="619">
      <c r="A619" s="52"/>
    </row>
    <row r="620">
      <c r="A620" s="52"/>
    </row>
    <row r="621">
      <c r="A621" s="52"/>
    </row>
    <row r="622">
      <c r="A622" s="52"/>
    </row>
    <row r="623">
      <c r="A623" s="52"/>
    </row>
    <row r="624">
      <c r="A624" s="52"/>
    </row>
    <row r="625">
      <c r="A625" s="52"/>
    </row>
    <row r="626">
      <c r="A626" s="52"/>
    </row>
    <row r="627">
      <c r="A627" s="52"/>
    </row>
    <row r="628">
      <c r="A628" s="52"/>
    </row>
    <row r="629">
      <c r="A629" s="52"/>
    </row>
    <row r="630">
      <c r="A630" s="52"/>
    </row>
    <row r="631">
      <c r="A631" s="52"/>
    </row>
    <row r="632">
      <c r="A632" s="52"/>
    </row>
    <row r="633">
      <c r="A633" s="52"/>
    </row>
    <row r="634">
      <c r="A634" s="52"/>
    </row>
    <row r="635">
      <c r="A635" s="52"/>
    </row>
    <row r="636">
      <c r="A636" s="52"/>
    </row>
    <row r="637">
      <c r="A637" s="52"/>
    </row>
    <row r="638">
      <c r="A638" s="52"/>
    </row>
    <row r="639">
      <c r="A639" s="52"/>
    </row>
    <row r="640">
      <c r="A640" s="52"/>
    </row>
    <row r="641">
      <c r="A641" s="52"/>
    </row>
    <row r="642">
      <c r="A642" s="52"/>
    </row>
    <row r="643">
      <c r="A643" s="52"/>
    </row>
    <row r="644">
      <c r="A644" s="52"/>
    </row>
    <row r="645">
      <c r="A645" s="52"/>
    </row>
    <row r="646">
      <c r="A646" s="52"/>
    </row>
    <row r="647">
      <c r="A647" s="52"/>
    </row>
    <row r="648">
      <c r="A648" s="52"/>
    </row>
    <row r="649">
      <c r="A649" s="52"/>
    </row>
    <row r="650">
      <c r="A650" s="52"/>
    </row>
    <row r="651">
      <c r="A651" s="52"/>
    </row>
    <row r="652">
      <c r="A652" s="52"/>
    </row>
    <row r="653">
      <c r="A653" s="52"/>
    </row>
    <row r="654">
      <c r="A654" s="52"/>
    </row>
    <row r="655">
      <c r="A655" s="52"/>
    </row>
    <row r="656">
      <c r="A656" s="52"/>
    </row>
    <row r="657">
      <c r="A657" s="52"/>
    </row>
    <row r="658">
      <c r="A658" s="52"/>
    </row>
    <row r="659">
      <c r="A659" s="52"/>
    </row>
    <row r="660">
      <c r="A660" s="52"/>
    </row>
    <row r="661">
      <c r="A661" s="52"/>
    </row>
    <row r="662">
      <c r="A662" s="52"/>
    </row>
    <row r="663">
      <c r="A663" s="52"/>
    </row>
    <row r="664">
      <c r="A664" s="52"/>
    </row>
    <row r="665">
      <c r="A665" s="52"/>
    </row>
    <row r="666">
      <c r="A666" s="52"/>
    </row>
    <row r="667">
      <c r="A667" s="52"/>
    </row>
    <row r="668">
      <c r="A668" s="52"/>
    </row>
    <row r="669">
      <c r="A669" s="52"/>
    </row>
    <row r="670">
      <c r="A670" s="52"/>
    </row>
    <row r="671">
      <c r="A671" s="52"/>
    </row>
    <row r="672">
      <c r="A672" s="52"/>
    </row>
    <row r="673">
      <c r="A673" s="52"/>
    </row>
    <row r="674">
      <c r="A674" s="52"/>
    </row>
    <row r="675">
      <c r="A675" s="52"/>
    </row>
    <row r="676">
      <c r="A676" s="52"/>
    </row>
    <row r="677">
      <c r="A677" s="52"/>
    </row>
    <row r="678">
      <c r="A678" s="52"/>
    </row>
    <row r="679">
      <c r="A679" s="52"/>
    </row>
    <row r="680">
      <c r="A680" s="52"/>
    </row>
    <row r="681">
      <c r="A681" s="52"/>
    </row>
    <row r="682">
      <c r="A682" s="52"/>
    </row>
    <row r="683">
      <c r="A683" s="52"/>
    </row>
    <row r="684">
      <c r="A684" s="52"/>
    </row>
    <row r="685">
      <c r="A685" s="52"/>
    </row>
    <row r="686">
      <c r="A686" s="52"/>
    </row>
    <row r="687">
      <c r="A687" s="52"/>
    </row>
    <row r="688">
      <c r="A688" s="52"/>
    </row>
    <row r="689">
      <c r="A689" s="52"/>
    </row>
    <row r="690">
      <c r="A690" s="52"/>
    </row>
    <row r="691">
      <c r="A691" s="52"/>
    </row>
    <row r="692">
      <c r="A692" s="52"/>
    </row>
    <row r="693">
      <c r="A693" s="52"/>
    </row>
    <row r="694">
      <c r="A694" s="52"/>
    </row>
    <row r="695">
      <c r="A695" s="52"/>
    </row>
    <row r="696">
      <c r="A696" s="52"/>
    </row>
    <row r="697">
      <c r="A697" s="52"/>
    </row>
    <row r="698">
      <c r="A698" s="52"/>
    </row>
    <row r="699">
      <c r="A699" s="52"/>
    </row>
    <row r="700">
      <c r="A700" s="52"/>
    </row>
    <row r="701">
      <c r="A701" s="52"/>
    </row>
    <row r="702">
      <c r="A702" s="52"/>
    </row>
    <row r="703">
      <c r="A703" s="52"/>
    </row>
    <row r="704">
      <c r="A704" s="52"/>
    </row>
    <row r="705">
      <c r="A705" s="52"/>
    </row>
    <row r="706">
      <c r="A706" s="52"/>
    </row>
    <row r="707">
      <c r="A707" s="52"/>
    </row>
    <row r="708">
      <c r="A708" s="52"/>
    </row>
    <row r="709">
      <c r="A709" s="52"/>
    </row>
    <row r="710">
      <c r="A710" s="52"/>
    </row>
    <row r="711">
      <c r="A711" s="52"/>
    </row>
    <row r="712">
      <c r="A712" s="52"/>
    </row>
    <row r="713">
      <c r="A713" s="52"/>
    </row>
    <row r="714">
      <c r="A714" s="52"/>
    </row>
    <row r="715">
      <c r="A715" s="52"/>
    </row>
    <row r="716">
      <c r="A716" s="52"/>
    </row>
    <row r="717">
      <c r="A717" s="52"/>
    </row>
    <row r="718">
      <c r="A718" s="52"/>
    </row>
    <row r="719">
      <c r="A719" s="52"/>
    </row>
    <row r="720">
      <c r="A720" s="52"/>
    </row>
    <row r="721">
      <c r="A721" s="52"/>
    </row>
    <row r="722">
      <c r="A722" s="52"/>
    </row>
    <row r="723">
      <c r="A723" s="52"/>
    </row>
    <row r="724">
      <c r="A724" s="52"/>
    </row>
    <row r="725">
      <c r="A725" s="52"/>
    </row>
    <row r="726">
      <c r="A726" s="52"/>
    </row>
    <row r="727">
      <c r="A727" s="52"/>
    </row>
    <row r="728">
      <c r="A728" s="52"/>
    </row>
    <row r="729">
      <c r="A729" s="52"/>
    </row>
    <row r="730">
      <c r="A730" s="52"/>
    </row>
    <row r="731">
      <c r="A731" s="52"/>
    </row>
    <row r="732">
      <c r="A732" s="52"/>
    </row>
    <row r="733">
      <c r="A733" s="52"/>
    </row>
    <row r="734">
      <c r="A734" s="52"/>
    </row>
    <row r="735">
      <c r="A735" s="52"/>
    </row>
    <row r="736">
      <c r="A736" s="52"/>
    </row>
    <row r="737">
      <c r="A737" s="52"/>
    </row>
    <row r="738">
      <c r="A738" s="52"/>
    </row>
    <row r="739">
      <c r="A739" s="52"/>
    </row>
    <row r="740">
      <c r="A740" s="52"/>
    </row>
    <row r="741">
      <c r="A741" s="52"/>
    </row>
    <row r="742">
      <c r="A742" s="52"/>
    </row>
    <row r="743">
      <c r="A743" s="52"/>
    </row>
    <row r="744">
      <c r="A744" s="52"/>
    </row>
    <row r="745">
      <c r="A745" s="52"/>
    </row>
    <row r="746">
      <c r="A746" s="52"/>
    </row>
    <row r="747">
      <c r="A747" s="52"/>
    </row>
    <row r="748">
      <c r="A748" s="52"/>
    </row>
    <row r="749">
      <c r="A749" s="52"/>
    </row>
    <row r="750">
      <c r="A750" s="52"/>
    </row>
    <row r="751">
      <c r="A751" s="52"/>
    </row>
    <row r="752">
      <c r="A752" s="52"/>
    </row>
    <row r="753">
      <c r="A753" s="52"/>
    </row>
    <row r="754">
      <c r="A754" s="52"/>
    </row>
    <row r="755">
      <c r="A755" s="52"/>
    </row>
    <row r="756">
      <c r="A756" s="52"/>
    </row>
    <row r="757">
      <c r="A757" s="52"/>
    </row>
    <row r="758">
      <c r="A758" s="52"/>
    </row>
    <row r="759">
      <c r="A759" s="52"/>
    </row>
    <row r="760">
      <c r="A760" s="52"/>
    </row>
    <row r="761">
      <c r="A761" s="52"/>
    </row>
    <row r="762">
      <c r="A762" s="52"/>
    </row>
    <row r="763">
      <c r="A763" s="52"/>
    </row>
    <row r="764">
      <c r="A764" s="52"/>
    </row>
    <row r="765">
      <c r="A765" s="52"/>
    </row>
    <row r="766">
      <c r="A766" s="52"/>
    </row>
    <row r="767">
      <c r="A767" s="52"/>
    </row>
    <row r="768">
      <c r="A768" s="52"/>
    </row>
    <row r="769">
      <c r="A769" s="52"/>
    </row>
    <row r="770">
      <c r="A770" s="52"/>
    </row>
    <row r="771">
      <c r="A771" s="52"/>
    </row>
    <row r="772">
      <c r="A772" s="52"/>
    </row>
    <row r="773">
      <c r="A773" s="52"/>
    </row>
    <row r="774">
      <c r="A774" s="52"/>
    </row>
    <row r="775">
      <c r="A775" s="52"/>
    </row>
    <row r="776">
      <c r="A776" s="52"/>
    </row>
    <row r="777">
      <c r="A777" s="52"/>
    </row>
    <row r="778">
      <c r="A778" s="52"/>
    </row>
    <row r="779">
      <c r="A779" s="52"/>
    </row>
    <row r="780">
      <c r="A780" s="52"/>
    </row>
    <row r="781">
      <c r="A781" s="52"/>
    </row>
    <row r="782">
      <c r="A782" s="52"/>
    </row>
    <row r="783">
      <c r="A783" s="52"/>
    </row>
    <row r="784">
      <c r="A784" s="52"/>
    </row>
    <row r="785">
      <c r="A785" s="52"/>
    </row>
    <row r="786">
      <c r="A786" s="52"/>
    </row>
    <row r="787">
      <c r="A787" s="52"/>
    </row>
    <row r="788">
      <c r="A788" s="52"/>
    </row>
    <row r="789">
      <c r="A789" s="52"/>
    </row>
    <row r="790">
      <c r="A790" s="52"/>
    </row>
    <row r="791">
      <c r="A791" s="52"/>
    </row>
    <row r="792">
      <c r="A792" s="52"/>
    </row>
    <row r="793">
      <c r="A793" s="52"/>
    </row>
    <row r="794">
      <c r="A794" s="52"/>
    </row>
    <row r="795">
      <c r="A795" s="52"/>
    </row>
    <row r="796">
      <c r="A796" s="52"/>
    </row>
    <row r="797">
      <c r="A797" s="52"/>
    </row>
    <row r="798">
      <c r="A798" s="52"/>
    </row>
    <row r="799">
      <c r="A799" s="52"/>
    </row>
    <row r="800">
      <c r="A800" s="52"/>
    </row>
    <row r="801">
      <c r="A801" s="52"/>
    </row>
    <row r="802">
      <c r="A802" s="52"/>
    </row>
    <row r="803">
      <c r="A803" s="52"/>
    </row>
    <row r="804">
      <c r="A804" s="52"/>
    </row>
    <row r="805">
      <c r="A805" s="52"/>
    </row>
    <row r="806">
      <c r="A806" s="52"/>
    </row>
    <row r="807">
      <c r="A807" s="52"/>
    </row>
    <row r="808">
      <c r="A808" s="52"/>
    </row>
    <row r="809">
      <c r="A809" s="52"/>
    </row>
    <row r="810">
      <c r="A810" s="52"/>
    </row>
    <row r="811">
      <c r="A811" s="52"/>
    </row>
    <row r="812">
      <c r="A812" s="52"/>
    </row>
    <row r="813">
      <c r="A813" s="52"/>
    </row>
    <row r="814">
      <c r="A814" s="52"/>
    </row>
    <row r="815">
      <c r="A815" s="52"/>
    </row>
    <row r="816">
      <c r="A816" s="52"/>
    </row>
    <row r="817">
      <c r="A817" s="52"/>
    </row>
    <row r="818">
      <c r="A818" s="52"/>
    </row>
    <row r="819">
      <c r="A819" s="52"/>
    </row>
    <row r="820">
      <c r="A820" s="52"/>
    </row>
    <row r="821">
      <c r="A821" s="52"/>
    </row>
    <row r="822">
      <c r="A822" s="52"/>
    </row>
    <row r="823">
      <c r="A823" s="52"/>
    </row>
    <row r="824">
      <c r="A824" s="52"/>
    </row>
    <row r="825">
      <c r="A825" s="52"/>
    </row>
    <row r="826">
      <c r="A826" s="52"/>
    </row>
    <row r="827">
      <c r="A827" s="52"/>
    </row>
    <row r="828">
      <c r="A828" s="52"/>
    </row>
    <row r="829">
      <c r="A829" s="52"/>
    </row>
    <row r="830">
      <c r="A830" s="52"/>
    </row>
    <row r="831">
      <c r="A831" s="52"/>
    </row>
    <row r="832">
      <c r="A832" s="52"/>
    </row>
    <row r="833">
      <c r="A833" s="52"/>
    </row>
    <row r="834">
      <c r="A834" s="52"/>
    </row>
    <row r="835">
      <c r="A835" s="52"/>
    </row>
    <row r="836">
      <c r="A836" s="52"/>
    </row>
    <row r="837">
      <c r="A837" s="52"/>
    </row>
    <row r="838">
      <c r="A838" s="52"/>
    </row>
    <row r="839">
      <c r="A839" s="52"/>
    </row>
    <row r="840">
      <c r="A840" s="52"/>
    </row>
    <row r="841">
      <c r="A841" s="52"/>
    </row>
    <row r="842">
      <c r="A842" s="52"/>
    </row>
    <row r="843">
      <c r="A843" s="52"/>
    </row>
    <row r="844">
      <c r="A844" s="52"/>
    </row>
    <row r="845">
      <c r="A845" s="52"/>
    </row>
    <row r="846">
      <c r="A846" s="52"/>
    </row>
    <row r="847">
      <c r="A847" s="52"/>
    </row>
    <row r="848">
      <c r="A848" s="52"/>
    </row>
    <row r="849">
      <c r="A849" s="52"/>
    </row>
    <row r="850">
      <c r="A850" s="52"/>
    </row>
    <row r="851">
      <c r="A851" s="52"/>
    </row>
    <row r="852">
      <c r="A852" s="52"/>
    </row>
    <row r="853">
      <c r="A853" s="52"/>
    </row>
    <row r="854">
      <c r="A854" s="52"/>
    </row>
    <row r="855">
      <c r="A855" s="52"/>
    </row>
    <row r="856">
      <c r="A856" s="52"/>
    </row>
    <row r="857">
      <c r="A857" s="52"/>
    </row>
    <row r="858">
      <c r="A858" s="52"/>
    </row>
    <row r="859">
      <c r="A859" s="52"/>
    </row>
    <row r="860">
      <c r="A860" s="52"/>
    </row>
    <row r="861">
      <c r="A861" s="52"/>
    </row>
    <row r="862">
      <c r="A862" s="52"/>
    </row>
    <row r="863">
      <c r="A863" s="52"/>
    </row>
    <row r="864">
      <c r="A864" s="52"/>
    </row>
    <row r="865">
      <c r="A865" s="52"/>
    </row>
    <row r="866">
      <c r="A866" s="52"/>
    </row>
    <row r="867">
      <c r="A867" s="52"/>
    </row>
    <row r="868">
      <c r="A868" s="52"/>
    </row>
    <row r="869">
      <c r="A869" s="52"/>
    </row>
    <row r="870">
      <c r="A870" s="52"/>
    </row>
    <row r="871">
      <c r="A871" s="52"/>
    </row>
    <row r="872">
      <c r="A872" s="52"/>
    </row>
    <row r="873">
      <c r="A873" s="52"/>
    </row>
    <row r="874">
      <c r="A874" s="52"/>
    </row>
    <row r="875">
      <c r="A875" s="52"/>
    </row>
    <row r="876">
      <c r="A876" s="52"/>
    </row>
    <row r="877">
      <c r="A877" s="52"/>
    </row>
    <row r="878">
      <c r="A878" s="52"/>
    </row>
    <row r="879">
      <c r="A879" s="52"/>
    </row>
    <row r="880">
      <c r="A880" s="52"/>
    </row>
    <row r="881">
      <c r="A881" s="52"/>
    </row>
    <row r="882">
      <c r="A882" s="52"/>
    </row>
    <row r="883">
      <c r="A883" s="52"/>
    </row>
    <row r="884">
      <c r="A884" s="52"/>
    </row>
    <row r="885">
      <c r="A885" s="52"/>
    </row>
    <row r="886">
      <c r="A886" s="52"/>
    </row>
    <row r="887">
      <c r="A887" s="52"/>
    </row>
    <row r="888">
      <c r="A888" s="52"/>
    </row>
    <row r="889">
      <c r="A889" s="52"/>
    </row>
    <row r="890">
      <c r="A890" s="52"/>
    </row>
    <row r="891">
      <c r="A891" s="52"/>
    </row>
    <row r="892">
      <c r="A892" s="52"/>
    </row>
    <row r="893">
      <c r="A893" s="52"/>
    </row>
    <row r="894">
      <c r="A894" s="52"/>
    </row>
    <row r="895">
      <c r="A895" s="52"/>
    </row>
    <row r="896">
      <c r="A896" s="52"/>
    </row>
    <row r="897">
      <c r="A897" s="52"/>
    </row>
    <row r="898">
      <c r="A898" s="52"/>
    </row>
    <row r="899">
      <c r="A899" s="52"/>
    </row>
    <row r="900">
      <c r="A900" s="52"/>
    </row>
    <row r="901">
      <c r="A901" s="52"/>
    </row>
    <row r="902">
      <c r="A902" s="52"/>
    </row>
    <row r="903">
      <c r="A903" s="52"/>
    </row>
    <row r="904">
      <c r="A904" s="52"/>
    </row>
    <row r="905">
      <c r="A905" s="52"/>
    </row>
    <row r="906">
      <c r="A906" s="52"/>
    </row>
    <row r="907">
      <c r="A907" s="52"/>
    </row>
    <row r="908">
      <c r="A908" s="52"/>
    </row>
    <row r="909">
      <c r="A909" s="52"/>
    </row>
    <row r="910">
      <c r="A910" s="52"/>
    </row>
    <row r="911">
      <c r="A911" s="52"/>
    </row>
    <row r="912">
      <c r="A912" s="52"/>
    </row>
    <row r="913">
      <c r="A913" s="52"/>
    </row>
    <row r="914">
      <c r="A914" s="52"/>
    </row>
    <row r="915">
      <c r="A915" s="52"/>
    </row>
    <row r="916">
      <c r="A916" s="52"/>
    </row>
    <row r="917">
      <c r="A917" s="52"/>
    </row>
    <row r="918">
      <c r="A918" s="52"/>
    </row>
    <row r="919">
      <c r="A919" s="52"/>
    </row>
    <row r="920">
      <c r="A920" s="52"/>
    </row>
    <row r="921">
      <c r="A921" s="52"/>
    </row>
    <row r="922">
      <c r="A922" s="52"/>
    </row>
    <row r="923">
      <c r="A923" s="52"/>
    </row>
    <row r="924">
      <c r="A924" s="52"/>
    </row>
    <row r="925">
      <c r="A925" s="52"/>
    </row>
    <row r="926">
      <c r="A926" s="52"/>
    </row>
    <row r="927">
      <c r="A927" s="52"/>
    </row>
    <row r="928">
      <c r="A928" s="52"/>
    </row>
    <row r="929">
      <c r="A929" s="52"/>
    </row>
    <row r="930">
      <c r="A930" s="52"/>
    </row>
    <row r="931">
      <c r="A931" s="52"/>
    </row>
    <row r="932">
      <c r="A932" s="52"/>
    </row>
    <row r="933">
      <c r="A933" s="52"/>
    </row>
    <row r="934">
      <c r="A934" s="52"/>
    </row>
    <row r="935">
      <c r="A935" s="52"/>
    </row>
    <row r="936">
      <c r="A936" s="52"/>
    </row>
    <row r="937">
      <c r="A937" s="52"/>
    </row>
    <row r="938">
      <c r="A938" s="52"/>
    </row>
    <row r="939">
      <c r="A939" s="52"/>
    </row>
    <row r="940">
      <c r="A940" s="52"/>
    </row>
    <row r="941">
      <c r="A941" s="52"/>
    </row>
    <row r="942">
      <c r="A942" s="52"/>
    </row>
    <row r="943">
      <c r="A943" s="52"/>
    </row>
    <row r="944">
      <c r="A944" s="52"/>
    </row>
    <row r="945">
      <c r="A945" s="52"/>
    </row>
    <row r="946">
      <c r="A946" s="52"/>
    </row>
    <row r="947">
      <c r="A947" s="52"/>
    </row>
    <row r="948">
      <c r="A948" s="52"/>
    </row>
    <row r="949">
      <c r="A949" s="52"/>
    </row>
    <row r="950">
      <c r="A950" s="52"/>
    </row>
    <row r="951">
      <c r="A951" s="52"/>
    </row>
    <row r="952">
      <c r="A952" s="52"/>
    </row>
    <row r="953">
      <c r="A953" s="52"/>
    </row>
    <row r="954">
      <c r="A954" s="52"/>
    </row>
    <row r="955">
      <c r="A955" s="52"/>
    </row>
    <row r="956">
      <c r="A956" s="52"/>
    </row>
    <row r="957">
      <c r="A957" s="52"/>
    </row>
    <row r="958">
      <c r="A958" s="52"/>
    </row>
    <row r="959">
      <c r="A959" s="52"/>
    </row>
    <row r="960">
      <c r="A960" s="52"/>
    </row>
    <row r="961">
      <c r="A961" s="52"/>
    </row>
    <row r="962">
      <c r="A962" s="52"/>
    </row>
    <row r="963">
      <c r="A963" s="52"/>
    </row>
    <row r="964">
      <c r="A964" s="52"/>
    </row>
    <row r="965">
      <c r="A965" s="52"/>
    </row>
    <row r="966">
      <c r="A966" s="52"/>
    </row>
    <row r="967">
      <c r="A967" s="52"/>
    </row>
    <row r="968">
      <c r="A968" s="52"/>
    </row>
    <row r="969">
      <c r="A969" s="52"/>
    </row>
    <row r="970">
      <c r="A970" s="52"/>
    </row>
    <row r="971">
      <c r="A971" s="52"/>
    </row>
    <row r="972">
      <c r="A972" s="52"/>
    </row>
    <row r="973">
      <c r="A973" s="52"/>
    </row>
    <row r="974">
      <c r="A974" s="52"/>
    </row>
    <row r="975">
      <c r="A975" s="52"/>
    </row>
    <row r="976">
      <c r="A976" s="52"/>
    </row>
    <row r="977">
      <c r="A977" s="52"/>
    </row>
    <row r="978">
      <c r="A978" s="52"/>
    </row>
    <row r="979">
      <c r="A979" s="52"/>
    </row>
    <row r="980">
      <c r="A980" s="52"/>
    </row>
    <row r="981">
      <c r="A981" s="52"/>
    </row>
    <row r="982">
      <c r="A982" s="52"/>
    </row>
    <row r="983">
      <c r="A983" s="52"/>
    </row>
    <row r="984">
      <c r="A984" s="52"/>
    </row>
    <row r="985">
      <c r="A985" s="52"/>
    </row>
    <row r="986">
      <c r="A986" s="52"/>
    </row>
    <row r="987">
      <c r="A987" s="52"/>
    </row>
    <row r="988">
      <c r="A988" s="52"/>
    </row>
    <row r="989">
      <c r="A989" s="52"/>
    </row>
    <row r="990">
      <c r="A990" s="52"/>
    </row>
    <row r="991">
      <c r="A991" s="52"/>
    </row>
    <row r="992">
      <c r="A992" s="52"/>
    </row>
    <row r="993">
      <c r="A993" s="52"/>
    </row>
    <row r="994">
      <c r="A994" s="52"/>
    </row>
    <row r="995">
      <c r="A995" s="52"/>
    </row>
    <row r="996">
      <c r="A996" s="52"/>
    </row>
    <row r="997">
      <c r="A997" s="52"/>
    </row>
    <row r="998">
      <c r="A998" s="52"/>
    </row>
    <row r="999">
      <c r="A999" s="52"/>
    </row>
    <row r="1000">
      <c r="A1000" s="5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9" width="15.13"/>
  </cols>
  <sheetData>
    <row r="1">
      <c r="A1" s="51" t="s">
        <v>3088</v>
      </c>
      <c r="B1" s="51" t="s">
        <v>0</v>
      </c>
      <c r="C1" s="51" t="s">
        <v>3070</v>
      </c>
      <c r="D1" s="51" t="s">
        <v>3291</v>
      </c>
      <c r="E1" s="51" t="s">
        <v>3658</v>
      </c>
      <c r="F1" s="51" t="s">
        <v>3659</v>
      </c>
      <c r="G1" s="51" t="s">
        <v>3660</v>
      </c>
      <c r="H1" s="51" t="s">
        <v>3661</v>
      </c>
      <c r="I1" s="56" t="s">
        <v>3662</v>
      </c>
      <c r="J1" s="56" t="s">
        <v>3663</v>
      </c>
    </row>
    <row r="2">
      <c r="A2" s="53">
        <f>IFERROR(__xludf.DUMMYFUNCTION("FILTER(Words!A:B,Words!C:C=""Verb"")"),31.0)</f>
        <v>31</v>
      </c>
      <c r="B2" s="16" t="str">
        <f>IFERROR(__xludf.DUMMYFUNCTION("""COMPUTED_VALUE"""),"abstain")</f>
        <v>abstain</v>
      </c>
      <c r="C2" s="9" t="s">
        <v>3086</v>
      </c>
      <c r="D2" s="54" t="s">
        <v>3664</v>
      </c>
      <c r="E2" s="54" t="s">
        <v>3665</v>
      </c>
      <c r="F2" s="54" t="s">
        <v>3666</v>
      </c>
      <c r="G2" s="54" t="s">
        <v>3667</v>
      </c>
      <c r="H2" s="54" t="s">
        <v>3668</v>
      </c>
      <c r="I2" s="57" t="s">
        <v>3669</v>
      </c>
      <c r="J2" s="57" t="s">
        <v>3670</v>
      </c>
    </row>
    <row r="3">
      <c r="A3" s="53">
        <f>IFERROR(__xludf.DUMMYFUNCTION("""COMPUTED_VALUE"""),33.0)</f>
        <v>33</v>
      </c>
      <c r="B3" s="16" t="str">
        <f>IFERROR(__xludf.DUMMYFUNCTION("""COMPUTED_VALUE"""),"accomplish")</f>
        <v>accomplish</v>
      </c>
      <c r="C3" s="9" t="s">
        <v>3086</v>
      </c>
      <c r="D3" s="54" t="s">
        <v>3671</v>
      </c>
      <c r="E3" s="54" t="s">
        <v>3672</v>
      </c>
      <c r="F3" s="54" t="s">
        <v>3673</v>
      </c>
      <c r="G3" s="54" t="s">
        <v>3674</v>
      </c>
      <c r="H3" s="54" t="s">
        <v>3675</v>
      </c>
      <c r="I3" s="57" t="s">
        <v>3676</v>
      </c>
      <c r="J3" s="57" t="s">
        <v>3677</v>
      </c>
    </row>
    <row r="4">
      <c r="A4" s="53">
        <f>IFERROR(__xludf.DUMMYFUNCTION("""COMPUTED_VALUE"""),35.0)</f>
        <v>35</v>
      </c>
      <c r="B4" s="16" t="str">
        <f>IFERROR(__xludf.DUMMYFUNCTION("""COMPUTED_VALUE"""),"accumulate")</f>
        <v>accumulate</v>
      </c>
      <c r="C4" s="9" t="s">
        <v>3086</v>
      </c>
      <c r="D4" s="54" t="s">
        <v>3678</v>
      </c>
      <c r="E4" s="54" t="s">
        <v>3679</v>
      </c>
      <c r="F4" s="54" t="s">
        <v>3680</v>
      </c>
      <c r="G4" s="54" t="s">
        <v>3681</v>
      </c>
      <c r="H4" s="54" t="s">
        <v>3682</v>
      </c>
      <c r="I4" s="57" t="s">
        <v>3683</v>
      </c>
      <c r="J4" s="57" t="s">
        <v>3684</v>
      </c>
    </row>
    <row r="5">
      <c r="A5" s="53">
        <f>IFERROR(__xludf.DUMMYFUNCTION("""COMPUTED_VALUE"""),48.0)</f>
        <v>48</v>
      </c>
      <c r="B5" s="16" t="str">
        <f>IFERROR(__xludf.DUMMYFUNCTION("""COMPUTED_VALUE"""),"aggravate")</f>
        <v>aggravate</v>
      </c>
      <c r="C5" s="9" t="s">
        <v>3086</v>
      </c>
      <c r="D5" s="54" t="s">
        <v>3685</v>
      </c>
      <c r="E5" s="54" t="s">
        <v>3686</v>
      </c>
      <c r="F5" s="54" t="s">
        <v>3687</v>
      </c>
      <c r="G5" s="54" t="s">
        <v>3688</v>
      </c>
      <c r="H5" s="54" t="s">
        <v>3689</v>
      </c>
      <c r="I5" s="57" t="s">
        <v>3690</v>
      </c>
      <c r="J5" s="57" t="s">
        <v>3691</v>
      </c>
    </row>
    <row r="6">
      <c r="A6" s="53">
        <f>IFERROR(__xludf.DUMMYFUNCTION("""COMPUTED_VALUE"""),49.0)</f>
        <v>49</v>
      </c>
      <c r="B6" s="16" t="str">
        <f>IFERROR(__xludf.DUMMYFUNCTION("""COMPUTED_VALUE"""),"aim")</f>
        <v>aim</v>
      </c>
      <c r="C6" s="9" t="s">
        <v>3086</v>
      </c>
      <c r="D6" s="54" t="s">
        <v>3692</v>
      </c>
      <c r="E6" s="54" t="s">
        <v>3693</v>
      </c>
      <c r="F6" s="54" t="s">
        <v>3694</v>
      </c>
      <c r="G6" s="54" t="s">
        <v>3695</v>
      </c>
      <c r="H6" s="54" t="s">
        <v>3696</v>
      </c>
      <c r="I6" s="57" t="s">
        <v>3697</v>
      </c>
      <c r="J6" s="57" t="s">
        <v>3698</v>
      </c>
    </row>
    <row r="7">
      <c r="A7" s="53">
        <f>IFERROR(__xludf.DUMMYFUNCTION("""COMPUTED_VALUE"""),51.0)</f>
        <v>51</v>
      </c>
      <c r="B7" s="16" t="str">
        <f>IFERROR(__xludf.DUMMYFUNCTION("""COMPUTED_VALUE"""),"allocate")</f>
        <v>allocate</v>
      </c>
      <c r="C7" s="9" t="s">
        <v>3086</v>
      </c>
      <c r="D7" s="54" t="s">
        <v>3699</v>
      </c>
      <c r="E7" s="54" t="s">
        <v>3700</v>
      </c>
      <c r="F7" s="54" t="s">
        <v>3701</v>
      </c>
      <c r="G7" s="54" t="s">
        <v>3702</v>
      </c>
      <c r="H7" s="54" t="s">
        <v>3703</v>
      </c>
      <c r="I7" s="57" t="s">
        <v>3704</v>
      </c>
      <c r="J7" s="57" t="s">
        <v>3705</v>
      </c>
    </row>
    <row r="8">
      <c r="A8" s="53">
        <f>IFERROR(__xludf.DUMMYFUNCTION("""COMPUTED_VALUE"""),60.0)</f>
        <v>60</v>
      </c>
      <c r="B8" s="16" t="str">
        <f>IFERROR(__xludf.DUMMYFUNCTION("""COMPUTED_VALUE"""),"amplify")</f>
        <v>amplify</v>
      </c>
      <c r="C8" s="9" t="s">
        <v>3086</v>
      </c>
      <c r="D8" s="54" t="s">
        <v>3706</v>
      </c>
      <c r="E8" s="54" t="s">
        <v>1233</v>
      </c>
      <c r="F8" s="54" t="s">
        <v>3707</v>
      </c>
      <c r="G8" s="54" t="s">
        <v>3708</v>
      </c>
      <c r="H8" s="54" t="s">
        <v>3709</v>
      </c>
      <c r="I8" s="57" t="s">
        <v>3710</v>
      </c>
      <c r="J8" s="57" t="s">
        <v>3711</v>
      </c>
    </row>
    <row r="9">
      <c r="A9" s="53">
        <f>IFERROR(__xludf.DUMMYFUNCTION("""COMPUTED_VALUE"""),66.0)</f>
        <v>66</v>
      </c>
      <c r="B9" s="16" t="str">
        <f>IFERROR(__xludf.DUMMYFUNCTION("""COMPUTED_VALUE"""),"angle")</f>
        <v>angle</v>
      </c>
      <c r="C9" s="9" t="s">
        <v>3086</v>
      </c>
      <c r="D9" s="54" t="s">
        <v>3712</v>
      </c>
      <c r="E9" s="54" t="s">
        <v>3713</v>
      </c>
      <c r="F9" s="54" t="s">
        <v>3714</v>
      </c>
      <c r="G9" s="54" t="s">
        <v>3715</v>
      </c>
      <c r="H9" s="54" t="s">
        <v>3716</v>
      </c>
      <c r="I9" s="57" t="s">
        <v>3717</v>
      </c>
      <c r="J9" s="57" t="s">
        <v>3718</v>
      </c>
    </row>
    <row r="10">
      <c r="A10" s="53">
        <f>IFERROR(__xludf.DUMMYFUNCTION("""COMPUTED_VALUE"""),73.0)</f>
        <v>73</v>
      </c>
      <c r="B10" s="16" t="str">
        <f>IFERROR(__xludf.DUMMYFUNCTION("""COMPUTED_VALUE"""),"answer")</f>
        <v>answer</v>
      </c>
      <c r="C10" s="9" t="s">
        <v>3086</v>
      </c>
      <c r="D10" s="54" t="s">
        <v>3719</v>
      </c>
      <c r="E10" s="54" t="s">
        <v>3720</v>
      </c>
      <c r="F10" s="54" t="s">
        <v>3721</v>
      </c>
      <c r="G10" s="54" t="s">
        <v>3722</v>
      </c>
      <c r="H10" s="54" t="s">
        <v>3723</v>
      </c>
      <c r="I10" s="57" t="s">
        <v>3724</v>
      </c>
      <c r="J10" s="57" t="s">
        <v>3725</v>
      </c>
    </row>
    <row r="11">
      <c r="A11" s="53">
        <f>IFERROR(__xludf.DUMMYFUNCTION("""COMPUTED_VALUE"""),74.0)</f>
        <v>74</v>
      </c>
      <c r="B11" s="16" t="str">
        <f>IFERROR(__xludf.DUMMYFUNCTION("""COMPUTED_VALUE"""),"anticipate")</f>
        <v>anticipate</v>
      </c>
      <c r="C11" s="9" t="s">
        <v>3086</v>
      </c>
      <c r="D11" s="54" t="s">
        <v>3726</v>
      </c>
      <c r="E11" s="54" t="s">
        <v>3727</v>
      </c>
      <c r="F11" s="54" t="s">
        <v>3728</v>
      </c>
      <c r="G11" s="54" t="s">
        <v>3729</v>
      </c>
      <c r="H11" s="54" t="s">
        <v>3730</v>
      </c>
      <c r="I11" s="57" t="s">
        <v>3731</v>
      </c>
      <c r="J11" s="57" t="s">
        <v>3732</v>
      </c>
    </row>
    <row r="12">
      <c r="A12" s="53">
        <f>IFERROR(__xludf.DUMMYFUNCTION("""COMPUTED_VALUE"""),79.0)</f>
        <v>79</v>
      </c>
      <c r="B12" s="16" t="str">
        <f>IFERROR(__xludf.DUMMYFUNCTION("""COMPUTED_VALUE"""),"apprehend")</f>
        <v>apprehend</v>
      </c>
      <c r="C12" s="9" t="s">
        <v>3086</v>
      </c>
      <c r="D12" s="54" t="s">
        <v>696</v>
      </c>
      <c r="E12" s="54" t="s">
        <v>3733</v>
      </c>
      <c r="F12" s="54" t="s">
        <v>3734</v>
      </c>
      <c r="G12" s="54" t="s">
        <v>3735</v>
      </c>
      <c r="H12" s="54" t="s">
        <v>3736</v>
      </c>
      <c r="I12" s="57" t="s">
        <v>3737</v>
      </c>
      <c r="J12" s="57" t="s">
        <v>3738</v>
      </c>
    </row>
    <row r="13">
      <c r="A13" s="53">
        <f>IFERROR(__xludf.DUMMYFUNCTION("""COMPUTED_VALUE"""),82.0)</f>
        <v>82</v>
      </c>
      <c r="B13" s="16" t="str">
        <f>IFERROR(__xludf.DUMMYFUNCTION("""COMPUTED_VALUE"""),"arbirate")</f>
        <v>arbirate</v>
      </c>
      <c r="C13" s="9" t="s">
        <v>3086</v>
      </c>
      <c r="D13" s="54" t="s">
        <v>754</v>
      </c>
      <c r="E13" s="54" t="s">
        <v>3739</v>
      </c>
      <c r="F13" s="54" t="s">
        <v>3740</v>
      </c>
      <c r="G13" s="54" t="s">
        <v>3741</v>
      </c>
      <c r="H13" s="54" t="s">
        <v>3742</v>
      </c>
      <c r="I13" s="57" t="s">
        <v>3743</v>
      </c>
      <c r="J13" s="57" t="s">
        <v>3744</v>
      </c>
    </row>
    <row r="14">
      <c r="A14" s="53">
        <f>IFERROR(__xludf.DUMMYFUNCTION("""COMPUTED_VALUE"""),85.0)</f>
        <v>85</v>
      </c>
      <c r="B14" s="16" t="str">
        <f>IFERROR(__xludf.DUMMYFUNCTION("""COMPUTED_VALUE"""),"ascend")</f>
        <v>ascend</v>
      </c>
      <c r="C14" s="9" t="s">
        <v>3086</v>
      </c>
      <c r="D14" s="54" t="s">
        <v>3745</v>
      </c>
      <c r="E14" s="54" t="s">
        <v>3746</v>
      </c>
      <c r="F14" s="54" t="s">
        <v>3747</v>
      </c>
      <c r="G14" s="54" t="s">
        <v>3748</v>
      </c>
      <c r="H14" s="54" t="s">
        <v>3749</v>
      </c>
      <c r="I14" s="57" t="s">
        <v>3750</v>
      </c>
      <c r="J14" s="57" t="s">
        <v>3751</v>
      </c>
    </row>
    <row r="15">
      <c r="A15" s="53">
        <f>IFERROR(__xludf.DUMMYFUNCTION("""COMPUTED_VALUE"""),87.0)</f>
        <v>87</v>
      </c>
      <c r="B15" s="16" t="str">
        <f>IFERROR(__xludf.DUMMYFUNCTION("""COMPUTED_VALUE"""),"ask")</f>
        <v>ask</v>
      </c>
      <c r="C15" s="9" t="s">
        <v>3086</v>
      </c>
      <c r="D15" s="54" t="s">
        <v>3752</v>
      </c>
      <c r="E15" s="54" t="s">
        <v>3753</v>
      </c>
      <c r="F15" s="54" t="s">
        <v>3754</v>
      </c>
      <c r="G15" s="54" t="s">
        <v>3755</v>
      </c>
      <c r="H15" s="54" t="s">
        <v>3756</v>
      </c>
      <c r="I15" s="57" t="s">
        <v>3757</v>
      </c>
      <c r="J15" s="57" t="s">
        <v>3758</v>
      </c>
    </row>
    <row r="16">
      <c r="A16" s="53">
        <f>IFERROR(__xludf.DUMMYFUNCTION("""COMPUTED_VALUE"""),88.0)</f>
        <v>88</v>
      </c>
      <c r="B16" s="16" t="str">
        <f>IFERROR(__xludf.DUMMYFUNCTION("""COMPUTED_VALUE"""),"aspire")</f>
        <v>aspire</v>
      </c>
      <c r="C16" s="9" t="s">
        <v>3086</v>
      </c>
      <c r="D16" s="54" t="s">
        <v>3759</v>
      </c>
      <c r="E16" s="54" t="s">
        <v>3760</v>
      </c>
      <c r="F16" s="54" t="s">
        <v>3761</v>
      </c>
      <c r="G16" s="54" t="s">
        <v>3762</v>
      </c>
      <c r="H16" s="54" t="s">
        <v>3763</v>
      </c>
      <c r="I16" s="57" t="s">
        <v>3764</v>
      </c>
      <c r="J16" s="57" t="s">
        <v>3765</v>
      </c>
    </row>
    <row r="17">
      <c r="A17" s="53">
        <f>IFERROR(__xludf.DUMMYFUNCTION("""COMPUTED_VALUE"""),89.0)</f>
        <v>89</v>
      </c>
      <c r="B17" s="16" t="str">
        <f>IFERROR(__xludf.DUMMYFUNCTION("""COMPUTED_VALUE"""),"assemble")</f>
        <v>assemble</v>
      </c>
      <c r="C17" s="9" t="s">
        <v>3086</v>
      </c>
      <c r="D17" s="54" t="s">
        <v>3766</v>
      </c>
      <c r="E17" s="54" t="s">
        <v>3767</v>
      </c>
      <c r="F17" s="54" t="s">
        <v>3768</v>
      </c>
      <c r="G17" s="54" t="s">
        <v>3769</v>
      </c>
      <c r="H17" s="54" t="s">
        <v>3770</v>
      </c>
      <c r="I17" s="57" t="s">
        <v>3771</v>
      </c>
      <c r="J17" s="57" t="s">
        <v>3772</v>
      </c>
    </row>
    <row r="18">
      <c r="A18" s="53">
        <f>IFERROR(__xludf.DUMMYFUNCTION("""COMPUTED_VALUE"""),94.0)</f>
        <v>94</v>
      </c>
      <c r="B18" s="16" t="str">
        <f>IFERROR(__xludf.DUMMYFUNCTION("""COMPUTED_VALUE"""),"attack")</f>
        <v>attack</v>
      </c>
      <c r="C18" s="9" t="s">
        <v>3086</v>
      </c>
      <c r="D18" s="54" t="s">
        <v>3773</v>
      </c>
      <c r="E18" s="54" t="s">
        <v>3774</v>
      </c>
      <c r="F18" s="54" t="s">
        <v>3775</v>
      </c>
      <c r="G18" s="54" t="s">
        <v>3776</v>
      </c>
      <c r="H18" s="54" t="s">
        <v>3777</v>
      </c>
      <c r="I18" s="57" t="s">
        <v>3778</v>
      </c>
      <c r="J18" s="57" t="s">
        <v>3779</v>
      </c>
    </row>
    <row r="19">
      <c r="A19" s="53">
        <f>IFERROR(__xludf.DUMMYFUNCTION("""COMPUTED_VALUE"""),101.0)</f>
        <v>101</v>
      </c>
      <c r="B19" s="16" t="str">
        <f>IFERROR(__xludf.DUMMYFUNCTION("""COMPUTED_VALUE"""),"authenicate")</f>
        <v>authenicate</v>
      </c>
      <c r="C19" s="9" t="s">
        <v>3086</v>
      </c>
      <c r="D19" s="54" t="s">
        <v>3780</v>
      </c>
      <c r="E19" s="54" t="s">
        <v>3781</v>
      </c>
      <c r="F19" s="54" t="s">
        <v>2826</v>
      </c>
      <c r="G19" s="54" t="s">
        <v>3782</v>
      </c>
      <c r="H19" s="54" t="s">
        <v>3783</v>
      </c>
      <c r="I19" s="57" t="s">
        <v>3784</v>
      </c>
      <c r="J19" s="57" t="s">
        <v>3785</v>
      </c>
    </row>
    <row r="20">
      <c r="A20" s="53">
        <f>IFERROR(__xludf.DUMMYFUNCTION("""COMPUTED_VALUE"""),106.0)</f>
        <v>106</v>
      </c>
      <c r="B20" s="16" t="str">
        <f>IFERROR(__xludf.DUMMYFUNCTION("""COMPUTED_VALUE"""),"baby")</f>
        <v>baby</v>
      </c>
      <c r="C20" s="9" t="s">
        <v>3086</v>
      </c>
      <c r="D20" s="54" t="s">
        <v>3786</v>
      </c>
      <c r="E20" s="54" t="s">
        <v>3787</v>
      </c>
      <c r="F20" s="54" t="s">
        <v>3788</v>
      </c>
      <c r="G20" s="54" t="s">
        <v>3789</v>
      </c>
      <c r="H20" s="54" t="s">
        <v>3790</v>
      </c>
      <c r="I20" s="57" t="s">
        <v>3791</v>
      </c>
      <c r="J20" s="57" t="s">
        <v>3792</v>
      </c>
    </row>
    <row r="21">
      <c r="A21" s="53">
        <f>IFERROR(__xludf.DUMMYFUNCTION("""COMPUTED_VALUE"""),112.0)</f>
        <v>112</v>
      </c>
      <c r="B21" s="16" t="str">
        <f>IFERROR(__xludf.DUMMYFUNCTION("""COMPUTED_VALUE"""),"back")</f>
        <v>back</v>
      </c>
      <c r="C21" s="9" t="s">
        <v>3086</v>
      </c>
      <c r="D21" s="54" t="s">
        <v>3793</v>
      </c>
      <c r="E21" s="54" t="s">
        <v>3794</v>
      </c>
      <c r="F21" s="54" t="s">
        <v>3795</v>
      </c>
      <c r="G21" s="54" t="s">
        <v>3796</v>
      </c>
      <c r="H21" s="54" t="s">
        <v>3797</v>
      </c>
      <c r="I21" s="57" t="s">
        <v>3798</v>
      </c>
      <c r="J21" s="57" t="s">
        <v>3799</v>
      </c>
    </row>
    <row r="22">
      <c r="A22" s="53">
        <f>IFERROR(__xludf.DUMMYFUNCTION("""COMPUTED_VALUE"""),117.0)</f>
        <v>117</v>
      </c>
      <c r="B22" s="16" t="str">
        <f>IFERROR(__xludf.DUMMYFUNCTION("""COMPUTED_VALUE"""),"bad")</f>
        <v>bad</v>
      </c>
      <c r="C22" s="9" t="s">
        <v>3086</v>
      </c>
      <c r="D22" s="54" t="s">
        <v>3800</v>
      </c>
      <c r="E22" s="54" t="s">
        <v>3801</v>
      </c>
      <c r="F22" s="54" t="s">
        <v>3802</v>
      </c>
      <c r="G22" s="54" t="s">
        <v>3803</v>
      </c>
      <c r="H22" s="54" t="s">
        <v>3804</v>
      </c>
      <c r="I22" s="57" t="s">
        <v>3805</v>
      </c>
      <c r="J22" s="57" t="s">
        <v>3806</v>
      </c>
    </row>
    <row r="23">
      <c r="A23" s="53">
        <f>IFERROR(__xludf.DUMMYFUNCTION("""COMPUTED_VALUE"""),128.0)</f>
        <v>128</v>
      </c>
      <c r="B23" s="16" t="str">
        <f>IFERROR(__xludf.DUMMYFUNCTION("""COMPUTED_VALUE"""),"be")</f>
        <v>be</v>
      </c>
      <c r="C23" s="9" t="s">
        <v>3086</v>
      </c>
      <c r="D23" s="54" t="s">
        <v>3807</v>
      </c>
      <c r="E23" s="54" t="s">
        <v>3808</v>
      </c>
      <c r="F23" s="54" t="s">
        <v>3809</v>
      </c>
      <c r="G23" s="54" t="s">
        <v>3810</v>
      </c>
      <c r="H23" s="54" t="s">
        <v>3811</v>
      </c>
      <c r="I23" s="57" t="s">
        <v>3812</v>
      </c>
      <c r="J23" s="57" t="s">
        <v>3813</v>
      </c>
    </row>
    <row r="24">
      <c r="A24" s="53">
        <f>IFERROR(__xludf.DUMMYFUNCTION("""COMPUTED_VALUE"""),130.0)</f>
        <v>130</v>
      </c>
      <c r="B24" s="16" t="str">
        <f>IFERROR(__xludf.DUMMYFUNCTION("""COMPUTED_VALUE"""),"beach")</f>
        <v>beach</v>
      </c>
      <c r="C24" s="9" t="s">
        <v>3086</v>
      </c>
      <c r="D24" s="54" t="s">
        <v>3814</v>
      </c>
      <c r="E24" s="54" t="s">
        <v>3815</v>
      </c>
      <c r="F24" s="54" t="s">
        <v>3816</v>
      </c>
      <c r="G24" s="54" t="s">
        <v>3817</v>
      </c>
      <c r="H24" s="54" t="s">
        <v>3818</v>
      </c>
      <c r="I24" s="57" t="s">
        <v>3819</v>
      </c>
      <c r="J24" s="57" t="s">
        <v>3820</v>
      </c>
    </row>
    <row r="25">
      <c r="A25" s="53">
        <f>IFERROR(__xludf.DUMMYFUNCTION("""COMPUTED_VALUE"""),135.0)</f>
        <v>135</v>
      </c>
      <c r="B25" s="16" t="str">
        <f>IFERROR(__xludf.DUMMYFUNCTION("""COMPUTED_VALUE"""),"beg")</f>
        <v>beg</v>
      </c>
      <c r="C25" s="9" t="s">
        <v>3086</v>
      </c>
      <c r="D25" s="54" t="s">
        <v>3821</v>
      </c>
      <c r="E25" s="54" t="s">
        <v>3822</v>
      </c>
      <c r="F25" s="54" t="s">
        <v>3823</v>
      </c>
      <c r="G25" s="54" t="s">
        <v>3824</v>
      </c>
      <c r="H25" s="54" t="s">
        <v>3825</v>
      </c>
      <c r="I25" s="57" t="s">
        <v>3826</v>
      </c>
      <c r="J25" s="57" t="s">
        <v>3827</v>
      </c>
    </row>
    <row r="26">
      <c r="A26" s="53">
        <f>IFERROR(__xludf.DUMMYFUNCTION("""COMPUTED_VALUE"""),138.0)</f>
        <v>138</v>
      </c>
      <c r="B26" s="16" t="str">
        <f>IFERROR(__xludf.DUMMYFUNCTION("""COMPUTED_VALUE"""),"beginning")</f>
        <v>beginning</v>
      </c>
      <c r="C26" s="9" t="s">
        <v>3086</v>
      </c>
      <c r="D26" s="54" t="s">
        <v>3828</v>
      </c>
      <c r="E26" s="54" t="s">
        <v>3829</v>
      </c>
      <c r="F26" s="54" t="s">
        <v>3830</v>
      </c>
      <c r="G26" s="54" t="s">
        <v>3831</v>
      </c>
      <c r="H26" s="54" t="s">
        <v>3832</v>
      </c>
      <c r="I26" s="57" t="s">
        <v>3833</v>
      </c>
      <c r="J26" s="57" t="s">
        <v>3834</v>
      </c>
    </row>
    <row r="27">
      <c r="A27" s="53">
        <f>IFERROR(__xludf.DUMMYFUNCTION("""COMPUTED_VALUE"""),147.0)</f>
        <v>147</v>
      </c>
      <c r="B27" s="16" t="str">
        <f>IFERROR(__xludf.DUMMYFUNCTION("""COMPUTED_VALUE"""),"bend")</f>
        <v>bend</v>
      </c>
      <c r="C27" s="9" t="s">
        <v>3086</v>
      </c>
      <c r="D27" s="54" t="s">
        <v>3835</v>
      </c>
      <c r="E27" s="54" t="s">
        <v>3836</v>
      </c>
      <c r="F27" s="54" t="s">
        <v>3837</v>
      </c>
      <c r="G27" s="54" t="s">
        <v>3838</v>
      </c>
      <c r="H27" s="54" t="s">
        <v>3839</v>
      </c>
      <c r="I27" s="57" t="s">
        <v>3840</v>
      </c>
      <c r="J27" s="57" t="s">
        <v>3841</v>
      </c>
    </row>
    <row r="28">
      <c r="A28" s="53">
        <f>IFERROR(__xludf.DUMMYFUNCTION("""COMPUTED_VALUE"""),165.0)</f>
        <v>165</v>
      </c>
      <c r="B28" s="16" t="str">
        <f>IFERROR(__xludf.DUMMYFUNCTION("""COMPUTED_VALUE"""),"boiled")</f>
        <v>boiled</v>
      </c>
      <c r="C28" s="9" t="s">
        <v>3086</v>
      </c>
      <c r="D28" s="54" t="s">
        <v>3842</v>
      </c>
      <c r="E28" s="54" t="s">
        <v>3843</v>
      </c>
      <c r="F28" s="54" t="s">
        <v>3844</v>
      </c>
      <c r="G28" s="54" t="s">
        <v>3845</v>
      </c>
      <c r="H28" s="54" t="s">
        <v>3846</v>
      </c>
      <c r="I28" s="57" t="s">
        <v>3847</v>
      </c>
      <c r="J28" s="57" t="s">
        <v>3848</v>
      </c>
    </row>
    <row r="29">
      <c r="A29" s="53">
        <f>IFERROR(__xludf.DUMMYFUNCTION("""COMPUTED_VALUE"""),169.0)</f>
        <v>169</v>
      </c>
      <c r="B29" s="16" t="str">
        <f>IFERROR(__xludf.DUMMYFUNCTION("""COMPUTED_VALUE"""),"bounce")</f>
        <v>bounce</v>
      </c>
      <c r="C29" s="9" t="s">
        <v>3086</v>
      </c>
      <c r="D29" s="54" t="s">
        <v>3849</v>
      </c>
      <c r="E29" s="54" t="s">
        <v>3850</v>
      </c>
      <c r="F29" s="54" t="s">
        <v>3851</v>
      </c>
      <c r="G29" s="54" t="s">
        <v>3852</v>
      </c>
      <c r="H29" s="54" t="s">
        <v>3853</v>
      </c>
      <c r="I29" s="57" t="s">
        <v>3854</v>
      </c>
      <c r="J29" s="57" t="s">
        <v>3855</v>
      </c>
    </row>
    <row r="30">
      <c r="A30" s="53">
        <f>IFERROR(__xludf.DUMMYFUNCTION("""COMPUTED_VALUE"""),171.0)</f>
        <v>171</v>
      </c>
      <c r="B30" s="16" t="str">
        <f>IFERROR(__xludf.DUMMYFUNCTION("""COMPUTED_VALUE"""),"boxing")</f>
        <v>boxing</v>
      </c>
      <c r="C30" s="9" t="s">
        <v>3086</v>
      </c>
      <c r="D30" s="54" t="s">
        <v>3856</v>
      </c>
      <c r="E30" s="54" t="s">
        <v>3857</v>
      </c>
      <c r="F30" s="54" t="s">
        <v>3858</v>
      </c>
      <c r="G30" s="54" t="s">
        <v>3859</v>
      </c>
      <c r="H30" s="54" t="s">
        <v>3860</v>
      </c>
      <c r="I30" s="57" t="s">
        <v>3861</v>
      </c>
      <c r="J30" s="57" t="s">
        <v>3862</v>
      </c>
    </row>
    <row r="31">
      <c r="A31" s="53">
        <f>IFERROR(__xludf.DUMMYFUNCTION("""COMPUTED_VALUE"""),172.0)</f>
        <v>172</v>
      </c>
      <c r="B31" s="16" t="str">
        <f>IFERROR(__xludf.DUMMYFUNCTION("""COMPUTED_VALUE"""),"brainstorm")</f>
        <v>brainstorm</v>
      </c>
      <c r="C31" s="9" t="s">
        <v>3086</v>
      </c>
      <c r="D31" s="54" t="s">
        <v>3712</v>
      </c>
      <c r="E31" s="9" t="s">
        <v>3863</v>
      </c>
      <c r="F31" s="54" t="s">
        <v>3714</v>
      </c>
      <c r="G31" s="54" t="s">
        <v>3715</v>
      </c>
      <c r="H31" s="54" t="s">
        <v>3716</v>
      </c>
      <c r="I31" s="57" t="s">
        <v>3717</v>
      </c>
      <c r="J31" s="57" t="s">
        <v>3718</v>
      </c>
    </row>
    <row r="32">
      <c r="A32" s="53">
        <f>IFERROR(__xludf.DUMMYFUNCTION("""COMPUTED_VALUE"""),174.0)</f>
        <v>174</v>
      </c>
      <c r="B32" s="16" t="str">
        <f>IFERROR(__xludf.DUMMYFUNCTION("""COMPUTED_VALUE"""),"bread")</f>
        <v>bread</v>
      </c>
      <c r="C32" s="9" t="s">
        <v>3086</v>
      </c>
      <c r="D32" s="54" t="s">
        <v>3864</v>
      </c>
      <c r="E32" s="54" t="s">
        <v>3865</v>
      </c>
      <c r="F32" s="54" t="s">
        <v>3866</v>
      </c>
      <c r="G32" s="54" t="s">
        <v>3867</v>
      </c>
      <c r="H32" s="54" t="s">
        <v>3868</v>
      </c>
      <c r="I32" s="57" t="s">
        <v>3869</v>
      </c>
      <c r="J32" s="57" t="s">
        <v>3870</v>
      </c>
    </row>
    <row r="33">
      <c r="A33" s="53">
        <f>IFERROR(__xludf.DUMMYFUNCTION("""COMPUTED_VALUE"""),176.0)</f>
        <v>176</v>
      </c>
      <c r="B33" s="16" t="str">
        <f>IFERROR(__xludf.DUMMYFUNCTION("""COMPUTED_VALUE"""),"breakfast")</f>
        <v>breakfast</v>
      </c>
      <c r="C33" s="9" t="s">
        <v>3086</v>
      </c>
      <c r="D33" s="54" t="s">
        <v>3726</v>
      </c>
      <c r="E33" s="54" t="s">
        <v>3871</v>
      </c>
      <c r="F33" s="54" t="s">
        <v>3728</v>
      </c>
      <c r="G33" s="54" t="s">
        <v>3729</v>
      </c>
      <c r="H33" s="54" t="s">
        <v>3730</v>
      </c>
      <c r="I33" s="57" t="s">
        <v>3731</v>
      </c>
      <c r="J33" s="57" t="s">
        <v>3732</v>
      </c>
    </row>
    <row r="34">
      <c r="A34" s="53">
        <f>IFERROR(__xludf.DUMMYFUNCTION("""COMPUTED_VALUE"""),182.0)</f>
        <v>182</v>
      </c>
      <c r="B34" s="16" t="str">
        <f>IFERROR(__xludf.DUMMYFUNCTION("""COMPUTED_VALUE"""),"burn")</f>
        <v>burn</v>
      </c>
      <c r="C34" s="9" t="s">
        <v>3086</v>
      </c>
      <c r="D34" s="9" t="s">
        <v>3872</v>
      </c>
      <c r="E34" s="9" t="s">
        <v>3873</v>
      </c>
      <c r="F34" s="9" t="s">
        <v>3874</v>
      </c>
      <c r="G34" s="9" t="s">
        <v>3875</v>
      </c>
      <c r="H34" s="9" t="s">
        <v>3876</v>
      </c>
    </row>
    <row r="35">
      <c r="A35" s="53">
        <f>IFERROR(__xludf.DUMMYFUNCTION("""COMPUTED_VALUE"""),184.0)</f>
        <v>184</v>
      </c>
      <c r="B35" s="16" t="str">
        <f>IFERROR(__xludf.DUMMYFUNCTION("""COMPUTED_VALUE"""),"butter")</f>
        <v>butter</v>
      </c>
      <c r="C35" s="9" t="s">
        <v>3086</v>
      </c>
      <c r="D35" s="54" t="s">
        <v>3877</v>
      </c>
      <c r="E35" s="54" t="s">
        <v>3878</v>
      </c>
      <c r="F35" s="54" t="s">
        <v>3879</v>
      </c>
      <c r="G35" s="54" t="s">
        <v>3880</v>
      </c>
      <c r="H35" s="54" t="s">
        <v>3881</v>
      </c>
      <c r="I35" s="57" t="s">
        <v>3882</v>
      </c>
      <c r="J35" s="57" t="s">
        <v>3883</v>
      </c>
    </row>
    <row r="36">
      <c r="A36" s="53">
        <f>IFERROR(__xludf.DUMMYFUNCTION("""COMPUTED_VALUE"""),188.0)</f>
        <v>188</v>
      </c>
      <c r="B36" s="16" t="str">
        <f>IFERROR(__xludf.DUMMYFUNCTION("""COMPUTED_VALUE"""),"call")</f>
        <v>call</v>
      </c>
      <c r="I36" s="58"/>
      <c r="J36" s="58"/>
    </row>
    <row r="37">
      <c r="A37" s="53">
        <f>IFERROR(__xludf.DUMMYFUNCTION("""COMPUTED_VALUE"""),201.0)</f>
        <v>201</v>
      </c>
      <c r="B37" s="16" t="str">
        <f>IFERROR(__xludf.DUMMYFUNCTION("""COMPUTED_VALUE"""),"catch")</f>
        <v>catch</v>
      </c>
      <c r="I37" s="58"/>
      <c r="J37" s="58"/>
    </row>
    <row r="38">
      <c r="A38" s="53">
        <f>IFERROR(__xludf.DUMMYFUNCTION("""COMPUTED_VALUE"""),215.0)</f>
        <v>215</v>
      </c>
      <c r="B38" s="16" t="str">
        <f>IFERROR(__xludf.DUMMYFUNCTION("""COMPUTED_VALUE"""),"chasing")</f>
        <v>chasing</v>
      </c>
      <c r="I38" s="58"/>
      <c r="J38" s="58"/>
    </row>
    <row r="39">
      <c r="A39" s="53">
        <f>IFERROR(__xludf.DUMMYFUNCTION("""COMPUTED_VALUE"""),222.0)</f>
        <v>222</v>
      </c>
      <c r="B39" s="16" t="str">
        <f>IFERROR(__xludf.DUMMYFUNCTION("""COMPUTED_VALUE"""),"choose")</f>
        <v>choose</v>
      </c>
      <c r="I39" s="58"/>
      <c r="J39" s="58"/>
    </row>
    <row r="40">
      <c r="A40" s="53">
        <f>IFERROR(__xludf.DUMMYFUNCTION("""COMPUTED_VALUE"""),223.0)</f>
        <v>223</v>
      </c>
      <c r="B40" s="16" t="str">
        <f>IFERROR(__xludf.DUMMYFUNCTION("""COMPUTED_VALUE"""),"choreograph")</f>
        <v>choreograph</v>
      </c>
      <c r="I40" s="58"/>
      <c r="J40" s="58"/>
    </row>
    <row r="41">
      <c r="A41" s="53">
        <f>IFERROR(__xludf.DUMMYFUNCTION("""COMPUTED_VALUE"""),227.0)</f>
        <v>227</v>
      </c>
      <c r="B41" s="16" t="str">
        <f>IFERROR(__xludf.DUMMYFUNCTION("""COMPUTED_VALUE"""),"clap")</f>
        <v>clap</v>
      </c>
      <c r="I41" s="58"/>
      <c r="J41" s="58"/>
    </row>
    <row r="42">
      <c r="A42" s="53">
        <f>IFERROR(__xludf.DUMMYFUNCTION("""COMPUTED_VALUE"""),239.0)</f>
        <v>239</v>
      </c>
      <c r="B42" s="16" t="str">
        <f>IFERROR(__xludf.DUMMYFUNCTION("""COMPUTED_VALUE"""),"compare")</f>
        <v>compare</v>
      </c>
      <c r="I42" s="58"/>
      <c r="J42" s="58"/>
    </row>
    <row r="43">
      <c r="A43" s="53">
        <f>IFERROR(__xludf.DUMMYFUNCTION("""COMPUTED_VALUE"""),241.0)</f>
        <v>241</v>
      </c>
      <c r="B43" s="16" t="str">
        <f>IFERROR(__xludf.DUMMYFUNCTION("""COMPUTED_VALUE"""),"compose")</f>
        <v>compose</v>
      </c>
      <c r="I43" s="58"/>
      <c r="J43" s="58"/>
    </row>
    <row r="44">
      <c r="A44" s="53">
        <f>IFERROR(__xludf.DUMMYFUNCTION("""COMPUTED_VALUE"""),242.0)</f>
        <v>242</v>
      </c>
      <c r="B44" s="16" t="str">
        <f>IFERROR(__xludf.DUMMYFUNCTION("""COMPUTED_VALUE"""),"concentrate")</f>
        <v>concentrate</v>
      </c>
      <c r="I44" s="58"/>
      <c r="J44" s="58"/>
    </row>
    <row r="45">
      <c r="A45" s="53">
        <f>IFERROR(__xludf.DUMMYFUNCTION("""COMPUTED_VALUE"""),246.0)</f>
        <v>246</v>
      </c>
      <c r="B45" s="16" t="str">
        <f>IFERROR(__xludf.DUMMYFUNCTION("""COMPUTED_VALUE"""),"conflict")</f>
        <v>conflict</v>
      </c>
      <c r="I45" s="58"/>
      <c r="J45" s="58"/>
    </row>
    <row r="46">
      <c r="A46" s="53">
        <f>IFERROR(__xludf.DUMMYFUNCTION("""COMPUTED_VALUE"""),249.0)</f>
        <v>249</v>
      </c>
      <c r="B46" s="16" t="str">
        <f>IFERROR(__xludf.DUMMYFUNCTION("""COMPUTED_VALUE"""),"cool")</f>
        <v>cool</v>
      </c>
      <c r="I46" s="58"/>
      <c r="J46" s="58"/>
    </row>
    <row r="47">
      <c r="A47" s="53">
        <f>IFERROR(__xludf.DUMMYFUNCTION("""COMPUTED_VALUE"""),254.0)</f>
        <v>254</v>
      </c>
      <c r="B47" s="16" t="str">
        <f>IFERROR(__xludf.DUMMYFUNCTION("""COMPUTED_VALUE"""),"covet")</f>
        <v>covet</v>
      </c>
      <c r="I47" s="58"/>
      <c r="J47" s="58"/>
    </row>
    <row r="48">
      <c r="A48" s="53">
        <f>IFERROR(__xludf.DUMMYFUNCTION("""COMPUTED_VALUE"""),258.0)</f>
        <v>258</v>
      </c>
      <c r="B48" s="16" t="str">
        <f>IFERROR(__xludf.DUMMYFUNCTION("""COMPUTED_VALUE"""),"crave")</f>
        <v>crave</v>
      </c>
      <c r="I48" s="58"/>
      <c r="J48" s="58"/>
    </row>
    <row r="49">
      <c r="A49" s="53">
        <f>IFERROR(__xludf.DUMMYFUNCTION("""COMPUTED_VALUE"""),259.0)</f>
        <v>259</v>
      </c>
      <c r="B49" s="16" t="str">
        <f>IFERROR(__xludf.DUMMYFUNCTION("""COMPUTED_VALUE"""),"create")</f>
        <v>create</v>
      </c>
      <c r="I49" s="58"/>
      <c r="J49" s="58"/>
    </row>
    <row r="50">
      <c r="A50" s="53">
        <f>IFERROR(__xludf.DUMMYFUNCTION("""COMPUTED_VALUE"""),266.0)</f>
        <v>266</v>
      </c>
      <c r="B50" s="16" t="str">
        <f>IFERROR(__xludf.DUMMYFUNCTION("""COMPUTED_VALUE"""),"cry")</f>
        <v>cry</v>
      </c>
      <c r="I50" s="58"/>
      <c r="J50" s="58"/>
    </row>
    <row r="51">
      <c r="A51" s="53">
        <f>IFERROR(__xludf.DUMMYFUNCTION("""COMPUTED_VALUE"""),272.0)</f>
        <v>272</v>
      </c>
      <c r="B51" s="16" t="str">
        <f>IFERROR(__xludf.DUMMYFUNCTION("""COMPUTED_VALUE"""),"curved")</f>
        <v>curved</v>
      </c>
      <c r="I51" s="58"/>
      <c r="J51" s="58"/>
    </row>
    <row r="52">
      <c r="A52" s="53">
        <f>IFERROR(__xludf.DUMMYFUNCTION("""COMPUTED_VALUE"""),273.0)</f>
        <v>273</v>
      </c>
      <c r="B52" s="16" t="str">
        <f>IFERROR(__xludf.DUMMYFUNCTION("""COMPUTED_VALUE"""),"dance")</f>
        <v>dance</v>
      </c>
      <c r="I52" s="58"/>
      <c r="J52" s="58"/>
    </row>
    <row r="53">
      <c r="A53" s="53">
        <f>IFERROR(__xludf.DUMMYFUNCTION("""COMPUTED_VALUE"""),279.0)</f>
        <v>279</v>
      </c>
      <c r="B53" s="16" t="str">
        <f>IFERROR(__xludf.DUMMYFUNCTION("""COMPUTED_VALUE"""),"decide")</f>
        <v>decide</v>
      </c>
      <c r="I53" s="58"/>
      <c r="J53" s="58"/>
    </row>
    <row r="54">
      <c r="A54" s="53">
        <f>IFERROR(__xludf.DUMMYFUNCTION("""COMPUTED_VALUE"""),281.0)</f>
        <v>281</v>
      </c>
      <c r="B54" s="16" t="str">
        <f>IFERROR(__xludf.DUMMYFUNCTION("""COMPUTED_VALUE"""),"deed")</f>
        <v>deed</v>
      </c>
      <c r="I54" s="58"/>
      <c r="J54" s="58"/>
    </row>
    <row r="55">
      <c r="A55" s="53">
        <f>IFERROR(__xludf.DUMMYFUNCTION("""COMPUTED_VALUE"""),283.0)</f>
        <v>283</v>
      </c>
      <c r="B55" s="16" t="str">
        <f>IFERROR(__xludf.DUMMYFUNCTION("""COMPUTED_VALUE"""),"defecate")</f>
        <v>defecate</v>
      </c>
      <c r="I55" s="58"/>
      <c r="J55" s="58"/>
    </row>
    <row r="56">
      <c r="A56" s="53">
        <f>IFERROR(__xludf.DUMMYFUNCTION("""COMPUTED_VALUE"""),286.0)</f>
        <v>286</v>
      </c>
      <c r="B56" s="16" t="str">
        <f>IFERROR(__xludf.DUMMYFUNCTION("""COMPUTED_VALUE"""),"demand")</f>
        <v>demand</v>
      </c>
      <c r="I56" s="58"/>
      <c r="J56" s="58"/>
    </row>
    <row r="57">
      <c r="A57" s="53">
        <f>IFERROR(__xludf.DUMMYFUNCTION("""COMPUTED_VALUE"""),287.0)</f>
        <v>287</v>
      </c>
      <c r="B57" s="16" t="str">
        <f>IFERROR(__xludf.DUMMYFUNCTION("""COMPUTED_VALUE"""),"demonstrate")</f>
        <v>demonstrate</v>
      </c>
      <c r="I57" s="58"/>
      <c r="J57" s="58"/>
    </row>
    <row r="58">
      <c r="A58" s="53">
        <f>IFERROR(__xludf.DUMMYFUNCTION("""COMPUTED_VALUE"""),289.0)</f>
        <v>289</v>
      </c>
      <c r="B58" s="16" t="str">
        <f>IFERROR(__xludf.DUMMYFUNCTION("""COMPUTED_VALUE"""),"desire")</f>
        <v>desire</v>
      </c>
      <c r="I58" s="58"/>
      <c r="J58" s="58"/>
    </row>
    <row r="59">
      <c r="A59" s="53">
        <f>IFERROR(__xludf.DUMMYFUNCTION("""COMPUTED_VALUE"""),300.0)</f>
        <v>300</v>
      </c>
      <c r="B59" s="16" t="str">
        <f>IFERROR(__xludf.DUMMYFUNCTION("""COMPUTED_VALUE"""),"dislike")</f>
        <v>dislike</v>
      </c>
      <c r="I59" s="58"/>
      <c r="J59" s="58"/>
    </row>
    <row r="60">
      <c r="A60" s="53">
        <f>IFERROR(__xludf.DUMMYFUNCTION("""COMPUTED_VALUE"""),301.0)</f>
        <v>301</v>
      </c>
      <c r="B60" s="16" t="str">
        <f>IFERROR(__xludf.DUMMYFUNCTION("""COMPUTED_VALUE"""),"dodge")</f>
        <v>dodge</v>
      </c>
      <c r="I60" s="58"/>
      <c r="J60" s="58"/>
    </row>
    <row r="61">
      <c r="A61" s="53">
        <f>IFERROR(__xludf.DUMMYFUNCTION("""COMPUTED_VALUE"""),303.0)</f>
        <v>303</v>
      </c>
      <c r="B61" s="16" t="str">
        <f>IFERROR(__xludf.DUMMYFUNCTION("""COMPUTED_VALUE"""),"does")</f>
        <v>does</v>
      </c>
      <c r="I61" s="58"/>
      <c r="J61" s="58"/>
    </row>
    <row r="62">
      <c r="A62" s="53">
        <f>IFERROR(__xludf.DUMMYFUNCTION("""COMPUTED_VALUE"""),312.0)</f>
        <v>312</v>
      </c>
      <c r="B62" s="16" t="str">
        <f>IFERROR(__xludf.DUMMYFUNCTION("""COMPUTED_VALUE"""),"down")</f>
        <v>down</v>
      </c>
      <c r="I62" s="58"/>
      <c r="J62" s="58"/>
    </row>
    <row r="63">
      <c r="A63" s="53">
        <f>IFERROR(__xludf.DUMMYFUNCTION("""COMPUTED_VALUE"""),315.0)</f>
        <v>315</v>
      </c>
      <c r="B63" s="16" t="str">
        <f>IFERROR(__xludf.DUMMYFUNCTION("""COMPUTED_VALUE"""),"dream")</f>
        <v>dream</v>
      </c>
      <c r="I63" s="58"/>
      <c r="J63" s="58"/>
    </row>
    <row r="64">
      <c r="A64" s="53">
        <f>IFERROR(__xludf.DUMMYFUNCTION("""COMPUTED_VALUE"""),326.0)</f>
        <v>326</v>
      </c>
      <c r="B64" s="16" t="str">
        <f>IFERROR(__xludf.DUMMYFUNCTION("""COMPUTED_VALUE"""),"eat")</f>
        <v>eat</v>
      </c>
      <c r="I64" s="58"/>
      <c r="J64" s="58"/>
    </row>
    <row r="65">
      <c r="A65" s="53">
        <f>IFERROR(__xludf.DUMMYFUNCTION("""COMPUTED_VALUE"""),327.0)</f>
        <v>327</v>
      </c>
      <c r="B65" s="16" t="str">
        <f>IFERROR(__xludf.DUMMYFUNCTION("""COMPUTED_VALUE"""),"echo")</f>
        <v>echo</v>
      </c>
      <c r="I65" s="58"/>
      <c r="J65" s="58"/>
    </row>
    <row r="66">
      <c r="A66" s="53">
        <f>IFERROR(__xludf.DUMMYFUNCTION("""COMPUTED_VALUE"""),328.0)</f>
        <v>328</v>
      </c>
      <c r="B66" s="16" t="str">
        <f>IFERROR(__xludf.DUMMYFUNCTION("""COMPUTED_VALUE"""),"edit")</f>
        <v>edit</v>
      </c>
      <c r="I66" s="58"/>
      <c r="J66" s="58"/>
    </row>
    <row r="67">
      <c r="A67" s="53">
        <f>IFERROR(__xludf.DUMMYFUNCTION("""COMPUTED_VALUE"""),342.0)</f>
        <v>342</v>
      </c>
      <c r="B67" s="16" t="str">
        <f>IFERROR(__xludf.DUMMYFUNCTION("""COMPUTED_VALUE"""),"end")</f>
        <v>end</v>
      </c>
      <c r="I67" s="58"/>
      <c r="J67" s="58"/>
    </row>
    <row r="68">
      <c r="A68" s="53">
        <f>IFERROR(__xludf.DUMMYFUNCTION("""COMPUTED_VALUE"""),347.0)</f>
        <v>347</v>
      </c>
      <c r="B68" s="16" t="str">
        <f>IFERROR(__xludf.DUMMYFUNCTION("""COMPUTED_VALUE"""),"envision")</f>
        <v>envision</v>
      </c>
      <c r="I68" s="58"/>
      <c r="J68" s="58"/>
    </row>
    <row r="69">
      <c r="A69" s="53">
        <f>IFERROR(__xludf.DUMMYFUNCTION("""COMPUTED_VALUE"""),348.0)</f>
        <v>348</v>
      </c>
      <c r="B69" s="16" t="str">
        <f>IFERROR(__xludf.DUMMYFUNCTION("""COMPUTED_VALUE"""),"essential")</f>
        <v>essential</v>
      </c>
      <c r="I69" s="58"/>
      <c r="J69" s="58"/>
    </row>
    <row r="70">
      <c r="A70" s="53">
        <f>IFERROR(__xludf.DUMMYFUNCTION("""COMPUTED_VALUE"""),352.0)</f>
        <v>352</v>
      </c>
      <c r="B70" s="16" t="str">
        <f>IFERROR(__xludf.DUMMYFUNCTION("""COMPUTED_VALUE"""),"evacuate")</f>
        <v>evacuate</v>
      </c>
      <c r="I70" s="58"/>
      <c r="J70" s="58"/>
    </row>
    <row r="71">
      <c r="A71" s="53">
        <f>IFERROR(__xludf.DUMMYFUNCTION("""COMPUTED_VALUE"""),357.0)</f>
        <v>357</v>
      </c>
      <c r="B71" s="16" t="str">
        <f>IFERROR(__xludf.DUMMYFUNCTION("""COMPUTED_VALUE"""),"exercise")</f>
        <v>exercise</v>
      </c>
      <c r="I71" s="58"/>
      <c r="J71" s="58"/>
    </row>
    <row r="72">
      <c r="A72" s="53">
        <f>IFERROR(__xludf.DUMMYFUNCTION("""COMPUTED_VALUE"""),365.0)</f>
        <v>365</v>
      </c>
      <c r="B72" s="16" t="str">
        <f>IFERROR(__xludf.DUMMYFUNCTION("""COMPUTED_VALUE"""),"fancy")</f>
        <v>fancy</v>
      </c>
      <c r="I72" s="58"/>
      <c r="J72" s="58"/>
    </row>
    <row r="73">
      <c r="A73" s="53">
        <f>IFERROR(__xludf.DUMMYFUNCTION("""COMPUTED_VALUE"""),376.0)</f>
        <v>376</v>
      </c>
      <c r="B73" s="16" t="str">
        <f>IFERROR(__xludf.DUMMYFUNCTION("""COMPUTED_VALUE"""),"finished")</f>
        <v>finished</v>
      </c>
      <c r="I73" s="58"/>
      <c r="J73" s="58"/>
    </row>
    <row r="74">
      <c r="A74" s="53">
        <f>IFERROR(__xludf.DUMMYFUNCTION("""COMPUTED_VALUE"""),390.0)</f>
        <v>390</v>
      </c>
      <c r="B74" s="16" t="str">
        <f>IFERROR(__xludf.DUMMYFUNCTION("""COMPUTED_VALUE"""),"format")</f>
        <v>format</v>
      </c>
      <c r="I74" s="58"/>
      <c r="J74" s="58"/>
    </row>
    <row r="75">
      <c r="A75" s="53">
        <f>IFERROR(__xludf.DUMMYFUNCTION("""COMPUTED_VALUE"""),395.0)</f>
        <v>395</v>
      </c>
      <c r="B75" s="16" t="str">
        <f>IFERROR(__xludf.DUMMYFUNCTION("""COMPUTED_VALUE"""),"fried")</f>
        <v>fried</v>
      </c>
      <c r="I75" s="58"/>
      <c r="J75" s="58"/>
    </row>
    <row r="76">
      <c r="A76" s="53">
        <f>IFERROR(__xludf.DUMMYFUNCTION("""COMPUTED_VALUE"""),409.0)</f>
        <v>409</v>
      </c>
      <c r="B76" s="16" t="str">
        <f>IFERROR(__xludf.DUMMYFUNCTION("""COMPUTED_VALUE"""),"go")</f>
        <v>go</v>
      </c>
      <c r="I76" s="58"/>
      <c r="J76" s="58"/>
    </row>
    <row r="77">
      <c r="A77" s="53">
        <f>IFERROR(__xludf.DUMMYFUNCTION("""COMPUTED_VALUE"""),429.0)</f>
        <v>429</v>
      </c>
      <c r="B77" s="16" t="str">
        <f>IFERROR(__xludf.DUMMYFUNCTION("""COMPUTED_VALUE"""),"group")</f>
        <v>group</v>
      </c>
      <c r="I77" s="58"/>
      <c r="J77" s="58"/>
    </row>
    <row r="78">
      <c r="A78" s="53">
        <f>IFERROR(__xludf.DUMMYFUNCTION("""COMPUTED_VALUE"""),431.0)</f>
        <v>431</v>
      </c>
      <c r="B78" s="16" t="str">
        <f>IFERROR(__xludf.DUMMYFUNCTION("""COMPUTED_VALUE"""),"grow")</f>
        <v>grow</v>
      </c>
      <c r="I78" s="58"/>
      <c r="J78" s="58"/>
    </row>
    <row r="79">
      <c r="A79" s="53">
        <f>IFERROR(__xludf.DUMMYFUNCTION("""COMPUTED_VALUE"""),442.0)</f>
        <v>442</v>
      </c>
      <c r="B79" s="16" t="str">
        <f>IFERROR(__xludf.DUMMYFUNCTION("""COMPUTED_VALUE"""),"have")</f>
        <v>have</v>
      </c>
      <c r="I79" s="58"/>
      <c r="J79" s="58"/>
    </row>
    <row r="80">
      <c r="A80" s="53">
        <f>IFERROR(__xludf.DUMMYFUNCTION("""COMPUTED_VALUE"""),449.0)</f>
        <v>449</v>
      </c>
      <c r="B80" s="16" t="str">
        <f>IFERROR(__xludf.DUMMYFUNCTION("""COMPUTED_VALUE"""),"help")</f>
        <v>help</v>
      </c>
      <c r="I80" s="58"/>
      <c r="J80" s="58"/>
    </row>
    <row r="81">
      <c r="A81" s="53">
        <f>IFERROR(__xludf.DUMMYFUNCTION("""COMPUTED_VALUE"""),465.0)</f>
        <v>465</v>
      </c>
      <c r="B81" s="16" t="str">
        <f>IFERROR(__xludf.DUMMYFUNCTION("""COMPUTED_VALUE"""),"hope")</f>
        <v>hope</v>
      </c>
      <c r="I81" s="58"/>
      <c r="J81" s="58"/>
    </row>
    <row r="82">
      <c r="A82" s="53">
        <f>IFERROR(__xludf.DUMMYFUNCTION("""COMPUTED_VALUE"""),472.0)</f>
        <v>472</v>
      </c>
      <c r="B82" s="16" t="str">
        <f>IFERROR(__xludf.DUMMYFUNCTION("""COMPUTED_VALUE"""),"hunger")</f>
        <v>hunger</v>
      </c>
      <c r="I82" s="58"/>
      <c r="J82" s="58"/>
    </row>
    <row r="83">
      <c r="A83" s="53">
        <f>IFERROR(__xludf.DUMMYFUNCTION("""COMPUTED_VALUE"""),481.0)</f>
        <v>481</v>
      </c>
      <c r="B83" s="16" t="str">
        <f>IFERROR(__xludf.DUMMYFUNCTION("""COMPUTED_VALUE"""),"illustrate")</f>
        <v>illustrate</v>
      </c>
      <c r="I83" s="58"/>
      <c r="J83" s="58"/>
    </row>
    <row r="84">
      <c r="A84" s="53">
        <f>IFERROR(__xludf.DUMMYFUNCTION("""COMPUTED_VALUE"""),484.0)</f>
        <v>484</v>
      </c>
      <c r="B84" s="16" t="str">
        <f>IFERROR(__xludf.DUMMYFUNCTION("""COMPUTED_VALUE"""),"imagine")</f>
        <v>imagine</v>
      </c>
      <c r="I84" s="58"/>
      <c r="J84" s="58"/>
    </row>
    <row r="85">
      <c r="A85" s="53">
        <f>IFERROR(__xludf.DUMMYFUNCTION("""COMPUTED_VALUE"""),485.0)</f>
        <v>485</v>
      </c>
      <c r="B85" s="16" t="str">
        <f>IFERROR(__xludf.DUMMYFUNCTION("""COMPUTED_VALUE"""),"imitate")</f>
        <v>imitate</v>
      </c>
      <c r="I85" s="58"/>
      <c r="J85" s="58"/>
    </row>
    <row r="86">
      <c r="A86" s="53">
        <f>IFERROR(__xludf.DUMMYFUNCTION("""COMPUTED_VALUE"""),487.0)</f>
        <v>487</v>
      </c>
      <c r="B86" s="16" t="str">
        <f>IFERROR(__xludf.DUMMYFUNCTION("""COMPUTED_VALUE"""),"implore")</f>
        <v>implore</v>
      </c>
      <c r="I86" s="58"/>
      <c r="J86" s="58"/>
    </row>
    <row r="87">
      <c r="A87" s="53">
        <f>IFERROR(__xludf.DUMMYFUNCTION("""COMPUTED_VALUE"""),498.0)</f>
        <v>498</v>
      </c>
      <c r="B87" s="16" t="str">
        <f>IFERROR(__xludf.DUMMYFUNCTION("""COMPUTED_VALUE"""),"insist")</f>
        <v>insist</v>
      </c>
      <c r="I87" s="58"/>
      <c r="J87" s="58"/>
    </row>
    <row r="88">
      <c r="A88" s="53">
        <f>IFERROR(__xludf.DUMMYFUNCTION("""COMPUTED_VALUE"""),504.0)</f>
        <v>504</v>
      </c>
      <c r="B88" s="16" t="str">
        <f>IFERROR(__xludf.DUMMYFUNCTION("""COMPUTED_VALUE"""),"interviews")</f>
        <v>interviews</v>
      </c>
      <c r="I88" s="58"/>
      <c r="J88" s="58"/>
    </row>
    <row r="89">
      <c r="A89" s="53">
        <f>IFERROR(__xludf.DUMMYFUNCTION("""COMPUTED_VALUE"""),507.0)</f>
        <v>507</v>
      </c>
      <c r="B89" s="16" t="str">
        <f>IFERROR(__xludf.DUMMYFUNCTION("""COMPUTED_VALUE"""),"is")</f>
        <v>is</v>
      </c>
      <c r="I89" s="58"/>
      <c r="J89" s="58"/>
    </row>
    <row r="90">
      <c r="A90" s="53">
        <f>IFERROR(__xludf.DUMMYFUNCTION("""COMPUTED_VALUE"""),519.0)</f>
        <v>519</v>
      </c>
      <c r="B90" s="16" t="str">
        <f>IFERROR(__xludf.DUMMYFUNCTION("""COMPUTED_VALUE"""),"jump")</f>
        <v>jump</v>
      </c>
      <c r="I90" s="58"/>
      <c r="J90" s="58"/>
    </row>
    <row r="91">
      <c r="A91" s="53">
        <f>IFERROR(__xludf.DUMMYFUNCTION("""COMPUTED_VALUE"""),523.0)</f>
        <v>523</v>
      </c>
      <c r="B91" s="16" t="str">
        <f>IFERROR(__xludf.DUMMYFUNCTION("""COMPUTED_VALUE"""),"kick")</f>
        <v>kick</v>
      </c>
      <c r="I91" s="58"/>
      <c r="J91" s="58"/>
    </row>
    <row r="92">
      <c r="A92" s="53">
        <f>IFERROR(__xludf.DUMMYFUNCTION("""COMPUTED_VALUE"""),531.0)</f>
        <v>531</v>
      </c>
      <c r="B92" s="16" t="str">
        <f>IFERROR(__xludf.DUMMYFUNCTION("""COMPUTED_VALUE"""),"knit")</f>
        <v>knit</v>
      </c>
      <c r="I92" s="58"/>
      <c r="J92" s="58"/>
    </row>
    <row r="93">
      <c r="A93" s="53">
        <f>IFERROR(__xludf.DUMMYFUNCTION("""COMPUTED_VALUE"""),546.0)</f>
        <v>546</v>
      </c>
      <c r="B93" s="16" t="str">
        <f>IFERROR(__xludf.DUMMYFUNCTION("""COMPUTED_VALUE"""),"left")</f>
        <v>left</v>
      </c>
      <c r="I93" s="58"/>
      <c r="J93" s="58"/>
    </row>
    <row r="94">
      <c r="A94" s="53">
        <f>IFERROR(__xludf.DUMMYFUNCTION("""COMPUTED_VALUE"""),555.0)</f>
        <v>555</v>
      </c>
      <c r="B94" s="16" t="str">
        <f>IFERROR(__xludf.DUMMYFUNCTION("""COMPUTED_VALUE"""),"light")</f>
        <v>light</v>
      </c>
      <c r="I94" s="58"/>
      <c r="J94" s="58"/>
    </row>
    <row r="95">
      <c r="A95" s="53">
        <f>IFERROR(__xludf.DUMMYFUNCTION("""COMPUTED_VALUE"""),566.0)</f>
        <v>566</v>
      </c>
      <c r="B95" s="16" t="str">
        <f>IFERROR(__xludf.DUMMYFUNCTION("""COMPUTED_VALUE"""),"like")</f>
        <v>like</v>
      </c>
      <c r="I95" s="58"/>
      <c r="J95" s="58"/>
    </row>
    <row r="96">
      <c r="A96" s="53">
        <f>IFERROR(__xludf.DUMMYFUNCTION("""COMPUTED_VALUE"""),572.0)</f>
        <v>572</v>
      </c>
      <c r="B96" s="16" t="str">
        <f>IFERROR(__xludf.DUMMYFUNCTION("""COMPUTED_VALUE"""),"listening")</f>
        <v>listening</v>
      </c>
      <c r="I96" s="58"/>
      <c r="J96" s="58"/>
    </row>
    <row r="97">
      <c r="A97" s="53">
        <f>IFERROR(__xludf.DUMMYFUNCTION("""COMPUTED_VALUE"""),578.0)</f>
        <v>578</v>
      </c>
      <c r="B97" s="16" t="str">
        <f>IFERROR(__xludf.DUMMYFUNCTION("""COMPUTED_VALUE"""),"long")</f>
        <v>long</v>
      </c>
      <c r="I97" s="58"/>
      <c r="J97" s="58"/>
    </row>
    <row r="98">
      <c r="A98" s="53">
        <f>IFERROR(__xludf.DUMMYFUNCTION("""COMPUTED_VALUE"""),580.0)</f>
        <v>580</v>
      </c>
      <c r="B98" s="16" t="str">
        <f>IFERROR(__xludf.DUMMYFUNCTION("""COMPUTED_VALUE"""),"looping")</f>
        <v>looping</v>
      </c>
      <c r="I98" s="58"/>
      <c r="J98" s="58"/>
    </row>
    <row r="99">
      <c r="A99" s="53">
        <f>IFERROR(__xludf.DUMMYFUNCTION("""COMPUTED_VALUE"""),583.0)</f>
        <v>583</v>
      </c>
      <c r="B99" s="16" t="str">
        <f>IFERROR(__xludf.DUMMYFUNCTION("""COMPUTED_VALUE"""),"lunch")</f>
        <v>lunch</v>
      </c>
      <c r="I99" s="58"/>
      <c r="J99" s="58"/>
    </row>
    <row r="100">
      <c r="A100" s="53">
        <f>IFERROR(__xludf.DUMMYFUNCTION("""COMPUTED_VALUE"""),590.0)</f>
        <v>590</v>
      </c>
      <c r="B100" s="16" t="str">
        <f>IFERROR(__xludf.DUMMYFUNCTION("""COMPUTED_VALUE"""),"march")</f>
        <v>march</v>
      </c>
      <c r="I100" s="58"/>
      <c r="J100" s="58"/>
    </row>
    <row r="101">
      <c r="A101" s="53">
        <f>IFERROR(__xludf.DUMMYFUNCTION("""COMPUTED_VALUE"""),605.0)</f>
        <v>605</v>
      </c>
      <c r="B101" s="16" t="str">
        <f>IFERROR(__xludf.DUMMYFUNCTION("""COMPUTED_VALUE"""),"mime")</f>
        <v>mime</v>
      </c>
      <c r="I101" s="58"/>
      <c r="J101" s="58"/>
    </row>
    <row r="102">
      <c r="A102" s="53">
        <f>IFERROR(__xludf.DUMMYFUNCTION("""COMPUTED_VALUE"""),630.0)</f>
        <v>630</v>
      </c>
      <c r="B102" s="16" t="str">
        <f>IFERROR(__xludf.DUMMYFUNCTION("""COMPUTED_VALUE"""),"narrow")</f>
        <v>narrow</v>
      </c>
      <c r="I102" s="58"/>
      <c r="J102" s="58"/>
    </row>
    <row r="103">
      <c r="A103" s="53">
        <f>IFERROR(__xludf.DUMMYFUNCTION("""COMPUTED_VALUE"""),633.0)</f>
        <v>633</v>
      </c>
      <c r="B103" s="16" t="str">
        <f>IFERROR(__xludf.DUMMYFUNCTION("""COMPUTED_VALUE"""),"necessity")</f>
        <v>necessity</v>
      </c>
      <c r="I103" s="58"/>
      <c r="J103" s="58"/>
    </row>
    <row r="104">
      <c r="A104" s="53">
        <f>IFERROR(__xludf.DUMMYFUNCTION("""COMPUTED_VALUE"""),635.0)</f>
        <v>635</v>
      </c>
      <c r="B104" s="16" t="str">
        <f>IFERROR(__xludf.DUMMYFUNCTION("""COMPUTED_VALUE"""),"need")</f>
        <v>need</v>
      </c>
      <c r="I104" s="58"/>
      <c r="J104" s="58"/>
    </row>
    <row r="105">
      <c r="A105" s="53">
        <f>IFERROR(__xludf.DUMMYFUNCTION("""COMPUTED_VALUE"""),680.0)</f>
        <v>680</v>
      </c>
      <c r="B105" s="16" t="str">
        <f>IFERROR(__xludf.DUMMYFUNCTION("""COMPUTED_VALUE"""),"parent")</f>
        <v>parent</v>
      </c>
      <c r="I105" s="58"/>
      <c r="J105" s="58"/>
    </row>
    <row r="106">
      <c r="A106" s="53">
        <f>IFERROR(__xludf.DUMMYFUNCTION("""COMPUTED_VALUE"""),683.0)</f>
        <v>683</v>
      </c>
      <c r="B106" s="16" t="str">
        <f>IFERROR(__xludf.DUMMYFUNCTION("""COMPUTED_VALUE"""),"perform")</f>
        <v>perform</v>
      </c>
      <c r="I106" s="58"/>
      <c r="J106" s="58"/>
    </row>
    <row r="107">
      <c r="A107" s="53">
        <f>IFERROR(__xludf.DUMMYFUNCTION("""COMPUTED_VALUE"""),696.0)</f>
        <v>696</v>
      </c>
      <c r="B107" s="16" t="str">
        <f>IFERROR(__xludf.DUMMYFUNCTION("""COMPUTED_VALUE"""),"pitch")</f>
        <v>pitch</v>
      </c>
      <c r="I107" s="58"/>
      <c r="J107" s="58"/>
    </row>
    <row r="108">
      <c r="A108" s="53">
        <f>IFERROR(__xludf.DUMMYFUNCTION("""COMPUTED_VALUE"""),697.0)</f>
        <v>697</v>
      </c>
      <c r="B108" s="16" t="str">
        <f>IFERROR(__xludf.DUMMYFUNCTION("""COMPUTED_VALUE"""),"plan")</f>
        <v>plan</v>
      </c>
      <c r="I108" s="58"/>
      <c r="J108" s="58"/>
    </row>
    <row r="109">
      <c r="A109" s="53">
        <f>IFERROR(__xludf.DUMMYFUNCTION("""COMPUTED_VALUE"""),699.0)</f>
        <v>699</v>
      </c>
      <c r="B109" s="16" t="str">
        <f>IFERROR(__xludf.DUMMYFUNCTION("""COMPUTED_VALUE"""),"play")</f>
        <v>play</v>
      </c>
      <c r="I109" s="58"/>
      <c r="J109" s="58"/>
    </row>
    <row r="110">
      <c r="A110" s="53">
        <f>IFERROR(__xludf.DUMMYFUNCTION("""COMPUTED_VALUE"""),702.0)</f>
        <v>702</v>
      </c>
      <c r="B110" s="16" t="str">
        <f>IFERROR(__xludf.DUMMYFUNCTION("""COMPUTED_VALUE"""),"plead")</f>
        <v>plead</v>
      </c>
      <c r="I110" s="58"/>
      <c r="J110" s="58"/>
    </row>
    <row r="111">
      <c r="A111" s="53">
        <f>IFERROR(__xludf.DUMMYFUNCTION("""COMPUTED_VALUE"""),703.0)</f>
        <v>703</v>
      </c>
      <c r="B111" s="16" t="str">
        <f>IFERROR(__xludf.DUMMYFUNCTION("""COMPUTED_VALUE"""),"plot")</f>
        <v>plot</v>
      </c>
      <c r="I111" s="58"/>
      <c r="J111" s="58"/>
    </row>
    <row r="112">
      <c r="A112" s="53">
        <f>IFERROR(__xludf.DUMMYFUNCTION("""COMPUTED_VALUE"""),704.0)</f>
        <v>704</v>
      </c>
      <c r="B112" s="16" t="str">
        <f>IFERROR(__xludf.DUMMYFUNCTION("""COMPUTED_VALUE"""),"pluralization")</f>
        <v>pluralization</v>
      </c>
      <c r="I112" s="58"/>
      <c r="J112" s="58"/>
    </row>
    <row r="113">
      <c r="A113" s="53">
        <f>IFERROR(__xludf.DUMMYFUNCTION("""COMPUTED_VALUE"""),708.0)</f>
        <v>708</v>
      </c>
      <c r="B113" s="16" t="str">
        <f>IFERROR(__xludf.DUMMYFUNCTION("""COMPUTED_VALUE"""),"poison")</f>
        <v>poison</v>
      </c>
      <c r="I113" s="58"/>
      <c r="J113" s="58"/>
    </row>
    <row r="114">
      <c r="A114" s="53">
        <f>IFERROR(__xludf.DUMMYFUNCTION("""COMPUTED_VALUE"""),716.0)</f>
        <v>716</v>
      </c>
      <c r="B114" s="16" t="str">
        <f>IFERROR(__xludf.DUMMYFUNCTION("""COMPUTED_VALUE"""),"praise")</f>
        <v>praise</v>
      </c>
      <c r="I114" s="58"/>
      <c r="J114" s="58"/>
    </row>
    <row r="115">
      <c r="A115" s="53">
        <f>IFERROR(__xludf.DUMMYFUNCTION("""COMPUTED_VALUE"""),720.0)</f>
        <v>720</v>
      </c>
      <c r="B115" s="16" t="str">
        <f>IFERROR(__xludf.DUMMYFUNCTION("""COMPUTED_VALUE"""),"prefer")</f>
        <v>prefer</v>
      </c>
      <c r="I115" s="58"/>
      <c r="J115" s="58"/>
    </row>
    <row r="116">
      <c r="A116" s="53">
        <f>IFERROR(__xludf.DUMMYFUNCTION("""COMPUTED_VALUE"""),726.0)</f>
        <v>726</v>
      </c>
      <c r="B116" s="16" t="str">
        <f>IFERROR(__xludf.DUMMYFUNCTION("""COMPUTED_VALUE"""),"pretty")</f>
        <v>pretty</v>
      </c>
      <c r="I116" s="58"/>
      <c r="J116" s="58"/>
    </row>
    <row r="117">
      <c r="A117" s="53">
        <f>IFERROR(__xludf.DUMMYFUNCTION("""COMPUTED_VALUE"""),727.0)</f>
        <v>727</v>
      </c>
      <c r="B117" s="16" t="str">
        <f>IFERROR(__xludf.DUMMYFUNCTION("""COMPUTED_VALUE"""),"print")</f>
        <v>print</v>
      </c>
      <c r="I117" s="58"/>
      <c r="J117" s="58"/>
    </row>
    <row r="118">
      <c r="A118" s="53">
        <f>IFERROR(__xludf.DUMMYFUNCTION("""COMPUTED_VALUE"""),731.0)</f>
        <v>731</v>
      </c>
      <c r="B118" s="16" t="str">
        <f>IFERROR(__xludf.DUMMYFUNCTION("""COMPUTED_VALUE"""),"proof-read")</f>
        <v>proof-read</v>
      </c>
      <c r="I118" s="58"/>
      <c r="J118" s="58"/>
    </row>
    <row r="119">
      <c r="A119" s="53">
        <f>IFERROR(__xludf.DUMMYFUNCTION("""COMPUTED_VALUE"""),737.0)</f>
        <v>737</v>
      </c>
      <c r="B119" s="16" t="str">
        <f>IFERROR(__xludf.DUMMYFUNCTION("""COMPUTED_VALUE"""),"purse")</f>
        <v>purse</v>
      </c>
      <c r="I119" s="58"/>
      <c r="J119" s="58"/>
    </row>
    <row r="120">
      <c r="A120" s="53">
        <f>IFERROR(__xludf.DUMMYFUNCTION("""COMPUTED_VALUE"""),741.0)</f>
        <v>741</v>
      </c>
      <c r="B120" s="16" t="str">
        <f>IFERROR(__xludf.DUMMYFUNCTION("""COMPUTED_VALUE"""),"rare")</f>
        <v>rare</v>
      </c>
      <c r="I120" s="58"/>
      <c r="J120" s="58"/>
    </row>
    <row r="121">
      <c r="A121" s="53">
        <f>IFERROR(__xludf.DUMMYFUNCTION("""COMPUTED_VALUE"""),744.0)</f>
        <v>744</v>
      </c>
      <c r="B121" s="16" t="str">
        <f>IFERROR(__xludf.DUMMYFUNCTION("""COMPUTED_VALUE"""),"read")</f>
        <v>read</v>
      </c>
      <c r="I121" s="58"/>
      <c r="J121" s="58"/>
    </row>
    <row r="122">
      <c r="A122" s="53">
        <f>IFERROR(__xludf.DUMMYFUNCTION("""COMPUTED_VALUE"""),747.0)</f>
        <v>747</v>
      </c>
      <c r="B122" s="16" t="str">
        <f>IFERROR(__xludf.DUMMYFUNCTION("""COMPUTED_VALUE"""),"read")</f>
        <v>read</v>
      </c>
      <c r="I122" s="58"/>
      <c r="J122" s="58"/>
    </row>
    <row r="123">
      <c r="A123" s="53">
        <f>IFERROR(__xludf.DUMMYFUNCTION("""COMPUTED_VALUE"""),748.0)</f>
        <v>748</v>
      </c>
      <c r="B123" s="16" t="str">
        <f>IFERROR(__xludf.DUMMYFUNCTION("""COMPUTED_VALUE"""),"record")</f>
        <v>record</v>
      </c>
      <c r="I123" s="58"/>
      <c r="J123" s="58"/>
    </row>
    <row r="124">
      <c r="A124" s="53">
        <f>IFERROR(__xludf.DUMMYFUNCTION("""COMPUTED_VALUE"""),755.0)</f>
        <v>755</v>
      </c>
      <c r="B124" s="16" t="str">
        <f>IFERROR(__xludf.DUMMYFUNCTION("""COMPUTED_VALUE"""),"rehearse")</f>
        <v>rehearse</v>
      </c>
      <c r="I124" s="58"/>
      <c r="J124" s="58"/>
    </row>
    <row r="125">
      <c r="A125" s="53">
        <f>IFERROR(__xludf.DUMMYFUNCTION("""COMPUTED_VALUE"""),756.0)</f>
        <v>756</v>
      </c>
      <c r="B125" s="16" t="str">
        <f>IFERROR(__xludf.DUMMYFUNCTION("""COMPUTED_VALUE"""),"relating")</f>
        <v>relating</v>
      </c>
      <c r="I125" s="58"/>
      <c r="J125" s="58"/>
    </row>
    <row r="126">
      <c r="A126" s="53">
        <f>IFERROR(__xludf.DUMMYFUNCTION("""COMPUTED_VALUE"""),759.0)</f>
        <v>759</v>
      </c>
      <c r="B126" s="16" t="str">
        <f>IFERROR(__xludf.DUMMYFUNCTION("""COMPUTED_VALUE"""),"report")</f>
        <v>report</v>
      </c>
      <c r="I126" s="58"/>
      <c r="J126" s="58"/>
    </row>
    <row r="127">
      <c r="A127" s="53">
        <f>IFERROR(__xludf.DUMMYFUNCTION("""COMPUTED_VALUE"""),762.0)</f>
        <v>762</v>
      </c>
      <c r="B127" s="16" t="str">
        <f>IFERROR(__xludf.DUMMYFUNCTION("""COMPUTED_VALUE"""),"request")</f>
        <v>request</v>
      </c>
      <c r="I127" s="58"/>
      <c r="J127" s="58"/>
    </row>
    <row r="128">
      <c r="A128" s="53">
        <f>IFERROR(__xludf.DUMMYFUNCTION("""COMPUTED_VALUE"""),763.0)</f>
        <v>763</v>
      </c>
      <c r="B128" s="16" t="str">
        <f>IFERROR(__xludf.DUMMYFUNCTION("""COMPUTED_VALUE"""),"require")</f>
        <v>require</v>
      </c>
      <c r="I128" s="58"/>
      <c r="J128" s="58"/>
    </row>
    <row r="129">
      <c r="A129" s="53">
        <f>IFERROR(__xludf.DUMMYFUNCTION("""COMPUTED_VALUE"""),764.0)</f>
        <v>764</v>
      </c>
      <c r="B129" s="16" t="str">
        <f>IFERROR(__xludf.DUMMYFUNCTION("""COMPUTED_VALUE"""),"rescue")</f>
        <v>rescue</v>
      </c>
      <c r="I129" s="58"/>
      <c r="J129" s="58"/>
    </row>
    <row r="130">
      <c r="A130" s="53">
        <f>IFERROR(__xludf.DUMMYFUNCTION("""COMPUTED_VALUE"""),766.0)</f>
        <v>766</v>
      </c>
      <c r="B130" s="16" t="str">
        <f>IFERROR(__xludf.DUMMYFUNCTION("""COMPUTED_VALUE"""),"rhyme")</f>
        <v>rhyme</v>
      </c>
      <c r="I130" s="58"/>
      <c r="J130" s="58"/>
    </row>
    <row r="131">
      <c r="A131" s="53">
        <f>IFERROR(__xludf.DUMMYFUNCTION("""COMPUTED_VALUE"""),781.0)</f>
        <v>781</v>
      </c>
      <c r="B131" s="16" t="str">
        <f>IFERROR(__xludf.DUMMYFUNCTION("""COMPUTED_VALUE"""),"round")</f>
        <v>round</v>
      </c>
      <c r="I131" s="58"/>
      <c r="J131" s="58"/>
    </row>
    <row r="132">
      <c r="A132" s="53">
        <f>IFERROR(__xludf.DUMMYFUNCTION("""COMPUTED_VALUE"""),783.0)</f>
        <v>783</v>
      </c>
      <c r="B132" s="16" t="str">
        <f>IFERROR(__xludf.DUMMYFUNCTION("""COMPUTED_VALUE"""),"run")</f>
        <v>run</v>
      </c>
      <c r="I132" s="58"/>
      <c r="J132" s="58"/>
    </row>
    <row r="133">
      <c r="A133" s="53">
        <f>IFERROR(__xludf.DUMMYFUNCTION("""COMPUTED_VALUE"""),790.0)</f>
        <v>790</v>
      </c>
      <c r="B133" s="16" t="str">
        <f>IFERROR(__xludf.DUMMYFUNCTION("""COMPUTED_VALUE"""),"scanning")</f>
        <v>scanning</v>
      </c>
      <c r="I133" s="58"/>
      <c r="J133" s="58"/>
    </row>
    <row r="134">
      <c r="A134" s="53">
        <f>IFERROR(__xludf.DUMMYFUNCTION("""COMPUTED_VALUE"""),796.0)</f>
        <v>796</v>
      </c>
      <c r="B134" s="16" t="str">
        <f>IFERROR(__xludf.DUMMYFUNCTION("""COMPUTED_VALUE"""),"score")</f>
        <v>score</v>
      </c>
      <c r="I134" s="58"/>
      <c r="J134" s="58"/>
    </row>
    <row r="135">
      <c r="A135" s="53">
        <f>IFERROR(__xludf.DUMMYFUNCTION("""COMPUTED_VALUE"""),797.0)</f>
        <v>797</v>
      </c>
      <c r="B135" s="16" t="str">
        <f>IFERROR(__xludf.DUMMYFUNCTION("""COMPUTED_VALUE"""),"scream")</f>
        <v>scream</v>
      </c>
      <c r="I135" s="58"/>
      <c r="J135" s="58"/>
    </row>
    <row r="136">
      <c r="A136" s="53">
        <f>IFERROR(__xludf.DUMMYFUNCTION("""COMPUTED_VALUE"""),798.0)</f>
        <v>798</v>
      </c>
      <c r="B136" s="16" t="str">
        <f>IFERROR(__xludf.DUMMYFUNCTION("""COMPUTED_VALUE"""),"screech")</f>
        <v>screech</v>
      </c>
      <c r="I136" s="58"/>
      <c r="J136" s="58"/>
    </row>
    <row r="137">
      <c r="A137" s="53">
        <f>IFERROR(__xludf.DUMMYFUNCTION("""COMPUTED_VALUE"""),800.0)</f>
        <v>800</v>
      </c>
      <c r="B137" s="16" t="str">
        <f>IFERROR(__xludf.DUMMYFUNCTION("""COMPUTED_VALUE"""),"see")</f>
        <v>see</v>
      </c>
      <c r="I137" s="58"/>
      <c r="J137" s="58"/>
    </row>
    <row r="138">
      <c r="A138" s="53">
        <f>IFERROR(__xludf.DUMMYFUNCTION("""COMPUTED_VALUE"""),802.0)</f>
        <v>802</v>
      </c>
      <c r="B138" s="16" t="str">
        <f>IFERROR(__xludf.DUMMYFUNCTION("""COMPUTED_VALUE"""),"seek")</f>
        <v>seek</v>
      </c>
      <c r="I138" s="58"/>
      <c r="J138" s="58"/>
    </row>
    <row r="139">
      <c r="A139" s="53">
        <f>IFERROR(__xludf.DUMMYFUNCTION("""COMPUTED_VALUE"""),804.0)</f>
        <v>804</v>
      </c>
      <c r="B139" s="16" t="str">
        <f>IFERROR(__xludf.DUMMYFUNCTION("""COMPUTED_VALUE"""),"select")</f>
        <v>select</v>
      </c>
      <c r="I139" s="58"/>
      <c r="J139" s="58"/>
    </row>
    <row r="140">
      <c r="A140" s="53">
        <f>IFERROR(__xludf.DUMMYFUNCTION("""COMPUTED_VALUE"""),812.0)</f>
        <v>812</v>
      </c>
      <c r="B140" s="16" t="str">
        <f>IFERROR(__xludf.DUMMYFUNCTION("""COMPUTED_VALUE"""),"set")</f>
        <v>set</v>
      </c>
      <c r="I140" s="58"/>
      <c r="J140" s="58"/>
    </row>
    <row r="141">
      <c r="A141" s="53">
        <f>IFERROR(__xludf.DUMMYFUNCTION("""COMPUTED_VALUE"""),814.0)</f>
        <v>814</v>
      </c>
      <c r="B141" s="16" t="str">
        <f>IFERROR(__xludf.DUMMYFUNCTION("""COMPUTED_VALUE"""),"sew")</f>
        <v>sew</v>
      </c>
      <c r="I141" s="58"/>
      <c r="J141" s="58"/>
    </row>
    <row r="142">
      <c r="A142" s="53">
        <f>IFERROR(__xludf.DUMMYFUNCTION("""COMPUTED_VALUE"""),815.0)</f>
        <v>815</v>
      </c>
      <c r="B142" s="16" t="str">
        <f>IFERROR(__xludf.DUMMYFUNCTION("""COMPUTED_VALUE"""),"share")</f>
        <v>share</v>
      </c>
      <c r="I142" s="58"/>
      <c r="J142" s="58"/>
    </row>
    <row r="143">
      <c r="A143" s="53">
        <f>IFERROR(__xludf.DUMMYFUNCTION("""COMPUTED_VALUE"""),820.0)</f>
        <v>820</v>
      </c>
      <c r="B143" s="16" t="str">
        <f>IFERROR(__xludf.DUMMYFUNCTION("""COMPUTED_VALUE"""),"shoot")</f>
        <v>shoot</v>
      </c>
      <c r="I143" s="58"/>
      <c r="J143" s="58"/>
    </row>
    <row r="144">
      <c r="A144" s="53">
        <f>IFERROR(__xludf.DUMMYFUNCTION("""COMPUTED_VALUE"""),828.0)</f>
        <v>828</v>
      </c>
      <c r="B144" s="16" t="str">
        <f>IFERROR(__xludf.DUMMYFUNCTION("""COMPUTED_VALUE"""),"sing")</f>
        <v>sing</v>
      </c>
      <c r="I144" s="58"/>
      <c r="J144" s="58"/>
    </row>
    <row r="145">
      <c r="A145" s="53">
        <f>IFERROR(__xludf.DUMMYFUNCTION("""COMPUTED_VALUE"""),833.0)</f>
        <v>833</v>
      </c>
      <c r="B145" s="16" t="str">
        <f>IFERROR(__xludf.DUMMYFUNCTION("""COMPUTED_VALUE"""),"skimming")</f>
        <v>skimming</v>
      </c>
      <c r="I145" s="58"/>
      <c r="J145" s="58"/>
    </row>
    <row r="146">
      <c r="A146" s="53">
        <f>IFERROR(__xludf.DUMMYFUNCTION("""COMPUTED_VALUE"""),842.0)</f>
        <v>842</v>
      </c>
      <c r="B146" s="16" t="str">
        <f>IFERROR(__xludf.DUMMYFUNCTION("""COMPUTED_VALUE"""),"smooth")</f>
        <v>smooth</v>
      </c>
      <c r="I146" s="58"/>
      <c r="J146" s="58"/>
    </row>
    <row r="147">
      <c r="A147" s="53">
        <f>IFERROR(__xludf.DUMMYFUNCTION("""COMPUTED_VALUE"""),845.0)</f>
        <v>845</v>
      </c>
      <c r="B147" s="16" t="str">
        <f>IFERROR(__xludf.DUMMYFUNCTION("""COMPUTED_VALUE"""),"snap")</f>
        <v>snap</v>
      </c>
      <c r="I147" s="58"/>
      <c r="J147" s="58"/>
    </row>
    <row r="148">
      <c r="A148" s="53">
        <f>IFERROR(__xludf.DUMMYFUNCTION("""COMPUTED_VALUE"""),854.0)</f>
        <v>854</v>
      </c>
      <c r="B148" s="16" t="str">
        <f>IFERROR(__xludf.DUMMYFUNCTION("""COMPUTED_VALUE"""),"sound")</f>
        <v>sound</v>
      </c>
      <c r="I148" s="58"/>
      <c r="J148" s="58"/>
    </row>
    <row r="149">
      <c r="A149" s="53">
        <f>IFERROR(__xludf.DUMMYFUNCTION("""COMPUTED_VALUE"""),857.0)</f>
        <v>857</v>
      </c>
      <c r="B149" s="16" t="str">
        <f>IFERROR(__xludf.DUMMYFUNCTION("""COMPUTED_VALUE"""),"sour")</f>
        <v>sour</v>
      </c>
      <c r="I149" s="58"/>
      <c r="J149" s="58"/>
    </row>
    <row r="150">
      <c r="A150" s="53">
        <f>IFERROR(__xludf.DUMMYFUNCTION("""COMPUTED_VALUE"""),861.0)</f>
        <v>861</v>
      </c>
      <c r="B150" s="16" t="str">
        <f>IFERROR(__xludf.DUMMYFUNCTION("""COMPUTED_VALUE"""),"spin")</f>
        <v>spin</v>
      </c>
      <c r="I150" s="58"/>
      <c r="J150" s="58"/>
    </row>
    <row r="151">
      <c r="A151" s="53">
        <f>IFERROR(__xludf.DUMMYFUNCTION("""COMPUTED_VALUE"""),867.0)</f>
        <v>867</v>
      </c>
      <c r="B151" s="16" t="str">
        <f>IFERROR(__xludf.DUMMYFUNCTION("""COMPUTED_VALUE"""),"square")</f>
        <v>square</v>
      </c>
      <c r="I151" s="58"/>
      <c r="J151" s="58"/>
    </row>
    <row r="152">
      <c r="A152" s="53">
        <f>IFERROR(__xludf.DUMMYFUNCTION("""COMPUTED_VALUE"""),887.0)</f>
        <v>887</v>
      </c>
      <c r="B152" s="16" t="str">
        <f>IFERROR(__xludf.DUMMYFUNCTION("""COMPUTED_VALUE"""),"straight")</f>
        <v>straight</v>
      </c>
      <c r="I152" s="58"/>
      <c r="J152" s="58"/>
    </row>
    <row r="153">
      <c r="A153" s="53">
        <f>IFERROR(__xludf.DUMMYFUNCTION("""COMPUTED_VALUE"""),890.0)</f>
        <v>890</v>
      </c>
      <c r="B153" s="16" t="str">
        <f>IFERROR(__xludf.DUMMYFUNCTION("""COMPUTED_VALUE"""),"stretch")</f>
        <v>stretch</v>
      </c>
      <c r="I153" s="58"/>
      <c r="J153" s="58"/>
    </row>
    <row r="154">
      <c r="A154" s="53">
        <f>IFERROR(__xludf.DUMMYFUNCTION("""COMPUTED_VALUE"""),892.0)</f>
        <v>892</v>
      </c>
      <c r="B154" s="16" t="str">
        <f>IFERROR(__xludf.DUMMYFUNCTION("""COMPUTED_VALUE"""),"strive")</f>
        <v>strive</v>
      </c>
      <c r="I154" s="58"/>
      <c r="J154" s="58"/>
    </row>
    <row r="155">
      <c r="A155" s="53">
        <f>IFERROR(__xludf.DUMMYFUNCTION("""COMPUTED_VALUE"""),902.0)</f>
        <v>902</v>
      </c>
      <c r="B155" s="16" t="str">
        <f>IFERROR(__xludf.DUMMYFUNCTION("""COMPUTED_VALUE"""),"survey")</f>
        <v>survey</v>
      </c>
      <c r="I155" s="58"/>
      <c r="J155" s="58"/>
    </row>
    <row r="156">
      <c r="A156" s="53">
        <f>IFERROR(__xludf.DUMMYFUNCTION("""COMPUTED_VALUE"""),911.0)</f>
        <v>911</v>
      </c>
      <c r="B156" s="16" t="str">
        <f>IFERROR(__xludf.DUMMYFUNCTION("""COMPUTED_VALUE"""),"tap")</f>
        <v>tap</v>
      </c>
      <c r="I156" s="58"/>
      <c r="J156" s="58"/>
    </row>
    <row r="157">
      <c r="A157" s="53">
        <f>IFERROR(__xludf.DUMMYFUNCTION("""COMPUTED_VALUE"""),919.0)</f>
        <v>919</v>
      </c>
      <c r="B157" s="16" t="str">
        <f>IFERROR(__xludf.DUMMYFUNCTION("""COMPUTED_VALUE"""),"tell")</f>
        <v>tell</v>
      </c>
      <c r="I157" s="58"/>
      <c r="J157" s="58"/>
    </row>
    <row r="158">
      <c r="A158" s="53">
        <f>IFERROR(__xludf.DUMMYFUNCTION("""COMPUTED_VALUE"""),924.0)</f>
        <v>924</v>
      </c>
      <c r="B158" s="16" t="str">
        <f>IFERROR(__xludf.DUMMYFUNCTION("""COMPUTED_VALUE"""),"text")</f>
        <v>text</v>
      </c>
      <c r="I158" s="58"/>
      <c r="J158" s="58"/>
    </row>
    <row r="159">
      <c r="A159" s="53">
        <f>IFERROR(__xludf.DUMMYFUNCTION("""COMPUTED_VALUE"""),940.0)</f>
        <v>940</v>
      </c>
      <c r="B159" s="16" t="str">
        <f>IFERROR(__xludf.DUMMYFUNCTION("""COMPUTED_VALUE"""),"thirst")</f>
        <v>thirst</v>
      </c>
      <c r="I159" s="58"/>
      <c r="J159" s="58"/>
    </row>
    <row r="160">
      <c r="A160" s="53">
        <f>IFERROR(__xludf.DUMMYFUNCTION("""COMPUTED_VALUE"""),944.0)</f>
        <v>944</v>
      </c>
      <c r="B160" s="16" t="str">
        <f>IFERROR(__xludf.DUMMYFUNCTION("""COMPUTED_VALUE"""),"throw")</f>
        <v>throw</v>
      </c>
      <c r="I160" s="58"/>
      <c r="J160" s="58"/>
    </row>
    <row r="161">
      <c r="A161" s="53">
        <f>IFERROR(__xludf.DUMMYFUNCTION("""COMPUTED_VALUE"""),951.0)</f>
        <v>951</v>
      </c>
      <c r="B161" s="16" t="str">
        <f>IFERROR(__xludf.DUMMYFUNCTION("""COMPUTED_VALUE"""),"title")</f>
        <v>title</v>
      </c>
      <c r="I161" s="58"/>
      <c r="J161" s="58"/>
    </row>
    <row r="162">
      <c r="A162" s="53">
        <f>IFERROR(__xludf.DUMMYFUNCTION("""COMPUTED_VALUE"""),965.0)</f>
        <v>965</v>
      </c>
      <c r="B162" s="16" t="str">
        <f>IFERROR(__xludf.DUMMYFUNCTION("""COMPUTED_VALUE"""),"toss")</f>
        <v>toss</v>
      </c>
      <c r="I162" s="58"/>
      <c r="J162" s="58"/>
    </row>
    <row r="163">
      <c r="A163" s="53">
        <f>IFERROR(__xludf.DUMMYFUNCTION("""COMPUTED_VALUE"""),976.0)</f>
        <v>976</v>
      </c>
      <c r="B163" s="16" t="str">
        <f>IFERROR(__xludf.DUMMYFUNCTION("""COMPUTED_VALUE"""),"turn")</f>
        <v>turn</v>
      </c>
      <c r="I163" s="58"/>
      <c r="J163" s="58"/>
    </row>
    <row r="164">
      <c r="A164" s="53">
        <f>IFERROR(__xludf.DUMMYFUNCTION("""COMPUTED_VALUE"""),986.0)</f>
        <v>986</v>
      </c>
      <c r="B164" s="16" t="str">
        <f>IFERROR(__xludf.DUMMYFUNCTION("""COMPUTED_VALUE"""),"up")</f>
        <v>up</v>
      </c>
      <c r="I164" s="58"/>
      <c r="J164" s="58"/>
    </row>
    <row r="165">
      <c r="A165" s="53">
        <f>IFERROR(__xludf.DUMMYFUNCTION("""COMPUTED_VALUE"""),988.0)</f>
        <v>988</v>
      </c>
      <c r="B165" s="16" t="str">
        <f>IFERROR(__xludf.DUMMYFUNCTION("""COMPUTED_VALUE"""),"urge")</f>
        <v>urge</v>
      </c>
      <c r="I165" s="58"/>
      <c r="J165" s="58"/>
    </row>
    <row r="166">
      <c r="A166" s="53">
        <f>IFERROR(__xludf.DUMMYFUNCTION("""COMPUTED_VALUE"""),989.0)</f>
        <v>989</v>
      </c>
      <c r="B166" s="16" t="str">
        <f>IFERROR(__xludf.DUMMYFUNCTION("""COMPUTED_VALUE"""),"urinate")</f>
        <v>urinate</v>
      </c>
      <c r="I166" s="58"/>
      <c r="J166" s="58"/>
    </row>
    <row r="167">
      <c r="A167" s="53">
        <f>IFERROR(__xludf.DUMMYFUNCTION("""COMPUTED_VALUE"""),995.0)</f>
        <v>995</v>
      </c>
      <c r="B167" s="16" t="str">
        <f>IFERROR(__xludf.DUMMYFUNCTION("""COMPUTED_VALUE"""),"video")</f>
        <v>video</v>
      </c>
      <c r="I167" s="58"/>
      <c r="J167" s="58"/>
    </row>
    <row r="168">
      <c r="A168" s="53">
        <f>IFERROR(__xludf.DUMMYFUNCTION("""COMPUTED_VALUE"""),997.0)</f>
        <v>997</v>
      </c>
      <c r="B168" s="16" t="str">
        <f>IFERROR(__xludf.DUMMYFUNCTION("""COMPUTED_VALUE"""),"walk")</f>
        <v>walk</v>
      </c>
      <c r="I168" s="58"/>
      <c r="J168" s="58"/>
    </row>
    <row r="169">
      <c r="A169" s="53">
        <f>IFERROR(__xludf.DUMMYFUNCTION("""COMPUTED_VALUE"""),1000.0)</f>
        <v>1000</v>
      </c>
      <c r="B169" s="16" t="str">
        <f>IFERROR(__xludf.DUMMYFUNCTION("""COMPUTED_VALUE"""),"warm")</f>
        <v>warm</v>
      </c>
      <c r="I169" s="58"/>
      <c r="J169" s="58"/>
    </row>
    <row r="170">
      <c r="A170" s="53">
        <f>IFERROR(__xludf.DUMMYFUNCTION("""COMPUTED_VALUE"""),1005.0)</f>
        <v>1005</v>
      </c>
      <c r="B170" s="16" t="str">
        <f>IFERROR(__xludf.DUMMYFUNCTION("""COMPUTED_VALUE"""),"water")</f>
        <v>water</v>
      </c>
      <c r="I170" s="58"/>
      <c r="J170" s="58"/>
    </row>
    <row r="171">
      <c r="A171" s="53">
        <f>IFERROR(__xludf.DUMMYFUNCTION("""COMPUTED_VALUE"""),1018.0)</f>
        <v>1018</v>
      </c>
      <c r="B171" s="16" t="str">
        <f>IFERROR(__xludf.DUMMYFUNCTION("""COMPUTED_VALUE"""),"whistle")</f>
        <v>whistle</v>
      </c>
      <c r="I171" s="58"/>
      <c r="J171" s="58"/>
    </row>
    <row r="172">
      <c r="A172" s="53">
        <f>IFERROR(__xludf.DUMMYFUNCTION("""COMPUTED_VALUE"""),1028.0)</f>
        <v>1028</v>
      </c>
      <c r="B172" s="16" t="str">
        <f>IFERROR(__xludf.DUMMYFUNCTION("""COMPUTED_VALUE"""),"wish")</f>
        <v>wish</v>
      </c>
      <c r="I172" s="58"/>
      <c r="J172" s="58"/>
    </row>
    <row r="173">
      <c r="A173" s="53">
        <f>IFERROR(__xludf.DUMMYFUNCTION("""COMPUTED_VALUE"""),1036.0)</f>
        <v>1036</v>
      </c>
      <c r="B173" s="16" t="str">
        <f>IFERROR(__xludf.DUMMYFUNCTION("""COMPUTED_VALUE"""),"yearn")</f>
        <v>yearn</v>
      </c>
      <c r="I173" s="58"/>
      <c r="J173" s="58"/>
    </row>
    <row r="174">
      <c r="A174" s="53">
        <f>IFERROR(__xludf.DUMMYFUNCTION("""COMPUTED_VALUE"""),1050.0)</f>
        <v>1050</v>
      </c>
      <c r="B174" s="16" t="str">
        <f>IFERROR(__xludf.DUMMYFUNCTION("""COMPUTED_VALUE"""),"want")</f>
        <v>want</v>
      </c>
      <c r="I174" s="58"/>
      <c r="J174" s="58"/>
    </row>
    <row r="175">
      <c r="A175" s="53">
        <f>IFERROR(__xludf.DUMMYFUNCTION("""COMPUTED_VALUE"""),1055.0)</f>
        <v>1055</v>
      </c>
      <c r="B175" s="16" t="str">
        <f>IFERROR(__xludf.DUMMYFUNCTION("""COMPUTED_VALUE"""),"sit")</f>
        <v>sit</v>
      </c>
      <c r="I175" s="58"/>
      <c r="J175" s="58"/>
    </row>
    <row r="176">
      <c r="A176" s="52"/>
      <c r="I176" s="58"/>
      <c r="J176" s="58"/>
    </row>
    <row r="177">
      <c r="A177" s="52"/>
      <c r="I177" s="58"/>
      <c r="J177" s="58"/>
    </row>
    <row r="178">
      <c r="A178" s="52"/>
      <c r="I178" s="58"/>
      <c r="J178" s="58"/>
    </row>
    <row r="179">
      <c r="A179" s="52"/>
      <c r="I179" s="58"/>
      <c r="J179" s="58"/>
    </row>
    <row r="180">
      <c r="A180" s="52"/>
      <c r="I180" s="58"/>
      <c r="J180" s="58"/>
    </row>
    <row r="181">
      <c r="A181" s="52"/>
      <c r="I181" s="58"/>
      <c r="J181" s="58"/>
    </row>
    <row r="182">
      <c r="A182" s="52"/>
      <c r="I182" s="58"/>
      <c r="J182" s="58"/>
    </row>
    <row r="183">
      <c r="A183" s="52"/>
      <c r="I183" s="58"/>
      <c r="J183" s="58"/>
    </row>
    <row r="184">
      <c r="A184" s="52"/>
      <c r="I184" s="58"/>
      <c r="J184" s="58"/>
    </row>
    <row r="185">
      <c r="A185" s="52"/>
      <c r="I185" s="58"/>
      <c r="J185" s="58"/>
    </row>
    <row r="186">
      <c r="A186" s="52"/>
      <c r="I186" s="58"/>
      <c r="J186" s="58"/>
    </row>
    <row r="187">
      <c r="A187" s="52"/>
      <c r="I187" s="58"/>
      <c r="J187" s="58"/>
    </row>
    <row r="188">
      <c r="A188" s="52"/>
      <c r="I188" s="58"/>
      <c r="J188" s="58"/>
    </row>
    <row r="189">
      <c r="A189" s="52"/>
      <c r="I189" s="58"/>
      <c r="J189" s="58"/>
    </row>
    <row r="190">
      <c r="A190" s="52"/>
      <c r="I190" s="58"/>
      <c r="J190" s="58"/>
    </row>
    <row r="191">
      <c r="A191" s="52"/>
      <c r="I191" s="58"/>
      <c r="J191" s="58"/>
    </row>
    <row r="192">
      <c r="A192" s="52"/>
      <c r="I192" s="58"/>
      <c r="J192" s="58"/>
    </row>
    <row r="193">
      <c r="A193" s="52"/>
      <c r="I193" s="58"/>
      <c r="J193" s="58"/>
    </row>
    <row r="194">
      <c r="A194" s="52"/>
      <c r="I194" s="58"/>
      <c r="J194" s="58"/>
    </row>
    <row r="195">
      <c r="A195" s="52"/>
      <c r="I195" s="58"/>
      <c r="J195" s="58"/>
    </row>
    <row r="196">
      <c r="A196" s="52"/>
      <c r="I196" s="58"/>
      <c r="J196" s="58"/>
    </row>
    <row r="197">
      <c r="A197" s="52"/>
      <c r="I197" s="58"/>
      <c r="J197" s="58"/>
    </row>
    <row r="198">
      <c r="A198" s="52"/>
      <c r="I198" s="58"/>
      <c r="J198" s="58"/>
    </row>
    <row r="199">
      <c r="A199" s="52"/>
      <c r="I199" s="58"/>
      <c r="J199" s="58"/>
    </row>
    <row r="200">
      <c r="A200" s="52"/>
      <c r="I200" s="58"/>
      <c r="J200" s="58"/>
    </row>
    <row r="201">
      <c r="A201" s="52"/>
      <c r="I201" s="58"/>
      <c r="J201" s="58"/>
    </row>
    <row r="202">
      <c r="A202" s="52"/>
      <c r="I202" s="58"/>
      <c r="J202" s="58"/>
    </row>
    <row r="203">
      <c r="A203" s="52"/>
      <c r="I203" s="58"/>
      <c r="J203" s="58"/>
    </row>
    <row r="204">
      <c r="A204" s="52"/>
      <c r="I204" s="58"/>
      <c r="J204" s="58"/>
    </row>
    <row r="205">
      <c r="A205" s="52"/>
      <c r="I205" s="58"/>
      <c r="J205" s="58"/>
    </row>
    <row r="206">
      <c r="A206" s="52"/>
      <c r="I206" s="58"/>
      <c r="J206" s="58"/>
    </row>
    <row r="207">
      <c r="A207" s="52"/>
      <c r="I207" s="58"/>
      <c r="J207" s="58"/>
    </row>
    <row r="208">
      <c r="A208" s="52"/>
      <c r="I208" s="58"/>
      <c r="J208" s="58"/>
    </row>
    <row r="209">
      <c r="A209" s="52"/>
      <c r="I209" s="58"/>
      <c r="J209" s="58"/>
    </row>
    <row r="210">
      <c r="A210" s="52"/>
      <c r="I210" s="58"/>
      <c r="J210" s="58"/>
    </row>
    <row r="211">
      <c r="A211" s="52"/>
      <c r="I211" s="58"/>
      <c r="J211" s="58"/>
    </row>
    <row r="212">
      <c r="A212" s="52"/>
      <c r="I212" s="58"/>
      <c r="J212" s="58"/>
    </row>
    <row r="213">
      <c r="A213" s="52"/>
      <c r="I213" s="58"/>
      <c r="J213" s="58"/>
    </row>
    <row r="214">
      <c r="A214" s="52"/>
      <c r="I214" s="58"/>
      <c r="J214" s="58"/>
    </row>
    <row r="215">
      <c r="A215" s="52"/>
      <c r="I215" s="58"/>
      <c r="J215" s="58"/>
    </row>
    <row r="216">
      <c r="A216" s="52"/>
      <c r="I216" s="58"/>
      <c r="J216" s="58"/>
    </row>
    <row r="217">
      <c r="A217" s="52"/>
      <c r="I217" s="58"/>
      <c r="J217" s="58"/>
    </row>
    <row r="218">
      <c r="A218" s="52"/>
      <c r="I218" s="58"/>
      <c r="J218" s="58"/>
    </row>
    <row r="219">
      <c r="A219" s="52"/>
      <c r="I219" s="58"/>
      <c r="J219" s="58"/>
    </row>
    <row r="220">
      <c r="A220" s="52"/>
      <c r="I220" s="58"/>
      <c r="J220" s="58"/>
    </row>
    <row r="221">
      <c r="A221" s="52"/>
      <c r="I221" s="58"/>
      <c r="J221" s="58"/>
    </row>
    <row r="222">
      <c r="A222" s="52"/>
      <c r="I222" s="58"/>
      <c r="J222" s="58"/>
    </row>
    <row r="223">
      <c r="A223" s="52"/>
      <c r="I223" s="58"/>
      <c r="J223" s="58"/>
    </row>
    <row r="224">
      <c r="A224" s="52"/>
      <c r="I224" s="58"/>
      <c r="J224" s="58"/>
    </row>
    <row r="225">
      <c r="A225" s="52"/>
      <c r="I225" s="58"/>
      <c r="J225" s="58"/>
    </row>
    <row r="226">
      <c r="A226" s="52"/>
      <c r="I226" s="58"/>
      <c r="J226" s="58"/>
    </row>
    <row r="227">
      <c r="A227" s="52"/>
      <c r="I227" s="58"/>
      <c r="J227" s="58"/>
    </row>
    <row r="228">
      <c r="A228" s="52"/>
      <c r="I228" s="58"/>
      <c r="J228" s="58"/>
    </row>
    <row r="229">
      <c r="A229" s="52"/>
      <c r="I229" s="58"/>
      <c r="J229" s="58"/>
    </row>
    <row r="230">
      <c r="A230" s="52"/>
      <c r="I230" s="58"/>
      <c r="J230" s="58"/>
    </row>
    <row r="231">
      <c r="A231" s="52"/>
      <c r="I231" s="58"/>
      <c r="J231" s="58"/>
    </row>
    <row r="232">
      <c r="A232" s="52"/>
      <c r="I232" s="58"/>
      <c r="J232" s="58"/>
    </row>
    <row r="233">
      <c r="A233" s="52"/>
      <c r="I233" s="58"/>
      <c r="J233" s="58"/>
    </row>
    <row r="234">
      <c r="A234" s="52"/>
      <c r="I234" s="58"/>
      <c r="J234" s="58"/>
    </row>
    <row r="235">
      <c r="A235" s="52"/>
      <c r="I235" s="58"/>
      <c r="J235" s="58"/>
    </row>
    <row r="236">
      <c r="A236" s="52"/>
      <c r="I236" s="58"/>
      <c r="J236" s="58"/>
    </row>
    <row r="237">
      <c r="A237" s="52"/>
      <c r="I237" s="58"/>
      <c r="J237" s="58"/>
    </row>
    <row r="238">
      <c r="A238" s="52"/>
      <c r="I238" s="58"/>
      <c r="J238" s="58"/>
    </row>
    <row r="239">
      <c r="A239" s="52"/>
      <c r="I239" s="58"/>
      <c r="J239" s="58"/>
    </row>
    <row r="240">
      <c r="A240" s="52"/>
      <c r="I240" s="58"/>
      <c r="J240" s="58"/>
    </row>
    <row r="241">
      <c r="A241" s="52"/>
      <c r="I241" s="58"/>
      <c r="J241" s="58"/>
    </row>
    <row r="242">
      <c r="A242" s="52"/>
      <c r="I242" s="58"/>
      <c r="J242" s="58"/>
    </row>
    <row r="243">
      <c r="A243" s="52"/>
      <c r="I243" s="58"/>
      <c r="J243" s="58"/>
    </row>
    <row r="244">
      <c r="A244" s="52"/>
      <c r="I244" s="58"/>
      <c r="J244" s="58"/>
    </row>
    <row r="245">
      <c r="A245" s="52"/>
      <c r="I245" s="58"/>
      <c r="J245" s="58"/>
    </row>
    <row r="246">
      <c r="A246" s="52"/>
      <c r="I246" s="58"/>
      <c r="J246" s="58"/>
    </row>
    <row r="247">
      <c r="A247" s="52"/>
      <c r="I247" s="58"/>
      <c r="J247" s="58"/>
    </row>
    <row r="248">
      <c r="A248" s="52"/>
      <c r="I248" s="58"/>
      <c r="J248" s="58"/>
    </row>
    <row r="249">
      <c r="A249" s="52"/>
      <c r="I249" s="58"/>
      <c r="J249" s="58"/>
    </row>
    <row r="250">
      <c r="A250" s="52"/>
      <c r="I250" s="58"/>
      <c r="J250" s="58"/>
    </row>
    <row r="251">
      <c r="A251" s="52"/>
      <c r="I251" s="58"/>
      <c r="J251" s="58"/>
    </row>
    <row r="252">
      <c r="A252" s="52"/>
      <c r="I252" s="58"/>
      <c r="J252" s="58"/>
    </row>
    <row r="253">
      <c r="A253" s="52"/>
      <c r="I253" s="58"/>
      <c r="J253" s="58"/>
    </row>
    <row r="254">
      <c r="A254" s="52"/>
      <c r="I254" s="58"/>
      <c r="J254" s="58"/>
    </row>
    <row r="255">
      <c r="A255" s="52"/>
      <c r="I255" s="58"/>
      <c r="J255" s="58"/>
    </row>
    <row r="256">
      <c r="A256" s="52"/>
      <c r="I256" s="58"/>
      <c r="J256" s="58"/>
    </row>
    <row r="257">
      <c r="A257" s="52"/>
      <c r="I257" s="58"/>
      <c r="J257" s="58"/>
    </row>
    <row r="258">
      <c r="A258" s="52"/>
      <c r="I258" s="58"/>
      <c r="J258" s="58"/>
    </row>
    <row r="259">
      <c r="A259" s="52"/>
      <c r="I259" s="58"/>
      <c r="J259" s="58"/>
    </row>
    <row r="260">
      <c r="A260" s="52"/>
      <c r="I260" s="58"/>
      <c r="J260" s="58"/>
    </row>
    <row r="261">
      <c r="A261" s="52"/>
      <c r="I261" s="58"/>
      <c r="J261" s="58"/>
    </row>
    <row r="262">
      <c r="A262" s="52"/>
      <c r="I262" s="58"/>
      <c r="J262" s="58"/>
    </row>
    <row r="263">
      <c r="A263" s="52"/>
      <c r="I263" s="58"/>
      <c r="J263" s="58"/>
    </row>
    <row r="264">
      <c r="A264" s="52"/>
      <c r="I264" s="58"/>
      <c r="J264" s="58"/>
    </row>
    <row r="265">
      <c r="A265" s="52"/>
      <c r="I265" s="58"/>
      <c r="J265" s="58"/>
    </row>
    <row r="266">
      <c r="A266" s="52"/>
      <c r="I266" s="58"/>
      <c r="J266" s="58"/>
    </row>
    <row r="267">
      <c r="A267" s="52"/>
      <c r="I267" s="58"/>
      <c r="J267" s="58"/>
    </row>
    <row r="268">
      <c r="A268" s="52"/>
      <c r="I268" s="58"/>
      <c r="J268" s="58"/>
    </row>
    <row r="269">
      <c r="A269" s="52"/>
      <c r="I269" s="58"/>
      <c r="J269" s="58"/>
    </row>
    <row r="270">
      <c r="A270" s="52"/>
      <c r="I270" s="58"/>
      <c r="J270" s="58"/>
    </row>
    <row r="271">
      <c r="A271" s="52"/>
      <c r="I271" s="58"/>
      <c r="J271" s="58"/>
    </row>
    <row r="272">
      <c r="A272" s="52"/>
      <c r="I272" s="58"/>
      <c r="J272" s="58"/>
    </row>
    <row r="273">
      <c r="A273" s="52"/>
      <c r="I273" s="58"/>
      <c r="J273" s="58"/>
    </row>
    <row r="274">
      <c r="A274" s="52"/>
      <c r="I274" s="58"/>
      <c r="J274" s="58"/>
    </row>
    <row r="275">
      <c r="A275" s="52"/>
      <c r="I275" s="58"/>
      <c r="J275" s="58"/>
    </row>
    <row r="276">
      <c r="A276" s="52"/>
      <c r="I276" s="58"/>
      <c r="J276" s="58"/>
    </row>
    <row r="277">
      <c r="A277" s="52"/>
      <c r="I277" s="58"/>
      <c r="J277" s="58"/>
    </row>
    <row r="278">
      <c r="A278" s="52"/>
      <c r="I278" s="58"/>
      <c r="J278" s="58"/>
    </row>
    <row r="279">
      <c r="A279" s="52"/>
      <c r="I279" s="58"/>
      <c r="J279" s="58"/>
    </row>
    <row r="280">
      <c r="A280" s="52"/>
      <c r="I280" s="58"/>
      <c r="J280" s="58"/>
    </row>
    <row r="281">
      <c r="A281" s="52"/>
      <c r="I281" s="58"/>
      <c r="J281" s="58"/>
    </row>
    <row r="282">
      <c r="A282" s="52"/>
      <c r="I282" s="58"/>
      <c r="J282" s="58"/>
    </row>
    <row r="283">
      <c r="A283" s="52"/>
      <c r="I283" s="58"/>
      <c r="J283" s="58"/>
    </row>
    <row r="284">
      <c r="A284" s="52"/>
      <c r="I284" s="58"/>
      <c r="J284" s="58"/>
    </row>
    <row r="285">
      <c r="A285" s="52"/>
      <c r="I285" s="58"/>
      <c r="J285" s="58"/>
    </row>
    <row r="286">
      <c r="A286" s="52"/>
      <c r="I286" s="58"/>
      <c r="J286" s="58"/>
    </row>
    <row r="287">
      <c r="A287" s="52"/>
      <c r="I287" s="58"/>
      <c r="J287" s="58"/>
    </row>
    <row r="288">
      <c r="A288" s="52"/>
      <c r="I288" s="58"/>
      <c r="J288" s="58"/>
    </row>
    <row r="289">
      <c r="A289" s="52"/>
      <c r="I289" s="58"/>
      <c r="J289" s="58"/>
    </row>
    <row r="290">
      <c r="A290" s="52"/>
      <c r="I290" s="58"/>
      <c r="J290" s="58"/>
    </row>
    <row r="291">
      <c r="A291" s="52"/>
      <c r="I291" s="58"/>
      <c r="J291" s="58"/>
    </row>
    <row r="292">
      <c r="A292" s="52"/>
      <c r="I292" s="58"/>
      <c r="J292" s="58"/>
    </row>
    <row r="293">
      <c r="A293" s="52"/>
      <c r="I293" s="58"/>
      <c r="J293" s="58"/>
    </row>
    <row r="294">
      <c r="A294" s="52"/>
      <c r="I294" s="58"/>
      <c r="J294" s="58"/>
    </row>
    <row r="295">
      <c r="A295" s="52"/>
      <c r="I295" s="58"/>
      <c r="J295" s="58"/>
    </row>
    <row r="296">
      <c r="A296" s="52"/>
      <c r="I296" s="58"/>
      <c r="J296" s="58"/>
    </row>
    <row r="297">
      <c r="A297" s="52"/>
      <c r="I297" s="58"/>
      <c r="J297" s="58"/>
    </row>
    <row r="298">
      <c r="A298" s="52"/>
      <c r="I298" s="58"/>
      <c r="J298" s="58"/>
    </row>
    <row r="299">
      <c r="A299" s="52"/>
      <c r="I299" s="58"/>
      <c r="J299" s="58"/>
    </row>
    <row r="300">
      <c r="A300" s="52"/>
      <c r="I300" s="58"/>
      <c r="J300" s="58"/>
    </row>
    <row r="301">
      <c r="A301" s="52"/>
      <c r="I301" s="58"/>
      <c r="J301" s="58"/>
    </row>
    <row r="302">
      <c r="A302" s="52"/>
      <c r="I302" s="58"/>
      <c r="J302" s="58"/>
    </row>
    <row r="303">
      <c r="A303" s="52"/>
      <c r="I303" s="58"/>
      <c r="J303" s="58"/>
    </row>
    <row r="304">
      <c r="A304" s="52"/>
      <c r="I304" s="58"/>
      <c r="J304" s="58"/>
    </row>
    <row r="305">
      <c r="A305" s="52"/>
      <c r="I305" s="58"/>
      <c r="J305" s="58"/>
    </row>
    <row r="306">
      <c r="A306" s="52"/>
      <c r="I306" s="58"/>
      <c r="J306" s="58"/>
    </row>
    <row r="307">
      <c r="A307" s="52"/>
      <c r="I307" s="58"/>
      <c r="J307" s="58"/>
    </row>
    <row r="308">
      <c r="A308" s="52"/>
      <c r="I308" s="58"/>
      <c r="J308" s="58"/>
    </row>
    <row r="309">
      <c r="A309" s="52"/>
      <c r="I309" s="58"/>
      <c r="J309" s="58"/>
    </row>
    <row r="310">
      <c r="A310" s="52"/>
      <c r="I310" s="58"/>
      <c r="J310" s="58"/>
    </row>
    <row r="311">
      <c r="A311" s="52"/>
      <c r="I311" s="58"/>
      <c r="J311" s="58"/>
    </row>
    <row r="312">
      <c r="A312" s="52"/>
      <c r="I312" s="58"/>
      <c r="J312" s="58"/>
    </row>
    <row r="313">
      <c r="A313" s="52"/>
      <c r="I313" s="58"/>
      <c r="J313" s="58"/>
    </row>
    <row r="314">
      <c r="A314" s="52"/>
      <c r="I314" s="58"/>
      <c r="J314" s="58"/>
    </row>
    <row r="315">
      <c r="A315" s="52"/>
      <c r="I315" s="58"/>
      <c r="J315" s="58"/>
    </row>
    <row r="316">
      <c r="A316" s="52"/>
      <c r="I316" s="58"/>
      <c r="J316" s="58"/>
    </row>
    <row r="317">
      <c r="A317" s="52"/>
      <c r="I317" s="58"/>
      <c r="J317" s="58"/>
    </row>
    <row r="318">
      <c r="A318" s="52"/>
      <c r="I318" s="58"/>
      <c r="J318" s="58"/>
    </row>
    <row r="319">
      <c r="A319" s="52"/>
      <c r="I319" s="58"/>
      <c r="J319" s="58"/>
    </row>
    <row r="320">
      <c r="A320" s="52"/>
      <c r="I320" s="58"/>
      <c r="J320" s="58"/>
    </row>
    <row r="321">
      <c r="A321" s="52"/>
      <c r="I321" s="58"/>
      <c r="J321" s="58"/>
    </row>
    <row r="322">
      <c r="A322" s="52"/>
      <c r="I322" s="58"/>
      <c r="J322" s="58"/>
    </row>
    <row r="323">
      <c r="A323" s="52"/>
      <c r="I323" s="58"/>
      <c r="J323" s="58"/>
    </row>
    <row r="324">
      <c r="A324" s="52"/>
      <c r="I324" s="58"/>
      <c r="J324" s="58"/>
    </row>
    <row r="325">
      <c r="A325" s="52"/>
      <c r="I325" s="58"/>
      <c r="J325" s="58"/>
    </row>
    <row r="326">
      <c r="A326" s="52"/>
      <c r="I326" s="58"/>
      <c r="J326" s="58"/>
    </row>
    <row r="327">
      <c r="A327" s="52"/>
      <c r="I327" s="58"/>
      <c r="J327" s="58"/>
    </row>
    <row r="328">
      <c r="A328" s="52"/>
      <c r="I328" s="58"/>
      <c r="J328" s="58"/>
    </row>
    <row r="329">
      <c r="A329" s="52"/>
      <c r="I329" s="58"/>
      <c r="J329" s="58"/>
    </row>
    <row r="330">
      <c r="A330" s="52"/>
      <c r="I330" s="58"/>
      <c r="J330" s="58"/>
    </row>
    <row r="331">
      <c r="A331" s="52"/>
      <c r="I331" s="58"/>
      <c r="J331" s="58"/>
    </row>
    <row r="332">
      <c r="A332" s="52"/>
      <c r="I332" s="58"/>
      <c r="J332" s="58"/>
    </row>
    <row r="333">
      <c r="A333" s="52"/>
      <c r="I333" s="58"/>
      <c r="J333" s="58"/>
    </row>
    <row r="334">
      <c r="A334" s="52"/>
      <c r="I334" s="58"/>
      <c r="J334" s="58"/>
    </row>
    <row r="335">
      <c r="A335" s="52"/>
      <c r="I335" s="58"/>
      <c r="J335" s="58"/>
    </row>
    <row r="336">
      <c r="A336" s="52"/>
      <c r="I336" s="58"/>
      <c r="J336" s="58"/>
    </row>
    <row r="337">
      <c r="A337" s="52"/>
      <c r="I337" s="58"/>
      <c r="J337" s="58"/>
    </row>
    <row r="338">
      <c r="A338" s="52"/>
      <c r="I338" s="58"/>
      <c r="J338" s="58"/>
    </row>
    <row r="339">
      <c r="A339" s="52"/>
      <c r="I339" s="58"/>
      <c r="J339" s="58"/>
    </row>
    <row r="340">
      <c r="A340" s="52"/>
      <c r="I340" s="58"/>
      <c r="J340" s="58"/>
    </row>
    <row r="341">
      <c r="A341" s="52"/>
      <c r="I341" s="58"/>
      <c r="J341" s="58"/>
    </row>
    <row r="342">
      <c r="A342" s="52"/>
      <c r="I342" s="58"/>
      <c r="J342" s="58"/>
    </row>
    <row r="343">
      <c r="A343" s="52"/>
      <c r="I343" s="58"/>
      <c r="J343" s="58"/>
    </row>
    <row r="344">
      <c r="A344" s="52"/>
      <c r="I344" s="58"/>
      <c r="J344" s="58"/>
    </row>
    <row r="345">
      <c r="A345" s="52"/>
      <c r="I345" s="58"/>
      <c r="J345" s="58"/>
    </row>
    <row r="346">
      <c r="A346" s="52"/>
      <c r="I346" s="58"/>
      <c r="J346" s="58"/>
    </row>
    <row r="347">
      <c r="A347" s="52"/>
      <c r="I347" s="58"/>
      <c r="J347" s="58"/>
    </row>
    <row r="348">
      <c r="A348" s="52"/>
      <c r="I348" s="58"/>
      <c r="J348" s="58"/>
    </row>
    <row r="349">
      <c r="A349" s="52"/>
      <c r="I349" s="58"/>
      <c r="J349" s="58"/>
    </row>
    <row r="350">
      <c r="A350" s="52"/>
      <c r="I350" s="58"/>
      <c r="J350" s="58"/>
    </row>
    <row r="351">
      <c r="A351" s="52"/>
      <c r="I351" s="58"/>
      <c r="J351" s="58"/>
    </row>
    <row r="352">
      <c r="A352" s="52"/>
      <c r="I352" s="58"/>
      <c r="J352" s="58"/>
    </row>
    <row r="353">
      <c r="A353" s="52"/>
      <c r="I353" s="58"/>
      <c r="J353" s="58"/>
    </row>
    <row r="354">
      <c r="A354" s="52"/>
      <c r="I354" s="58"/>
      <c r="J354" s="58"/>
    </row>
    <row r="355">
      <c r="A355" s="52"/>
      <c r="I355" s="58"/>
      <c r="J355" s="58"/>
    </row>
    <row r="356">
      <c r="A356" s="52"/>
      <c r="I356" s="58"/>
      <c r="J356" s="58"/>
    </row>
    <row r="357">
      <c r="A357" s="52"/>
      <c r="I357" s="58"/>
      <c r="J357" s="58"/>
    </row>
    <row r="358">
      <c r="A358" s="52"/>
      <c r="I358" s="58"/>
      <c r="J358" s="58"/>
    </row>
    <row r="359">
      <c r="A359" s="52"/>
      <c r="I359" s="58"/>
      <c r="J359" s="58"/>
    </row>
    <row r="360">
      <c r="A360" s="52"/>
      <c r="I360" s="58"/>
      <c r="J360" s="58"/>
    </row>
    <row r="361">
      <c r="A361" s="52"/>
      <c r="I361" s="58"/>
      <c r="J361" s="58"/>
    </row>
    <row r="362">
      <c r="A362" s="52"/>
      <c r="I362" s="58"/>
      <c r="J362" s="58"/>
    </row>
    <row r="363">
      <c r="A363" s="52"/>
      <c r="I363" s="58"/>
      <c r="J363" s="58"/>
    </row>
    <row r="364">
      <c r="A364" s="52"/>
      <c r="I364" s="58"/>
      <c r="J364" s="58"/>
    </row>
    <row r="365">
      <c r="A365" s="52"/>
      <c r="I365" s="58"/>
      <c r="J365" s="58"/>
    </row>
    <row r="366">
      <c r="A366" s="52"/>
      <c r="I366" s="58"/>
      <c r="J366" s="58"/>
    </row>
    <row r="367">
      <c r="A367" s="52"/>
      <c r="I367" s="58"/>
      <c r="J367" s="58"/>
    </row>
    <row r="368">
      <c r="A368" s="52"/>
      <c r="I368" s="58"/>
      <c r="J368" s="58"/>
    </row>
    <row r="369">
      <c r="A369" s="52"/>
      <c r="I369" s="58"/>
      <c r="J369" s="58"/>
    </row>
    <row r="370">
      <c r="A370" s="52"/>
      <c r="I370" s="58"/>
      <c r="J370" s="58"/>
    </row>
    <row r="371">
      <c r="A371" s="52"/>
      <c r="I371" s="58"/>
      <c r="J371" s="58"/>
    </row>
    <row r="372">
      <c r="A372" s="52"/>
      <c r="I372" s="58"/>
      <c r="J372" s="58"/>
    </row>
    <row r="373">
      <c r="A373" s="52"/>
      <c r="I373" s="58"/>
      <c r="J373" s="58"/>
    </row>
    <row r="374">
      <c r="A374" s="52"/>
      <c r="I374" s="58"/>
      <c r="J374" s="58"/>
    </row>
    <row r="375">
      <c r="A375" s="52"/>
      <c r="I375" s="58"/>
      <c r="J375" s="58"/>
    </row>
    <row r="376">
      <c r="A376" s="52"/>
      <c r="I376" s="58"/>
      <c r="J376" s="58"/>
    </row>
    <row r="377">
      <c r="A377" s="52"/>
      <c r="I377" s="58"/>
      <c r="J377" s="58"/>
    </row>
    <row r="378">
      <c r="A378" s="52"/>
      <c r="I378" s="58"/>
      <c r="J378" s="58"/>
    </row>
    <row r="379">
      <c r="A379" s="52"/>
      <c r="I379" s="58"/>
      <c r="J379" s="58"/>
    </row>
    <row r="380">
      <c r="A380" s="52"/>
      <c r="I380" s="58"/>
      <c r="J380" s="58"/>
    </row>
    <row r="381">
      <c r="A381" s="52"/>
      <c r="I381" s="58"/>
      <c r="J381" s="58"/>
    </row>
    <row r="382">
      <c r="A382" s="52"/>
      <c r="I382" s="58"/>
      <c r="J382" s="58"/>
    </row>
    <row r="383">
      <c r="A383" s="52"/>
      <c r="I383" s="58"/>
      <c r="J383" s="58"/>
    </row>
    <row r="384">
      <c r="A384" s="52"/>
      <c r="I384" s="58"/>
      <c r="J384" s="58"/>
    </row>
    <row r="385">
      <c r="A385" s="52"/>
      <c r="I385" s="58"/>
      <c r="J385" s="58"/>
    </row>
    <row r="386">
      <c r="A386" s="52"/>
      <c r="I386" s="58"/>
      <c r="J386" s="58"/>
    </row>
    <row r="387">
      <c r="A387" s="52"/>
      <c r="I387" s="58"/>
      <c r="J387" s="58"/>
    </row>
    <row r="388">
      <c r="A388" s="52"/>
      <c r="I388" s="58"/>
      <c r="J388" s="58"/>
    </row>
    <row r="389">
      <c r="A389" s="52"/>
      <c r="I389" s="58"/>
      <c r="J389" s="58"/>
    </row>
    <row r="390">
      <c r="A390" s="52"/>
      <c r="I390" s="58"/>
      <c r="J390" s="58"/>
    </row>
    <row r="391">
      <c r="A391" s="52"/>
      <c r="I391" s="58"/>
      <c r="J391" s="58"/>
    </row>
    <row r="392">
      <c r="A392" s="52"/>
      <c r="I392" s="58"/>
      <c r="J392" s="58"/>
    </row>
    <row r="393">
      <c r="A393" s="52"/>
      <c r="I393" s="58"/>
      <c r="J393" s="58"/>
    </row>
    <row r="394">
      <c r="A394" s="52"/>
      <c r="I394" s="58"/>
      <c r="J394" s="58"/>
    </row>
    <row r="395">
      <c r="A395" s="52"/>
      <c r="I395" s="58"/>
      <c r="J395" s="58"/>
    </row>
    <row r="396">
      <c r="A396" s="52"/>
      <c r="I396" s="58"/>
      <c r="J396" s="58"/>
    </row>
    <row r="397">
      <c r="A397" s="52"/>
      <c r="I397" s="58"/>
      <c r="J397" s="58"/>
    </row>
    <row r="398">
      <c r="A398" s="52"/>
      <c r="I398" s="58"/>
      <c r="J398" s="58"/>
    </row>
    <row r="399">
      <c r="A399" s="52"/>
      <c r="I399" s="58"/>
      <c r="J399" s="58"/>
    </row>
    <row r="400">
      <c r="A400" s="52"/>
      <c r="I400" s="58"/>
      <c r="J400" s="58"/>
    </row>
    <row r="401">
      <c r="A401" s="52"/>
      <c r="I401" s="58"/>
      <c r="J401" s="58"/>
    </row>
    <row r="402">
      <c r="A402" s="52"/>
      <c r="I402" s="58"/>
      <c r="J402" s="58"/>
    </row>
    <row r="403">
      <c r="A403" s="52"/>
      <c r="I403" s="58"/>
      <c r="J403" s="58"/>
    </row>
    <row r="404">
      <c r="A404" s="52"/>
      <c r="I404" s="58"/>
      <c r="J404" s="58"/>
    </row>
    <row r="405">
      <c r="A405" s="52"/>
      <c r="I405" s="58"/>
      <c r="J405" s="58"/>
    </row>
    <row r="406">
      <c r="A406" s="52"/>
      <c r="I406" s="58"/>
      <c r="J406" s="58"/>
    </row>
    <row r="407">
      <c r="A407" s="52"/>
      <c r="I407" s="58"/>
      <c r="J407" s="58"/>
    </row>
    <row r="408">
      <c r="A408" s="52"/>
      <c r="I408" s="58"/>
      <c r="J408" s="58"/>
    </row>
    <row r="409">
      <c r="A409" s="52"/>
      <c r="I409" s="58"/>
      <c r="J409" s="58"/>
    </row>
    <row r="410">
      <c r="A410" s="52"/>
      <c r="I410" s="58"/>
      <c r="J410" s="58"/>
    </row>
    <row r="411">
      <c r="A411" s="52"/>
      <c r="I411" s="58"/>
      <c r="J411" s="58"/>
    </row>
    <row r="412">
      <c r="A412" s="52"/>
      <c r="I412" s="58"/>
      <c r="J412" s="58"/>
    </row>
    <row r="413">
      <c r="A413" s="52"/>
      <c r="I413" s="58"/>
      <c r="J413" s="58"/>
    </row>
    <row r="414">
      <c r="A414" s="52"/>
      <c r="I414" s="58"/>
      <c r="J414" s="58"/>
    </row>
    <row r="415">
      <c r="A415" s="52"/>
      <c r="I415" s="58"/>
      <c r="J415" s="58"/>
    </row>
    <row r="416">
      <c r="A416" s="52"/>
      <c r="I416" s="58"/>
      <c r="J416" s="58"/>
    </row>
    <row r="417">
      <c r="A417" s="52"/>
      <c r="I417" s="58"/>
      <c r="J417" s="58"/>
    </row>
    <row r="418">
      <c r="A418" s="52"/>
      <c r="I418" s="58"/>
      <c r="J418" s="58"/>
    </row>
    <row r="419">
      <c r="A419" s="52"/>
      <c r="I419" s="58"/>
      <c r="J419" s="58"/>
    </row>
    <row r="420">
      <c r="A420" s="52"/>
      <c r="I420" s="58"/>
      <c r="J420" s="58"/>
    </row>
    <row r="421">
      <c r="A421" s="52"/>
      <c r="I421" s="58"/>
      <c r="J421" s="58"/>
    </row>
    <row r="422">
      <c r="A422" s="52"/>
      <c r="I422" s="58"/>
      <c r="J422" s="58"/>
    </row>
    <row r="423">
      <c r="A423" s="52"/>
      <c r="I423" s="58"/>
      <c r="J423" s="58"/>
    </row>
    <row r="424">
      <c r="A424" s="52"/>
      <c r="I424" s="58"/>
      <c r="J424" s="58"/>
    </row>
    <row r="425">
      <c r="A425" s="52"/>
      <c r="I425" s="58"/>
      <c r="J425" s="58"/>
    </row>
    <row r="426">
      <c r="A426" s="52"/>
      <c r="I426" s="58"/>
      <c r="J426" s="58"/>
    </row>
    <row r="427">
      <c r="A427" s="52"/>
      <c r="I427" s="58"/>
      <c r="J427" s="58"/>
    </row>
    <row r="428">
      <c r="A428" s="52"/>
      <c r="I428" s="58"/>
      <c r="J428" s="58"/>
    </row>
    <row r="429">
      <c r="A429" s="52"/>
      <c r="I429" s="58"/>
      <c r="J429" s="58"/>
    </row>
    <row r="430">
      <c r="A430" s="52"/>
      <c r="I430" s="58"/>
      <c r="J430" s="58"/>
    </row>
    <row r="431">
      <c r="A431" s="52"/>
      <c r="I431" s="58"/>
      <c r="J431" s="58"/>
    </row>
    <row r="432">
      <c r="A432" s="52"/>
      <c r="I432" s="58"/>
      <c r="J432" s="58"/>
    </row>
    <row r="433">
      <c r="A433" s="52"/>
      <c r="I433" s="58"/>
      <c r="J433" s="58"/>
    </row>
    <row r="434">
      <c r="A434" s="52"/>
      <c r="I434" s="58"/>
      <c r="J434" s="58"/>
    </row>
    <row r="435">
      <c r="A435" s="52"/>
      <c r="I435" s="58"/>
      <c r="J435" s="58"/>
    </row>
    <row r="436">
      <c r="A436" s="52"/>
      <c r="I436" s="58"/>
      <c r="J436" s="58"/>
    </row>
    <row r="437">
      <c r="A437" s="52"/>
      <c r="I437" s="58"/>
      <c r="J437" s="58"/>
    </row>
    <row r="438">
      <c r="A438" s="52"/>
      <c r="I438" s="58"/>
      <c r="J438" s="58"/>
    </row>
    <row r="439">
      <c r="A439" s="52"/>
      <c r="I439" s="58"/>
      <c r="J439" s="58"/>
    </row>
    <row r="440">
      <c r="A440" s="52"/>
      <c r="I440" s="58"/>
      <c r="J440" s="58"/>
    </row>
    <row r="441">
      <c r="A441" s="52"/>
      <c r="I441" s="58"/>
      <c r="J441" s="58"/>
    </row>
    <row r="442">
      <c r="A442" s="52"/>
      <c r="I442" s="58"/>
      <c r="J442" s="58"/>
    </row>
    <row r="443">
      <c r="A443" s="52"/>
      <c r="I443" s="58"/>
      <c r="J443" s="58"/>
    </row>
    <row r="444">
      <c r="A444" s="52"/>
      <c r="I444" s="58"/>
      <c r="J444" s="58"/>
    </row>
    <row r="445">
      <c r="A445" s="52"/>
      <c r="I445" s="58"/>
      <c r="J445" s="58"/>
    </row>
    <row r="446">
      <c r="A446" s="52"/>
      <c r="I446" s="58"/>
      <c r="J446" s="58"/>
    </row>
    <row r="447">
      <c r="A447" s="52"/>
      <c r="I447" s="58"/>
      <c r="J447" s="58"/>
    </row>
    <row r="448">
      <c r="A448" s="52"/>
      <c r="I448" s="58"/>
      <c r="J448" s="58"/>
    </row>
    <row r="449">
      <c r="A449" s="52"/>
      <c r="I449" s="58"/>
      <c r="J449" s="58"/>
    </row>
    <row r="450">
      <c r="A450" s="52"/>
      <c r="I450" s="58"/>
      <c r="J450" s="58"/>
    </row>
    <row r="451">
      <c r="A451" s="52"/>
      <c r="I451" s="58"/>
      <c r="J451" s="58"/>
    </row>
    <row r="452">
      <c r="A452" s="52"/>
      <c r="I452" s="58"/>
      <c r="J452" s="58"/>
    </row>
    <row r="453">
      <c r="A453" s="52"/>
      <c r="I453" s="58"/>
      <c r="J453" s="58"/>
    </row>
    <row r="454">
      <c r="A454" s="52"/>
      <c r="I454" s="58"/>
      <c r="J454" s="58"/>
    </row>
    <row r="455">
      <c r="A455" s="52"/>
      <c r="I455" s="58"/>
      <c r="J455" s="58"/>
    </row>
    <row r="456">
      <c r="A456" s="52"/>
      <c r="I456" s="58"/>
      <c r="J456" s="58"/>
    </row>
    <row r="457">
      <c r="A457" s="52"/>
      <c r="I457" s="58"/>
      <c r="J457" s="58"/>
    </row>
    <row r="458">
      <c r="A458" s="52"/>
      <c r="I458" s="58"/>
      <c r="J458" s="58"/>
    </row>
    <row r="459">
      <c r="A459" s="52"/>
      <c r="I459" s="58"/>
      <c r="J459" s="58"/>
    </row>
    <row r="460">
      <c r="A460" s="52"/>
      <c r="I460" s="58"/>
      <c r="J460" s="58"/>
    </row>
    <row r="461">
      <c r="A461" s="52"/>
      <c r="I461" s="58"/>
      <c r="J461" s="58"/>
    </row>
    <row r="462">
      <c r="A462" s="52"/>
      <c r="I462" s="58"/>
      <c r="J462" s="58"/>
    </row>
    <row r="463">
      <c r="A463" s="52"/>
      <c r="I463" s="58"/>
      <c r="J463" s="58"/>
    </row>
    <row r="464">
      <c r="A464" s="52"/>
      <c r="I464" s="58"/>
      <c r="J464" s="58"/>
    </row>
    <row r="465">
      <c r="A465" s="52"/>
      <c r="I465" s="58"/>
      <c r="J465" s="58"/>
    </row>
    <row r="466">
      <c r="A466" s="52"/>
      <c r="I466" s="58"/>
      <c r="J466" s="58"/>
    </row>
    <row r="467">
      <c r="A467" s="52"/>
      <c r="I467" s="58"/>
      <c r="J467" s="58"/>
    </row>
    <row r="468">
      <c r="A468" s="52"/>
      <c r="I468" s="58"/>
      <c r="J468" s="58"/>
    </row>
    <row r="469">
      <c r="A469" s="52"/>
      <c r="I469" s="58"/>
      <c r="J469" s="58"/>
    </row>
    <row r="470">
      <c r="A470" s="52"/>
      <c r="I470" s="58"/>
      <c r="J470" s="58"/>
    </row>
    <row r="471">
      <c r="A471" s="52"/>
      <c r="I471" s="58"/>
      <c r="J471" s="58"/>
    </row>
    <row r="472">
      <c r="A472" s="52"/>
      <c r="I472" s="58"/>
      <c r="J472" s="58"/>
    </row>
    <row r="473">
      <c r="A473" s="52"/>
      <c r="I473" s="58"/>
      <c r="J473" s="58"/>
    </row>
    <row r="474">
      <c r="A474" s="52"/>
      <c r="I474" s="58"/>
      <c r="J474" s="58"/>
    </row>
    <row r="475">
      <c r="A475" s="52"/>
      <c r="I475" s="58"/>
      <c r="J475" s="58"/>
    </row>
    <row r="476">
      <c r="A476" s="52"/>
      <c r="I476" s="58"/>
      <c r="J476" s="58"/>
    </row>
    <row r="477">
      <c r="A477" s="52"/>
      <c r="I477" s="58"/>
      <c r="J477" s="58"/>
    </row>
    <row r="478">
      <c r="A478" s="52"/>
      <c r="I478" s="58"/>
      <c r="J478" s="58"/>
    </row>
    <row r="479">
      <c r="A479" s="52"/>
      <c r="I479" s="58"/>
      <c r="J479" s="58"/>
    </row>
    <row r="480">
      <c r="A480" s="52"/>
      <c r="I480" s="58"/>
      <c r="J480" s="58"/>
    </row>
    <row r="481">
      <c r="A481" s="52"/>
      <c r="I481" s="58"/>
      <c r="J481" s="58"/>
    </row>
    <row r="482">
      <c r="A482" s="52"/>
      <c r="I482" s="58"/>
      <c r="J482" s="58"/>
    </row>
    <row r="483">
      <c r="A483" s="52"/>
      <c r="I483" s="58"/>
      <c r="J483" s="58"/>
    </row>
    <row r="484">
      <c r="A484" s="52"/>
      <c r="I484" s="58"/>
      <c r="J484" s="58"/>
    </row>
    <row r="485">
      <c r="A485" s="52"/>
      <c r="I485" s="58"/>
      <c r="J485" s="58"/>
    </row>
    <row r="486">
      <c r="A486" s="52"/>
      <c r="I486" s="58"/>
      <c r="J486" s="58"/>
    </row>
    <row r="487">
      <c r="A487" s="52"/>
      <c r="I487" s="58"/>
      <c r="J487" s="58"/>
    </row>
    <row r="488">
      <c r="A488" s="52"/>
      <c r="I488" s="58"/>
      <c r="J488" s="58"/>
    </row>
    <row r="489">
      <c r="A489" s="52"/>
      <c r="I489" s="58"/>
      <c r="J489" s="58"/>
    </row>
    <row r="490">
      <c r="A490" s="52"/>
      <c r="I490" s="58"/>
      <c r="J490" s="58"/>
    </row>
    <row r="491">
      <c r="A491" s="52"/>
      <c r="I491" s="58"/>
      <c r="J491" s="58"/>
    </row>
    <row r="492">
      <c r="A492" s="52"/>
      <c r="I492" s="58"/>
      <c r="J492" s="58"/>
    </row>
    <row r="493">
      <c r="A493" s="52"/>
      <c r="I493" s="58"/>
      <c r="J493" s="58"/>
    </row>
    <row r="494">
      <c r="A494" s="52"/>
      <c r="I494" s="58"/>
      <c r="J494" s="58"/>
    </row>
    <row r="495">
      <c r="A495" s="52"/>
      <c r="I495" s="58"/>
      <c r="J495" s="58"/>
    </row>
    <row r="496">
      <c r="A496" s="52"/>
      <c r="I496" s="58"/>
      <c r="J496" s="58"/>
    </row>
    <row r="497">
      <c r="A497" s="52"/>
      <c r="I497" s="58"/>
      <c r="J497" s="58"/>
    </row>
    <row r="498">
      <c r="A498" s="52"/>
      <c r="I498" s="58"/>
      <c r="J498" s="58"/>
    </row>
    <row r="499">
      <c r="A499" s="52"/>
      <c r="I499" s="58"/>
      <c r="J499" s="58"/>
    </row>
    <row r="500">
      <c r="A500" s="52"/>
      <c r="I500" s="58"/>
      <c r="J500" s="58"/>
    </row>
    <row r="501">
      <c r="A501" s="52"/>
      <c r="I501" s="58"/>
      <c r="J501" s="58"/>
    </row>
    <row r="502">
      <c r="A502" s="52"/>
      <c r="I502" s="58"/>
      <c r="J502" s="58"/>
    </row>
    <row r="503">
      <c r="A503" s="52"/>
      <c r="I503" s="58"/>
      <c r="J503" s="58"/>
    </row>
    <row r="504">
      <c r="A504" s="52"/>
      <c r="I504" s="58"/>
      <c r="J504" s="58"/>
    </row>
    <row r="505">
      <c r="A505" s="52"/>
      <c r="I505" s="58"/>
      <c r="J505" s="58"/>
    </row>
    <row r="506">
      <c r="A506" s="52"/>
      <c r="I506" s="58"/>
      <c r="J506" s="58"/>
    </row>
    <row r="507">
      <c r="A507" s="52"/>
      <c r="I507" s="58"/>
      <c r="J507" s="58"/>
    </row>
    <row r="508">
      <c r="A508" s="52"/>
      <c r="I508" s="58"/>
      <c r="J508" s="58"/>
    </row>
    <row r="509">
      <c r="A509" s="52"/>
      <c r="I509" s="58"/>
      <c r="J509" s="58"/>
    </row>
    <row r="510">
      <c r="A510" s="52"/>
      <c r="I510" s="58"/>
      <c r="J510" s="58"/>
    </row>
    <row r="511">
      <c r="A511" s="52"/>
      <c r="I511" s="58"/>
      <c r="J511" s="58"/>
    </row>
    <row r="512">
      <c r="A512" s="52"/>
      <c r="I512" s="58"/>
      <c r="J512" s="58"/>
    </row>
    <row r="513">
      <c r="A513" s="52"/>
      <c r="I513" s="58"/>
      <c r="J513" s="58"/>
    </row>
    <row r="514">
      <c r="A514" s="52"/>
      <c r="I514" s="58"/>
      <c r="J514" s="58"/>
    </row>
    <row r="515">
      <c r="A515" s="52"/>
      <c r="I515" s="58"/>
      <c r="J515" s="58"/>
    </row>
    <row r="516">
      <c r="A516" s="52"/>
      <c r="I516" s="58"/>
      <c r="J516" s="58"/>
    </row>
    <row r="517">
      <c r="A517" s="52"/>
      <c r="I517" s="58"/>
      <c r="J517" s="58"/>
    </row>
    <row r="518">
      <c r="A518" s="52"/>
      <c r="I518" s="58"/>
      <c r="J518" s="58"/>
    </row>
    <row r="519">
      <c r="A519" s="52"/>
      <c r="I519" s="58"/>
      <c r="J519" s="58"/>
    </row>
    <row r="520">
      <c r="A520" s="52"/>
      <c r="I520" s="58"/>
      <c r="J520" s="58"/>
    </row>
    <row r="521">
      <c r="A521" s="52"/>
      <c r="I521" s="58"/>
      <c r="J521" s="58"/>
    </row>
    <row r="522">
      <c r="A522" s="52"/>
      <c r="I522" s="58"/>
      <c r="J522" s="58"/>
    </row>
    <row r="523">
      <c r="A523" s="52"/>
      <c r="I523" s="58"/>
      <c r="J523" s="58"/>
    </row>
    <row r="524">
      <c r="A524" s="52"/>
      <c r="I524" s="58"/>
      <c r="J524" s="58"/>
    </row>
    <row r="525">
      <c r="A525" s="52"/>
      <c r="I525" s="58"/>
      <c r="J525" s="58"/>
    </row>
    <row r="526">
      <c r="A526" s="52"/>
      <c r="I526" s="58"/>
      <c r="J526" s="58"/>
    </row>
    <row r="527">
      <c r="A527" s="52"/>
      <c r="I527" s="58"/>
      <c r="J527" s="58"/>
    </row>
    <row r="528">
      <c r="A528" s="52"/>
      <c r="I528" s="58"/>
      <c r="J528" s="58"/>
    </row>
    <row r="529">
      <c r="A529" s="52"/>
      <c r="I529" s="58"/>
      <c r="J529" s="58"/>
    </row>
    <row r="530">
      <c r="A530" s="52"/>
      <c r="I530" s="58"/>
      <c r="J530" s="58"/>
    </row>
    <row r="531">
      <c r="A531" s="52"/>
      <c r="I531" s="58"/>
      <c r="J531" s="58"/>
    </row>
    <row r="532">
      <c r="A532" s="52"/>
      <c r="I532" s="58"/>
      <c r="J532" s="58"/>
    </row>
    <row r="533">
      <c r="A533" s="52"/>
      <c r="I533" s="58"/>
      <c r="J533" s="58"/>
    </row>
    <row r="534">
      <c r="A534" s="52"/>
      <c r="I534" s="58"/>
      <c r="J534" s="58"/>
    </row>
    <row r="535">
      <c r="A535" s="52"/>
      <c r="I535" s="58"/>
      <c r="J535" s="58"/>
    </row>
    <row r="536">
      <c r="A536" s="52"/>
      <c r="I536" s="58"/>
      <c r="J536" s="58"/>
    </row>
    <row r="537">
      <c r="A537" s="52"/>
      <c r="I537" s="58"/>
      <c r="J537" s="58"/>
    </row>
    <row r="538">
      <c r="A538" s="52"/>
      <c r="I538" s="58"/>
      <c r="J538" s="58"/>
    </row>
    <row r="539">
      <c r="A539" s="52"/>
      <c r="I539" s="58"/>
      <c r="J539" s="58"/>
    </row>
    <row r="540">
      <c r="A540" s="52"/>
      <c r="I540" s="58"/>
      <c r="J540" s="58"/>
    </row>
    <row r="541">
      <c r="A541" s="52"/>
      <c r="I541" s="58"/>
      <c r="J541" s="58"/>
    </row>
    <row r="542">
      <c r="A542" s="52"/>
      <c r="I542" s="58"/>
      <c r="J542" s="58"/>
    </row>
    <row r="543">
      <c r="A543" s="52"/>
      <c r="I543" s="58"/>
      <c r="J543" s="58"/>
    </row>
    <row r="544">
      <c r="A544" s="52"/>
      <c r="I544" s="58"/>
      <c r="J544" s="58"/>
    </row>
    <row r="545">
      <c r="A545" s="52"/>
      <c r="I545" s="58"/>
      <c r="J545" s="58"/>
    </row>
    <row r="546">
      <c r="A546" s="52"/>
      <c r="I546" s="58"/>
      <c r="J546" s="58"/>
    </row>
    <row r="547">
      <c r="A547" s="52"/>
      <c r="I547" s="58"/>
      <c r="J547" s="58"/>
    </row>
    <row r="548">
      <c r="A548" s="52"/>
      <c r="I548" s="58"/>
      <c r="J548" s="58"/>
    </row>
    <row r="549">
      <c r="A549" s="52"/>
      <c r="I549" s="58"/>
      <c r="J549" s="58"/>
    </row>
    <row r="550">
      <c r="A550" s="52"/>
      <c r="I550" s="58"/>
      <c r="J550" s="58"/>
    </row>
    <row r="551">
      <c r="A551" s="52"/>
      <c r="I551" s="58"/>
      <c r="J551" s="58"/>
    </row>
    <row r="552">
      <c r="A552" s="52"/>
      <c r="I552" s="58"/>
      <c r="J552" s="58"/>
    </row>
    <row r="553">
      <c r="A553" s="52"/>
      <c r="I553" s="58"/>
      <c r="J553" s="58"/>
    </row>
    <row r="554">
      <c r="A554" s="52"/>
      <c r="I554" s="58"/>
      <c r="J554" s="58"/>
    </row>
    <row r="555">
      <c r="A555" s="52"/>
      <c r="I555" s="58"/>
      <c r="J555" s="58"/>
    </row>
    <row r="556">
      <c r="A556" s="52"/>
      <c r="I556" s="58"/>
      <c r="J556" s="58"/>
    </row>
    <row r="557">
      <c r="A557" s="52"/>
      <c r="I557" s="58"/>
      <c r="J557" s="58"/>
    </row>
    <row r="558">
      <c r="A558" s="52"/>
      <c r="I558" s="58"/>
      <c r="J558" s="58"/>
    </row>
    <row r="559">
      <c r="A559" s="52"/>
      <c r="I559" s="58"/>
      <c r="J559" s="58"/>
    </row>
    <row r="560">
      <c r="A560" s="52"/>
      <c r="I560" s="58"/>
      <c r="J560" s="58"/>
    </row>
    <row r="561">
      <c r="A561" s="52"/>
      <c r="I561" s="58"/>
      <c r="J561" s="58"/>
    </row>
    <row r="562">
      <c r="A562" s="52"/>
      <c r="I562" s="58"/>
      <c r="J562" s="58"/>
    </row>
    <row r="563">
      <c r="A563" s="52"/>
      <c r="I563" s="58"/>
      <c r="J563" s="58"/>
    </row>
    <row r="564">
      <c r="A564" s="52"/>
      <c r="I564" s="58"/>
      <c r="J564" s="58"/>
    </row>
    <row r="565">
      <c r="A565" s="52"/>
      <c r="I565" s="58"/>
      <c r="J565" s="58"/>
    </row>
    <row r="566">
      <c r="A566" s="52"/>
      <c r="I566" s="58"/>
      <c r="J566" s="58"/>
    </row>
    <row r="567">
      <c r="A567" s="52"/>
      <c r="I567" s="58"/>
      <c r="J567" s="58"/>
    </row>
    <row r="568">
      <c r="A568" s="52"/>
      <c r="I568" s="58"/>
      <c r="J568" s="58"/>
    </row>
    <row r="569">
      <c r="A569" s="52"/>
      <c r="I569" s="58"/>
      <c r="J569" s="58"/>
    </row>
    <row r="570">
      <c r="A570" s="52"/>
      <c r="I570" s="58"/>
      <c r="J570" s="58"/>
    </row>
    <row r="571">
      <c r="A571" s="52"/>
      <c r="I571" s="58"/>
      <c r="J571" s="58"/>
    </row>
    <row r="572">
      <c r="A572" s="52"/>
      <c r="I572" s="58"/>
      <c r="J572" s="58"/>
    </row>
    <row r="573">
      <c r="A573" s="52"/>
      <c r="I573" s="58"/>
      <c r="J573" s="58"/>
    </row>
    <row r="574">
      <c r="A574" s="52"/>
      <c r="I574" s="58"/>
      <c r="J574" s="58"/>
    </row>
    <row r="575">
      <c r="A575" s="52"/>
      <c r="I575" s="58"/>
      <c r="J575" s="58"/>
    </row>
    <row r="576">
      <c r="A576" s="52"/>
      <c r="I576" s="58"/>
      <c r="J576" s="58"/>
    </row>
    <row r="577">
      <c r="A577" s="52"/>
      <c r="I577" s="58"/>
      <c r="J577" s="58"/>
    </row>
    <row r="578">
      <c r="A578" s="52"/>
      <c r="I578" s="58"/>
      <c r="J578" s="58"/>
    </row>
    <row r="579">
      <c r="A579" s="52"/>
      <c r="I579" s="58"/>
      <c r="J579" s="58"/>
    </row>
    <row r="580">
      <c r="A580" s="52"/>
      <c r="I580" s="58"/>
      <c r="J580" s="58"/>
    </row>
    <row r="581">
      <c r="A581" s="52"/>
      <c r="I581" s="58"/>
      <c r="J581" s="58"/>
    </row>
    <row r="582">
      <c r="A582" s="52"/>
      <c r="I582" s="58"/>
      <c r="J582" s="58"/>
    </row>
    <row r="583">
      <c r="A583" s="52"/>
      <c r="I583" s="58"/>
      <c r="J583" s="58"/>
    </row>
    <row r="584">
      <c r="A584" s="52"/>
      <c r="I584" s="58"/>
      <c r="J584" s="58"/>
    </row>
    <row r="585">
      <c r="A585" s="52"/>
      <c r="I585" s="58"/>
      <c r="J585" s="58"/>
    </row>
    <row r="586">
      <c r="A586" s="52"/>
      <c r="I586" s="58"/>
      <c r="J586" s="58"/>
    </row>
    <row r="587">
      <c r="A587" s="52"/>
      <c r="I587" s="58"/>
      <c r="J587" s="58"/>
    </row>
    <row r="588">
      <c r="A588" s="52"/>
      <c r="I588" s="58"/>
      <c r="J588" s="58"/>
    </row>
    <row r="589">
      <c r="A589" s="52"/>
      <c r="I589" s="58"/>
      <c r="J589" s="58"/>
    </row>
    <row r="590">
      <c r="A590" s="52"/>
      <c r="I590" s="58"/>
      <c r="J590" s="58"/>
    </row>
    <row r="591">
      <c r="A591" s="52"/>
      <c r="I591" s="58"/>
      <c r="J591" s="58"/>
    </row>
    <row r="592">
      <c r="A592" s="52"/>
      <c r="I592" s="58"/>
      <c r="J592" s="58"/>
    </row>
    <row r="593">
      <c r="A593" s="52"/>
      <c r="I593" s="58"/>
      <c r="J593" s="58"/>
    </row>
    <row r="594">
      <c r="A594" s="52"/>
      <c r="I594" s="58"/>
      <c r="J594" s="58"/>
    </row>
    <row r="595">
      <c r="A595" s="52"/>
      <c r="I595" s="58"/>
      <c r="J595" s="58"/>
    </row>
    <row r="596">
      <c r="A596" s="52"/>
      <c r="I596" s="58"/>
      <c r="J596" s="58"/>
    </row>
    <row r="597">
      <c r="A597" s="52"/>
      <c r="I597" s="58"/>
      <c r="J597" s="58"/>
    </row>
    <row r="598">
      <c r="A598" s="52"/>
      <c r="I598" s="58"/>
      <c r="J598" s="58"/>
    </row>
    <row r="599">
      <c r="A599" s="52"/>
      <c r="I599" s="58"/>
      <c r="J599" s="58"/>
    </row>
    <row r="600">
      <c r="A600" s="52"/>
      <c r="I600" s="58"/>
      <c r="J600" s="58"/>
    </row>
    <row r="601">
      <c r="A601" s="52"/>
      <c r="I601" s="58"/>
      <c r="J601" s="58"/>
    </row>
    <row r="602">
      <c r="A602" s="52"/>
      <c r="I602" s="58"/>
      <c r="J602" s="58"/>
    </row>
    <row r="603">
      <c r="A603" s="52"/>
      <c r="I603" s="58"/>
      <c r="J603" s="58"/>
    </row>
    <row r="604">
      <c r="A604" s="52"/>
      <c r="I604" s="58"/>
      <c r="J604" s="58"/>
    </row>
    <row r="605">
      <c r="A605" s="52"/>
      <c r="I605" s="58"/>
      <c r="J605" s="58"/>
    </row>
    <row r="606">
      <c r="A606" s="52"/>
      <c r="I606" s="58"/>
      <c r="J606" s="58"/>
    </row>
    <row r="607">
      <c r="A607" s="52"/>
      <c r="I607" s="58"/>
      <c r="J607" s="58"/>
    </row>
    <row r="608">
      <c r="A608" s="52"/>
      <c r="I608" s="58"/>
      <c r="J608" s="58"/>
    </row>
    <row r="609">
      <c r="A609" s="52"/>
      <c r="I609" s="58"/>
      <c r="J609" s="58"/>
    </row>
    <row r="610">
      <c r="A610" s="52"/>
      <c r="I610" s="58"/>
      <c r="J610" s="58"/>
    </row>
    <row r="611">
      <c r="A611" s="52"/>
      <c r="I611" s="58"/>
      <c r="J611" s="58"/>
    </row>
    <row r="612">
      <c r="A612" s="52"/>
      <c r="I612" s="58"/>
      <c r="J612" s="58"/>
    </row>
    <row r="613">
      <c r="A613" s="52"/>
      <c r="I613" s="58"/>
      <c r="J613" s="58"/>
    </row>
    <row r="614">
      <c r="A614" s="52"/>
      <c r="I614" s="58"/>
      <c r="J614" s="58"/>
    </row>
    <row r="615">
      <c r="A615" s="52"/>
      <c r="I615" s="58"/>
      <c r="J615" s="58"/>
    </row>
    <row r="616">
      <c r="A616" s="52"/>
      <c r="I616" s="58"/>
      <c r="J616" s="58"/>
    </row>
    <row r="617">
      <c r="A617" s="52"/>
      <c r="I617" s="58"/>
      <c r="J617" s="58"/>
    </row>
    <row r="618">
      <c r="A618" s="52"/>
      <c r="I618" s="58"/>
      <c r="J618" s="58"/>
    </row>
    <row r="619">
      <c r="A619" s="52"/>
      <c r="I619" s="58"/>
      <c r="J619" s="58"/>
    </row>
    <row r="620">
      <c r="A620" s="52"/>
      <c r="I620" s="58"/>
      <c r="J620" s="58"/>
    </row>
    <row r="621">
      <c r="A621" s="52"/>
      <c r="I621" s="58"/>
      <c r="J621" s="58"/>
    </row>
    <row r="622">
      <c r="A622" s="52"/>
      <c r="I622" s="58"/>
      <c r="J622" s="58"/>
    </row>
    <row r="623">
      <c r="A623" s="52"/>
      <c r="I623" s="58"/>
      <c r="J623" s="58"/>
    </row>
    <row r="624">
      <c r="A624" s="52"/>
      <c r="I624" s="58"/>
      <c r="J624" s="58"/>
    </row>
    <row r="625">
      <c r="A625" s="52"/>
      <c r="I625" s="58"/>
      <c r="J625" s="58"/>
    </row>
    <row r="626">
      <c r="A626" s="52"/>
      <c r="I626" s="58"/>
      <c r="J626" s="58"/>
    </row>
    <row r="627">
      <c r="A627" s="52"/>
      <c r="I627" s="58"/>
      <c r="J627" s="58"/>
    </row>
    <row r="628">
      <c r="A628" s="52"/>
      <c r="I628" s="58"/>
      <c r="J628" s="58"/>
    </row>
    <row r="629">
      <c r="A629" s="52"/>
      <c r="I629" s="58"/>
      <c r="J629" s="58"/>
    </row>
    <row r="630">
      <c r="A630" s="52"/>
      <c r="I630" s="58"/>
      <c r="J630" s="58"/>
    </row>
    <row r="631">
      <c r="A631" s="52"/>
      <c r="I631" s="58"/>
      <c r="J631" s="58"/>
    </row>
    <row r="632">
      <c r="A632" s="52"/>
      <c r="I632" s="58"/>
      <c r="J632" s="58"/>
    </row>
    <row r="633">
      <c r="A633" s="52"/>
      <c r="I633" s="58"/>
      <c r="J633" s="58"/>
    </row>
    <row r="634">
      <c r="A634" s="52"/>
      <c r="I634" s="58"/>
      <c r="J634" s="58"/>
    </row>
    <row r="635">
      <c r="A635" s="52"/>
      <c r="I635" s="58"/>
      <c r="J635" s="58"/>
    </row>
    <row r="636">
      <c r="A636" s="52"/>
      <c r="I636" s="58"/>
      <c r="J636" s="58"/>
    </row>
    <row r="637">
      <c r="A637" s="52"/>
      <c r="I637" s="58"/>
      <c r="J637" s="58"/>
    </row>
    <row r="638">
      <c r="A638" s="52"/>
      <c r="I638" s="58"/>
      <c r="J638" s="58"/>
    </row>
    <row r="639">
      <c r="A639" s="52"/>
      <c r="I639" s="58"/>
      <c r="J639" s="58"/>
    </row>
    <row r="640">
      <c r="A640" s="52"/>
      <c r="I640" s="58"/>
      <c r="J640" s="58"/>
    </row>
    <row r="641">
      <c r="A641" s="52"/>
      <c r="I641" s="58"/>
      <c r="J641" s="58"/>
    </row>
    <row r="642">
      <c r="A642" s="52"/>
      <c r="I642" s="58"/>
      <c r="J642" s="58"/>
    </row>
    <row r="643">
      <c r="A643" s="52"/>
      <c r="I643" s="58"/>
      <c r="J643" s="58"/>
    </row>
    <row r="644">
      <c r="A644" s="52"/>
      <c r="I644" s="58"/>
      <c r="J644" s="58"/>
    </row>
    <row r="645">
      <c r="A645" s="52"/>
      <c r="I645" s="58"/>
      <c r="J645" s="58"/>
    </row>
    <row r="646">
      <c r="A646" s="52"/>
      <c r="I646" s="58"/>
      <c r="J646" s="58"/>
    </row>
    <row r="647">
      <c r="A647" s="52"/>
      <c r="I647" s="58"/>
      <c r="J647" s="58"/>
    </row>
    <row r="648">
      <c r="A648" s="52"/>
      <c r="I648" s="58"/>
      <c r="J648" s="58"/>
    </row>
    <row r="649">
      <c r="A649" s="52"/>
      <c r="I649" s="58"/>
      <c r="J649" s="58"/>
    </row>
    <row r="650">
      <c r="A650" s="52"/>
      <c r="I650" s="58"/>
      <c r="J650" s="58"/>
    </row>
    <row r="651">
      <c r="A651" s="52"/>
      <c r="I651" s="58"/>
      <c r="J651" s="58"/>
    </row>
    <row r="652">
      <c r="A652" s="52"/>
      <c r="I652" s="58"/>
      <c r="J652" s="58"/>
    </row>
    <row r="653">
      <c r="A653" s="52"/>
      <c r="I653" s="58"/>
      <c r="J653" s="58"/>
    </row>
    <row r="654">
      <c r="A654" s="52"/>
      <c r="I654" s="58"/>
      <c r="J654" s="58"/>
    </row>
    <row r="655">
      <c r="A655" s="52"/>
      <c r="I655" s="58"/>
      <c r="J655" s="58"/>
    </row>
    <row r="656">
      <c r="A656" s="52"/>
      <c r="I656" s="58"/>
      <c r="J656" s="58"/>
    </row>
    <row r="657">
      <c r="A657" s="52"/>
      <c r="I657" s="58"/>
      <c r="J657" s="58"/>
    </row>
    <row r="658">
      <c r="A658" s="52"/>
      <c r="I658" s="58"/>
      <c r="J658" s="58"/>
    </row>
    <row r="659">
      <c r="A659" s="52"/>
      <c r="I659" s="58"/>
      <c r="J659" s="58"/>
    </row>
    <row r="660">
      <c r="A660" s="52"/>
      <c r="I660" s="58"/>
      <c r="J660" s="58"/>
    </row>
    <row r="661">
      <c r="A661" s="52"/>
      <c r="I661" s="58"/>
      <c r="J661" s="58"/>
    </row>
    <row r="662">
      <c r="A662" s="52"/>
      <c r="I662" s="58"/>
      <c r="J662" s="58"/>
    </row>
    <row r="663">
      <c r="A663" s="52"/>
      <c r="I663" s="58"/>
      <c r="J663" s="58"/>
    </row>
    <row r="664">
      <c r="A664" s="52"/>
      <c r="I664" s="58"/>
      <c r="J664" s="58"/>
    </row>
    <row r="665">
      <c r="A665" s="52"/>
      <c r="I665" s="58"/>
      <c r="J665" s="58"/>
    </row>
    <row r="666">
      <c r="A666" s="52"/>
      <c r="I666" s="58"/>
      <c r="J666" s="58"/>
    </row>
    <row r="667">
      <c r="A667" s="52"/>
      <c r="I667" s="58"/>
      <c r="J667" s="58"/>
    </row>
    <row r="668">
      <c r="A668" s="52"/>
      <c r="I668" s="58"/>
      <c r="J668" s="58"/>
    </row>
    <row r="669">
      <c r="A669" s="52"/>
      <c r="I669" s="58"/>
      <c r="J669" s="58"/>
    </row>
    <row r="670">
      <c r="A670" s="52"/>
      <c r="I670" s="58"/>
      <c r="J670" s="58"/>
    </row>
    <row r="671">
      <c r="A671" s="52"/>
      <c r="I671" s="58"/>
      <c r="J671" s="58"/>
    </row>
    <row r="672">
      <c r="A672" s="52"/>
      <c r="I672" s="58"/>
      <c r="J672" s="58"/>
    </row>
    <row r="673">
      <c r="A673" s="52"/>
      <c r="I673" s="58"/>
      <c r="J673" s="58"/>
    </row>
    <row r="674">
      <c r="A674" s="52"/>
      <c r="I674" s="58"/>
      <c r="J674" s="58"/>
    </row>
    <row r="675">
      <c r="A675" s="52"/>
      <c r="I675" s="58"/>
      <c r="J675" s="58"/>
    </row>
    <row r="676">
      <c r="A676" s="52"/>
      <c r="I676" s="58"/>
      <c r="J676" s="58"/>
    </row>
    <row r="677">
      <c r="A677" s="52"/>
      <c r="I677" s="58"/>
      <c r="J677" s="58"/>
    </row>
    <row r="678">
      <c r="A678" s="52"/>
      <c r="I678" s="58"/>
      <c r="J678" s="58"/>
    </row>
    <row r="679">
      <c r="A679" s="52"/>
      <c r="I679" s="58"/>
      <c r="J679" s="58"/>
    </row>
    <row r="680">
      <c r="A680" s="52"/>
      <c r="I680" s="58"/>
      <c r="J680" s="58"/>
    </row>
    <row r="681">
      <c r="A681" s="52"/>
      <c r="I681" s="58"/>
      <c r="J681" s="58"/>
    </row>
    <row r="682">
      <c r="A682" s="52"/>
      <c r="I682" s="58"/>
      <c r="J682" s="58"/>
    </row>
    <row r="683">
      <c r="A683" s="52"/>
      <c r="I683" s="58"/>
      <c r="J683" s="58"/>
    </row>
    <row r="684">
      <c r="A684" s="52"/>
      <c r="I684" s="58"/>
      <c r="J684" s="58"/>
    </row>
    <row r="685">
      <c r="A685" s="52"/>
      <c r="I685" s="58"/>
      <c r="J685" s="58"/>
    </row>
    <row r="686">
      <c r="A686" s="52"/>
      <c r="I686" s="58"/>
      <c r="J686" s="58"/>
    </row>
    <row r="687">
      <c r="A687" s="52"/>
      <c r="I687" s="58"/>
      <c r="J687" s="58"/>
    </row>
    <row r="688">
      <c r="A688" s="52"/>
      <c r="I688" s="58"/>
      <c r="J688" s="58"/>
    </row>
    <row r="689">
      <c r="A689" s="52"/>
      <c r="I689" s="58"/>
      <c r="J689" s="58"/>
    </row>
    <row r="690">
      <c r="A690" s="52"/>
      <c r="I690" s="58"/>
      <c r="J690" s="58"/>
    </row>
    <row r="691">
      <c r="A691" s="52"/>
      <c r="I691" s="58"/>
      <c r="J691" s="58"/>
    </row>
    <row r="692">
      <c r="A692" s="52"/>
      <c r="I692" s="58"/>
      <c r="J692" s="58"/>
    </row>
    <row r="693">
      <c r="A693" s="52"/>
      <c r="I693" s="58"/>
      <c r="J693" s="58"/>
    </row>
    <row r="694">
      <c r="A694" s="52"/>
      <c r="I694" s="58"/>
      <c r="J694" s="58"/>
    </row>
    <row r="695">
      <c r="A695" s="52"/>
      <c r="I695" s="58"/>
      <c r="J695" s="58"/>
    </row>
    <row r="696">
      <c r="A696" s="52"/>
      <c r="I696" s="58"/>
      <c r="J696" s="58"/>
    </row>
    <row r="697">
      <c r="A697" s="52"/>
      <c r="I697" s="58"/>
      <c r="J697" s="58"/>
    </row>
    <row r="698">
      <c r="A698" s="52"/>
      <c r="I698" s="58"/>
      <c r="J698" s="58"/>
    </row>
    <row r="699">
      <c r="A699" s="52"/>
      <c r="I699" s="58"/>
      <c r="J699" s="58"/>
    </row>
    <row r="700">
      <c r="A700" s="52"/>
      <c r="I700" s="58"/>
      <c r="J700" s="58"/>
    </row>
    <row r="701">
      <c r="A701" s="52"/>
      <c r="I701" s="58"/>
      <c r="J701" s="58"/>
    </row>
    <row r="702">
      <c r="A702" s="52"/>
      <c r="I702" s="58"/>
      <c r="J702" s="58"/>
    </row>
    <row r="703">
      <c r="A703" s="52"/>
      <c r="I703" s="58"/>
      <c r="J703" s="58"/>
    </row>
    <row r="704">
      <c r="A704" s="52"/>
      <c r="I704" s="58"/>
      <c r="J704" s="58"/>
    </row>
    <row r="705">
      <c r="A705" s="52"/>
      <c r="I705" s="58"/>
      <c r="J705" s="58"/>
    </row>
    <row r="706">
      <c r="A706" s="52"/>
      <c r="I706" s="58"/>
      <c r="J706" s="58"/>
    </row>
    <row r="707">
      <c r="A707" s="52"/>
      <c r="I707" s="58"/>
      <c r="J707" s="58"/>
    </row>
    <row r="708">
      <c r="A708" s="52"/>
      <c r="I708" s="58"/>
      <c r="J708" s="58"/>
    </row>
    <row r="709">
      <c r="A709" s="52"/>
      <c r="I709" s="58"/>
      <c r="J709" s="58"/>
    </row>
    <row r="710">
      <c r="A710" s="52"/>
      <c r="I710" s="58"/>
      <c r="J710" s="58"/>
    </row>
    <row r="711">
      <c r="A711" s="52"/>
      <c r="I711" s="58"/>
      <c r="J711" s="58"/>
    </row>
    <row r="712">
      <c r="A712" s="52"/>
      <c r="I712" s="58"/>
      <c r="J712" s="58"/>
    </row>
    <row r="713">
      <c r="A713" s="52"/>
      <c r="I713" s="58"/>
      <c r="J713" s="58"/>
    </row>
    <row r="714">
      <c r="A714" s="52"/>
      <c r="I714" s="58"/>
      <c r="J714" s="58"/>
    </row>
    <row r="715">
      <c r="A715" s="52"/>
      <c r="I715" s="58"/>
      <c r="J715" s="58"/>
    </row>
    <row r="716">
      <c r="A716" s="52"/>
      <c r="I716" s="58"/>
      <c r="J716" s="58"/>
    </row>
    <row r="717">
      <c r="A717" s="52"/>
      <c r="I717" s="58"/>
      <c r="J717" s="58"/>
    </row>
    <row r="718">
      <c r="A718" s="52"/>
      <c r="I718" s="58"/>
      <c r="J718" s="58"/>
    </row>
    <row r="719">
      <c r="A719" s="52"/>
      <c r="I719" s="58"/>
      <c r="J719" s="58"/>
    </row>
    <row r="720">
      <c r="A720" s="52"/>
      <c r="I720" s="58"/>
      <c r="J720" s="58"/>
    </row>
    <row r="721">
      <c r="A721" s="52"/>
      <c r="I721" s="58"/>
      <c r="J721" s="58"/>
    </row>
    <row r="722">
      <c r="A722" s="52"/>
      <c r="I722" s="58"/>
      <c r="J722" s="58"/>
    </row>
    <row r="723">
      <c r="A723" s="52"/>
      <c r="I723" s="58"/>
      <c r="J723" s="58"/>
    </row>
    <row r="724">
      <c r="A724" s="52"/>
      <c r="I724" s="58"/>
      <c r="J724" s="58"/>
    </row>
    <row r="725">
      <c r="A725" s="52"/>
      <c r="I725" s="58"/>
      <c r="J725" s="58"/>
    </row>
    <row r="726">
      <c r="A726" s="52"/>
      <c r="I726" s="58"/>
      <c r="J726" s="58"/>
    </row>
    <row r="727">
      <c r="A727" s="52"/>
      <c r="I727" s="58"/>
      <c r="J727" s="58"/>
    </row>
    <row r="728">
      <c r="A728" s="52"/>
      <c r="I728" s="58"/>
      <c r="J728" s="58"/>
    </row>
    <row r="729">
      <c r="A729" s="52"/>
      <c r="I729" s="58"/>
      <c r="J729" s="58"/>
    </row>
    <row r="730">
      <c r="A730" s="52"/>
      <c r="I730" s="58"/>
      <c r="J730" s="58"/>
    </row>
    <row r="731">
      <c r="A731" s="52"/>
      <c r="I731" s="58"/>
      <c r="J731" s="58"/>
    </row>
    <row r="732">
      <c r="A732" s="52"/>
      <c r="I732" s="58"/>
      <c r="J732" s="58"/>
    </row>
    <row r="733">
      <c r="A733" s="52"/>
      <c r="I733" s="58"/>
      <c r="J733" s="58"/>
    </row>
    <row r="734">
      <c r="A734" s="52"/>
      <c r="I734" s="58"/>
      <c r="J734" s="58"/>
    </row>
    <row r="735">
      <c r="A735" s="52"/>
      <c r="I735" s="58"/>
      <c r="J735" s="58"/>
    </row>
    <row r="736">
      <c r="A736" s="52"/>
      <c r="I736" s="58"/>
      <c r="J736" s="58"/>
    </row>
    <row r="737">
      <c r="A737" s="52"/>
      <c r="I737" s="58"/>
      <c r="J737" s="58"/>
    </row>
    <row r="738">
      <c r="A738" s="52"/>
      <c r="I738" s="58"/>
      <c r="J738" s="58"/>
    </row>
    <row r="739">
      <c r="A739" s="52"/>
      <c r="I739" s="58"/>
      <c r="J739" s="58"/>
    </row>
    <row r="740">
      <c r="A740" s="52"/>
      <c r="I740" s="58"/>
      <c r="J740" s="58"/>
    </row>
    <row r="741">
      <c r="A741" s="52"/>
      <c r="I741" s="58"/>
      <c r="J741" s="58"/>
    </row>
    <row r="742">
      <c r="A742" s="52"/>
      <c r="I742" s="58"/>
      <c r="J742" s="58"/>
    </row>
    <row r="743">
      <c r="A743" s="52"/>
      <c r="I743" s="58"/>
      <c r="J743" s="58"/>
    </row>
    <row r="744">
      <c r="A744" s="52"/>
      <c r="I744" s="58"/>
      <c r="J744" s="58"/>
    </row>
    <row r="745">
      <c r="A745" s="52"/>
      <c r="I745" s="58"/>
      <c r="J745" s="58"/>
    </row>
    <row r="746">
      <c r="A746" s="52"/>
      <c r="I746" s="58"/>
      <c r="J746" s="58"/>
    </row>
    <row r="747">
      <c r="A747" s="52"/>
      <c r="I747" s="58"/>
      <c r="J747" s="58"/>
    </row>
    <row r="748">
      <c r="A748" s="52"/>
      <c r="I748" s="58"/>
      <c r="J748" s="58"/>
    </row>
    <row r="749">
      <c r="A749" s="52"/>
      <c r="I749" s="58"/>
      <c r="J749" s="58"/>
    </row>
    <row r="750">
      <c r="A750" s="52"/>
      <c r="I750" s="58"/>
      <c r="J750" s="58"/>
    </row>
    <row r="751">
      <c r="A751" s="52"/>
      <c r="I751" s="58"/>
      <c r="J751" s="58"/>
    </row>
    <row r="752">
      <c r="A752" s="52"/>
      <c r="I752" s="58"/>
      <c r="J752" s="58"/>
    </row>
    <row r="753">
      <c r="A753" s="52"/>
      <c r="I753" s="58"/>
      <c r="J753" s="58"/>
    </row>
    <row r="754">
      <c r="A754" s="52"/>
      <c r="I754" s="58"/>
      <c r="J754" s="58"/>
    </row>
    <row r="755">
      <c r="A755" s="52"/>
      <c r="I755" s="58"/>
      <c r="J755" s="58"/>
    </row>
    <row r="756">
      <c r="A756" s="52"/>
      <c r="I756" s="58"/>
      <c r="J756" s="58"/>
    </row>
    <row r="757">
      <c r="A757" s="52"/>
      <c r="I757" s="58"/>
      <c r="J757" s="58"/>
    </row>
    <row r="758">
      <c r="A758" s="52"/>
      <c r="I758" s="58"/>
      <c r="J758" s="58"/>
    </row>
    <row r="759">
      <c r="A759" s="52"/>
      <c r="I759" s="58"/>
      <c r="J759" s="58"/>
    </row>
    <row r="760">
      <c r="A760" s="52"/>
      <c r="I760" s="58"/>
      <c r="J760" s="58"/>
    </row>
    <row r="761">
      <c r="A761" s="52"/>
      <c r="I761" s="58"/>
      <c r="J761" s="58"/>
    </row>
    <row r="762">
      <c r="A762" s="52"/>
      <c r="I762" s="58"/>
      <c r="J762" s="58"/>
    </row>
    <row r="763">
      <c r="A763" s="52"/>
      <c r="I763" s="58"/>
      <c r="J763" s="58"/>
    </row>
    <row r="764">
      <c r="A764" s="52"/>
      <c r="I764" s="58"/>
      <c r="J764" s="58"/>
    </row>
    <row r="765">
      <c r="A765" s="52"/>
      <c r="I765" s="58"/>
      <c r="J765" s="58"/>
    </row>
    <row r="766">
      <c r="A766" s="52"/>
      <c r="I766" s="58"/>
      <c r="J766" s="58"/>
    </row>
    <row r="767">
      <c r="A767" s="52"/>
      <c r="I767" s="58"/>
      <c r="J767" s="58"/>
    </row>
    <row r="768">
      <c r="A768" s="52"/>
      <c r="I768" s="58"/>
      <c r="J768" s="58"/>
    </row>
    <row r="769">
      <c r="A769" s="52"/>
      <c r="I769" s="58"/>
      <c r="J769" s="58"/>
    </row>
    <row r="770">
      <c r="A770" s="52"/>
      <c r="I770" s="58"/>
      <c r="J770" s="58"/>
    </row>
    <row r="771">
      <c r="A771" s="52"/>
      <c r="I771" s="58"/>
      <c r="J771" s="58"/>
    </row>
    <row r="772">
      <c r="A772" s="52"/>
      <c r="I772" s="58"/>
      <c r="J772" s="58"/>
    </row>
    <row r="773">
      <c r="A773" s="52"/>
      <c r="I773" s="58"/>
      <c r="J773" s="58"/>
    </row>
    <row r="774">
      <c r="A774" s="52"/>
      <c r="I774" s="58"/>
      <c r="J774" s="58"/>
    </row>
    <row r="775">
      <c r="A775" s="52"/>
      <c r="I775" s="58"/>
      <c r="J775" s="58"/>
    </row>
    <row r="776">
      <c r="A776" s="52"/>
      <c r="I776" s="58"/>
      <c r="J776" s="58"/>
    </row>
    <row r="777">
      <c r="A777" s="52"/>
      <c r="I777" s="58"/>
      <c r="J777" s="58"/>
    </row>
    <row r="778">
      <c r="A778" s="52"/>
      <c r="I778" s="58"/>
      <c r="J778" s="58"/>
    </row>
    <row r="779">
      <c r="A779" s="52"/>
      <c r="I779" s="58"/>
      <c r="J779" s="58"/>
    </row>
    <row r="780">
      <c r="A780" s="52"/>
      <c r="I780" s="58"/>
      <c r="J780" s="58"/>
    </row>
    <row r="781">
      <c r="A781" s="52"/>
      <c r="I781" s="58"/>
      <c r="J781" s="58"/>
    </row>
    <row r="782">
      <c r="A782" s="52"/>
      <c r="I782" s="58"/>
      <c r="J782" s="58"/>
    </row>
    <row r="783">
      <c r="A783" s="52"/>
      <c r="I783" s="58"/>
      <c r="J783" s="58"/>
    </row>
    <row r="784">
      <c r="A784" s="52"/>
      <c r="I784" s="58"/>
      <c r="J784" s="58"/>
    </row>
    <row r="785">
      <c r="A785" s="52"/>
      <c r="I785" s="58"/>
      <c r="J785" s="58"/>
    </row>
    <row r="786">
      <c r="A786" s="52"/>
      <c r="I786" s="58"/>
      <c r="J786" s="58"/>
    </row>
    <row r="787">
      <c r="A787" s="52"/>
      <c r="I787" s="58"/>
      <c r="J787" s="58"/>
    </row>
    <row r="788">
      <c r="A788" s="52"/>
      <c r="I788" s="58"/>
      <c r="J788" s="58"/>
    </row>
    <row r="789">
      <c r="A789" s="52"/>
      <c r="I789" s="58"/>
      <c r="J789" s="58"/>
    </row>
    <row r="790">
      <c r="A790" s="52"/>
      <c r="I790" s="58"/>
      <c r="J790" s="58"/>
    </row>
    <row r="791">
      <c r="A791" s="52"/>
      <c r="I791" s="58"/>
      <c r="J791" s="58"/>
    </row>
    <row r="792">
      <c r="A792" s="52"/>
      <c r="I792" s="58"/>
      <c r="J792" s="58"/>
    </row>
    <row r="793">
      <c r="A793" s="52"/>
      <c r="I793" s="58"/>
      <c r="J793" s="58"/>
    </row>
    <row r="794">
      <c r="A794" s="52"/>
      <c r="I794" s="58"/>
      <c r="J794" s="58"/>
    </row>
    <row r="795">
      <c r="A795" s="52"/>
      <c r="I795" s="58"/>
      <c r="J795" s="58"/>
    </row>
    <row r="796">
      <c r="A796" s="52"/>
      <c r="I796" s="58"/>
      <c r="J796" s="58"/>
    </row>
    <row r="797">
      <c r="A797" s="52"/>
      <c r="I797" s="58"/>
      <c r="J797" s="58"/>
    </row>
    <row r="798">
      <c r="A798" s="52"/>
      <c r="I798" s="58"/>
      <c r="J798" s="58"/>
    </row>
    <row r="799">
      <c r="A799" s="52"/>
      <c r="I799" s="58"/>
      <c r="J799" s="58"/>
    </row>
    <row r="800">
      <c r="A800" s="52"/>
      <c r="I800" s="58"/>
      <c r="J800" s="58"/>
    </row>
    <row r="801">
      <c r="A801" s="52"/>
      <c r="I801" s="58"/>
      <c r="J801" s="58"/>
    </row>
    <row r="802">
      <c r="A802" s="52"/>
      <c r="I802" s="58"/>
      <c r="J802" s="58"/>
    </row>
    <row r="803">
      <c r="A803" s="52"/>
      <c r="I803" s="58"/>
      <c r="J803" s="58"/>
    </row>
    <row r="804">
      <c r="A804" s="52"/>
      <c r="I804" s="58"/>
      <c r="J804" s="58"/>
    </row>
    <row r="805">
      <c r="A805" s="52"/>
      <c r="I805" s="58"/>
      <c r="J805" s="58"/>
    </row>
    <row r="806">
      <c r="A806" s="52"/>
      <c r="I806" s="58"/>
      <c r="J806" s="58"/>
    </row>
    <row r="807">
      <c r="A807" s="52"/>
      <c r="I807" s="58"/>
      <c r="J807" s="58"/>
    </row>
    <row r="808">
      <c r="A808" s="52"/>
      <c r="I808" s="58"/>
      <c r="J808" s="58"/>
    </row>
    <row r="809">
      <c r="A809" s="52"/>
      <c r="I809" s="58"/>
      <c r="J809" s="58"/>
    </row>
    <row r="810">
      <c r="A810" s="52"/>
      <c r="I810" s="58"/>
      <c r="J810" s="58"/>
    </row>
    <row r="811">
      <c r="A811" s="52"/>
      <c r="I811" s="58"/>
      <c r="J811" s="58"/>
    </row>
    <row r="812">
      <c r="A812" s="52"/>
      <c r="I812" s="58"/>
      <c r="J812" s="58"/>
    </row>
    <row r="813">
      <c r="A813" s="52"/>
      <c r="I813" s="58"/>
      <c r="J813" s="58"/>
    </row>
    <row r="814">
      <c r="A814" s="52"/>
      <c r="I814" s="58"/>
      <c r="J814" s="58"/>
    </row>
    <row r="815">
      <c r="A815" s="52"/>
      <c r="I815" s="58"/>
      <c r="J815" s="58"/>
    </row>
    <row r="816">
      <c r="A816" s="52"/>
      <c r="I816" s="58"/>
      <c r="J816" s="58"/>
    </row>
    <row r="817">
      <c r="A817" s="52"/>
      <c r="I817" s="58"/>
      <c r="J817" s="58"/>
    </row>
    <row r="818">
      <c r="A818" s="52"/>
      <c r="I818" s="58"/>
      <c r="J818" s="58"/>
    </row>
    <row r="819">
      <c r="A819" s="52"/>
      <c r="I819" s="58"/>
      <c r="J819" s="58"/>
    </row>
    <row r="820">
      <c r="A820" s="52"/>
      <c r="I820" s="58"/>
      <c r="J820" s="58"/>
    </row>
    <row r="821">
      <c r="A821" s="52"/>
      <c r="I821" s="58"/>
      <c r="J821" s="58"/>
    </row>
    <row r="822">
      <c r="A822" s="52"/>
      <c r="I822" s="58"/>
      <c r="J822" s="58"/>
    </row>
    <row r="823">
      <c r="A823" s="52"/>
      <c r="I823" s="58"/>
      <c r="J823" s="58"/>
    </row>
    <row r="824">
      <c r="A824" s="52"/>
      <c r="I824" s="58"/>
      <c r="J824" s="58"/>
    </row>
    <row r="825">
      <c r="A825" s="52"/>
      <c r="I825" s="58"/>
      <c r="J825" s="58"/>
    </row>
    <row r="826">
      <c r="A826" s="52"/>
      <c r="I826" s="58"/>
      <c r="J826" s="58"/>
    </row>
    <row r="827">
      <c r="A827" s="52"/>
      <c r="I827" s="58"/>
      <c r="J827" s="58"/>
    </row>
    <row r="828">
      <c r="A828" s="52"/>
      <c r="I828" s="58"/>
      <c r="J828" s="58"/>
    </row>
    <row r="829">
      <c r="A829" s="52"/>
      <c r="I829" s="58"/>
      <c r="J829" s="58"/>
    </row>
    <row r="830">
      <c r="A830" s="52"/>
      <c r="I830" s="58"/>
      <c r="J830" s="58"/>
    </row>
    <row r="831">
      <c r="A831" s="52"/>
      <c r="I831" s="58"/>
      <c r="J831" s="58"/>
    </row>
    <row r="832">
      <c r="A832" s="52"/>
      <c r="I832" s="58"/>
      <c r="J832" s="58"/>
    </row>
    <row r="833">
      <c r="A833" s="52"/>
      <c r="I833" s="58"/>
      <c r="J833" s="58"/>
    </row>
    <row r="834">
      <c r="A834" s="52"/>
      <c r="I834" s="58"/>
      <c r="J834" s="58"/>
    </row>
    <row r="835">
      <c r="A835" s="52"/>
      <c r="I835" s="58"/>
      <c r="J835" s="58"/>
    </row>
    <row r="836">
      <c r="A836" s="52"/>
      <c r="I836" s="58"/>
      <c r="J836" s="58"/>
    </row>
    <row r="837">
      <c r="A837" s="52"/>
      <c r="I837" s="58"/>
      <c r="J837" s="58"/>
    </row>
    <row r="838">
      <c r="A838" s="52"/>
      <c r="I838" s="58"/>
      <c r="J838" s="58"/>
    </row>
    <row r="839">
      <c r="A839" s="52"/>
      <c r="I839" s="58"/>
      <c r="J839" s="58"/>
    </row>
    <row r="840">
      <c r="A840" s="52"/>
      <c r="I840" s="58"/>
      <c r="J840" s="58"/>
    </row>
    <row r="841">
      <c r="A841" s="52"/>
      <c r="I841" s="58"/>
      <c r="J841" s="58"/>
    </row>
    <row r="842">
      <c r="A842" s="52"/>
      <c r="I842" s="58"/>
      <c r="J842" s="58"/>
    </row>
    <row r="843">
      <c r="A843" s="52"/>
      <c r="I843" s="58"/>
      <c r="J843" s="58"/>
    </row>
    <row r="844">
      <c r="A844" s="52"/>
      <c r="I844" s="58"/>
      <c r="J844" s="58"/>
    </row>
    <row r="845">
      <c r="A845" s="52"/>
      <c r="I845" s="58"/>
      <c r="J845" s="58"/>
    </row>
    <row r="846">
      <c r="A846" s="52"/>
      <c r="I846" s="58"/>
      <c r="J846" s="58"/>
    </row>
    <row r="847">
      <c r="A847" s="52"/>
      <c r="I847" s="58"/>
      <c r="J847" s="58"/>
    </row>
    <row r="848">
      <c r="A848" s="52"/>
      <c r="I848" s="58"/>
      <c r="J848" s="58"/>
    </row>
    <row r="849">
      <c r="A849" s="52"/>
      <c r="I849" s="58"/>
      <c r="J849" s="58"/>
    </row>
    <row r="850">
      <c r="A850" s="52"/>
      <c r="I850" s="58"/>
      <c r="J850" s="58"/>
    </row>
    <row r="851">
      <c r="A851" s="52"/>
      <c r="I851" s="58"/>
      <c r="J851" s="58"/>
    </row>
    <row r="852">
      <c r="A852" s="52"/>
      <c r="I852" s="58"/>
      <c r="J852" s="58"/>
    </row>
    <row r="853">
      <c r="A853" s="52"/>
      <c r="I853" s="58"/>
      <c r="J853" s="58"/>
    </row>
    <row r="854">
      <c r="A854" s="52"/>
      <c r="I854" s="58"/>
      <c r="J854" s="58"/>
    </row>
    <row r="855">
      <c r="A855" s="52"/>
      <c r="I855" s="58"/>
      <c r="J855" s="58"/>
    </row>
    <row r="856">
      <c r="A856" s="52"/>
      <c r="I856" s="58"/>
      <c r="J856" s="58"/>
    </row>
    <row r="857">
      <c r="A857" s="52"/>
      <c r="I857" s="58"/>
      <c r="J857" s="58"/>
    </row>
    <row r="858">
      <c r="A858" s="52"/>
      <c r="I858" s="58"/>
      <c r="J858" s="58"/>
    </row>
    <row r="859">
      <c r="A859" s="52"/>
      <c r="I859" s="58"/>
      <c r="J859" s="58"/>
    </row>
    <row r="860">
      <c r="A860" s="52"/>
      <c r="I860" s="58"/>
      <c r="J860" s="58"/>
    </row>
    <row r="861">
      <c r="A861" s="52"/>
      <c r="I861" s="58"/>
      <c r="J861" s="58"/>
    </row>
    <row r="862">
      <c r="A862" s="52"/>
      <c r="I862" s="58"/>
      <c r="J862" s="58"/>
    </row>
    <row r="863">
      <c r="A863" s="52"/>
      <c r="I863" s="58"/>
      <c r="J863" s="58"/>
    </row>
    <row r="864">
      <c r="A864" s="52"/>
      <c r="I864" s="58"/>
      <c r="J864" s="58"/>
    </row>
    <row r="865">
      <c r="A865" s="52"/>
      <c r="I865" s="58"/>
      <c r="J865" s="58"/>
    </row>
    <row r="866">
      <c r="A866" s="52"/>
      <c r="I866" s="58"/>
      <c r="J866" s="58"/>
    </row>
    <row r="867">
      <c r="A867" s="52"/>
      <c r="I867" s="58"/>
      <c r="J867" s="58"/>
    </row>
    <row r="868">
      <c r="A868" s="52"/>
      <c r="I868" s="58"/>
      <c r="J868" s="58"/>
    </row>
    <row r="869">
      <c r="A869" s="52"/>
      <c r="I869" s="58"/>
      <c r="J869" s="58"/>
    </row>
    <row r="870">
      <c r="A870" s="52"/>
      <c r="I870" s="58"/>
      <c r="J870" s="58"/>
    </row>
    <row r="871">
      <c r="A871" s="52"/>
      <c r="I871" s="58"/>
      <c r="J871" s="58"/>
    </row>
    <row r="872">
      <c r="A872" s="52"/>
      <c r="I872" s="58"/>
      <c r="J872" s="58"/>
    </row>
    <row r="873">
      <c r="A873" s="52"/>
      <c r="I873" s="58"/>
      <c r="J873" s="58"/>
    </row>
    <row r="874">
      <c r="A874" s="52"/>
      <c r="I874" s="58"/>
      <c r="J874" s="58"/>
    </row>
    <row r="875">
      <c r="A875" s="52"/>
      <c r="I875" s="58"/>
      <c r="J875" s="58"/>
    </row>
    <row r="876">
      <c r="A876" s="52"/>
      <c r="I876" s="58"/>
      <c r="J876" s="58"/>
    </row>
    <row r="877">
      <c r="A877" s="52"/>
      <c r="I877" s="58"/>
      <c r="J877" s="58"/>
    </row>
    <row r="878">
      <c r="A878" s="52"/>
      <c r="I878" s="58"/>
      <c r="J878" s="58"/>
    </row>
    <row r="879">
      <c r="A879" s="52"/>
      <c r="I879" s="58"/>
      <c r="J879" s="58"/>
    </row>
    <row r="880">
      <c r="A880" s="52"/>
      <c r="I880" s="58"/>
      <c r="J880" s="58"/>
    </row>
    <row r="881">
      <c r="A881" s="52"/>
      <c r="I881" s="58"/>
      <c r="J881" s="58"/>
    </row>
    <row r="882">
      <c r="A882" s="52"/>
      <c r="I882" s="58"/>
      <c r="J882" s="58"/>
    </row>
    <row r="883">
      <c r="A883" s="52"/>
      <c r="I883" s="58"/>
      <c r="J883" s="58"/>
    </row>
    <row r="884">
      <c r="A884" s="52"/>
      <c r="I884" s="58"/>
      <c r="J884" s="58"/>
    </row>
    <row r="885">
      <c r="A885" s="52"/>
      <c r="I885" s="58"/>
      <c r="J885" s="58"/>
    </row>
    <row r="886">
      <c r="A886" s="52"/>
      <c r="I886" s="58"/>
      <c r="J886" s="58"/>
    </row>
    <row r="887">
      <c r="A887" s="52"/>
      <c r="I887" s="58"/>
      <c r="J887" s="58"/>
    </row>
    <row r="888">
      <c r="A888" s="52"/>
      <c r="I888" s="58"/>
      <c r="J888" s="58"/>
    </row>
    <row r="889">
      <c r="A889" s="52"/>
      <c r="I889" s="58"/>
      <c r="J889" s="58"/>
    </row>
    <row r="890">
      <c r="A890" s="52"/>
      <c r="I890" s="58"/>
      <c r="J890" s="58"/>
    </row>
    <row r="891">
      <c r="A891" s="52"/>
      <c r="I891" s="58"/>
      <c r="J891" s="58"/>
    </row>
    <row r="892">
      <c r="A892" s="52"/>
      <c r="I892" s="58"/>
      <c r="J892" s="58"/>
    </row>
    <row r="893">
      <c r="A893" s="52"/>
      <c r="I893" s="58"/>
      <c r="J893" s="58"/>
    </row>
    <row r="894">
      <c r="A894" s="52"/>
      <c r="I894" s="58"/>
      <c r="J894" s="58"/>
    </row>
    <row r="895">
      <c r="A895" s="52"/>
      <c r="I895" s="58"/>
      <c r="J895" s="58"/>
    </row>
    <row r="896">
      <c r="A896" s="52"/>
      <c r="I896" s="58"/>
      <c r="J896" s="58"/>
    </row>
    <row r="897">
      <c r="A897" s="52"/>
      <c r="I897" s="58"/>
      <c r="J897" s="58"/>
    </row>
    <row r="898">
      <c r="A898" s="52"/>
      <c r="I898" s="58"/>
      <c r="J898" s="58"/>
    </row>
    <row r="899">
      <c r="A899" s="52"/>
      <c r="I899" s="58"/>
      <c r="J899" s="58"/>
    </row>
    <row r="900">
      <c r="A900" s="52"/>
      <c r="I900" s="58"/>
      <c r="J900" s="58"/>
    </row>
    <row r="901">
      <c r="A901" s="52"/>
      <c r="I901" s="58"/>
      <c r="J901" s="58"/>
    </row>
    <row r="902">
      <c r="A902" s="52"/>
      <c r="I902" s="58"/>
      <c r="J902" s="58"/>
    </row>
    <row r="903">
      <c r="A903" s="52"/>
      <c r="I903" s="58"/>
      <c r="J903" s="58"/>
    </row>
    <row r="904">
      <c r="A904" s="52"/>
      <c r="I904" s="58"/>
      <c r="J904" s="58"/>
    </row>
    <row r="905">
      <c r="A905" s="52"/>
      <c r="I905" s="58"/>
      <c r="J905" s="58"/>
    </row>
    <row r="906">
      <c r="A906" s="52"/>
      <c r="I906" s="58"/>
      <c r="J906" s="58"/>
    </row>
    <row r="907">
      <c r="A907" s="52"/>
      <c r="I907" s="58"/>
      <c r="J907" s="58"/>
    </row>
    <row r="908">
      <c r="A908" s="52"/>
      <c r="I908" s="58"/>
      <c r="J908" s="58"/>
    </row>
    <row r="909">
      <c r="A909" s="52"/>
      <c r="I909" s="58"/>
      <c r="J909" s="58"/>
    </row>
    <row r="910">
      <c r="A910" s="52"/>
      <c r="I910" s="58"/>
      <c r="J910" s="58"/>
    </row>
    <row r="911">
      <c r="A911" s="52"/>
      <c r="I911" s="58"/>
      <c r="J911" s="58"/>
    </row>
    <row r="912">
      <c r="A912" s="52"/>
      <c r="I912" s="58"/>
      <c r="J912" s="58"/>
    </row>
    <row r="913">
      <c r="A913" s="52"/>
      <c r="I913" s="58"/>
      <c r="J913" s="58"/>
    </row>
    <row r="914">
      <c r="A914" s="52"/>
      <c r="I914" s="58"/>
      <c r="J914" s="58"/>
    </row>
    <row r="915">
      <c r="A915" s="52"/>
      <c r="I915" s="58"/>
      <c r="J915" s="58"/>
    </row>
    <row r="916">
      <c r="A916" s="52"/>
      <c r="I916" s="58"/>
      <c r="J916" s="58"/>
    </row>
    <row r="917">
      <c r="A917" s="52"/>
      <c r="I917" s="58"/>
      <c r="J917" s="58"/>
    </row>
    <row r="918">
      <c r="A918" s="52"/>
      <c r="I918" s="58"/>
      <c r="J918" s="58"/>
    </row>
    <row r="919">
      <c r="A919" s="52"/>
      <c r="I919" s="58"/>
      <c r="J919" s="58"/>
    </row>
    <row r="920">
      <c r="A920" s="52"/>
      <c r="I920" s="58"/>
      <c r="J920" s="58"/>
    </row>
    <row r="921">
      <c r="A921" s="52"/>
      <c r="I921" s="58"/>
      <c r="J921" s="58"/>
    </row>
    <row r="922">
      <c r="A922" s="52"/>
      <c r="I922" s="58"/>
      <c r="J922" s="58"/>
    </row>
    <row r="923">
      <c r="A923" s="52"/>
      <c r="I923" s="58"/>
      <c r="J923" s="58"/>
    </row>
    <row r="924">
      <c r="A924" s="52"/>
      <c r="I924" s="58"/>
      <c r="J924" s="58"/>
    </row>
    <row r="925">
      <c r="A925" s="52"/>
      <c r="I925" s="58"/>
      <c r="J925" s="58"/>
    </row>
    <row r="926">
      <c r="A926" s="52"/>
      <c r="I926" s="58"/>
      <c r="J926" s="58"/>
    </row>
    <row r="927">
      <c r="A927" s="52"/>
      <c r="I927" s="58"/>
      <c r="J927" s="58"/>
    </row>
    <row r="928">
      <c r="A928" s="52"/>
      <c r="I928" s="58"/>
      <c r="J928" s="58"/>
    </row>
    <row r="929">
      <c r="A929" s="52"/>
      <c r="I929" s="58"/>
      <c r="J929" s="58"/>
    </row>
    <row r="930">
      <c r="A930" s="52"/>
      <c r="I930" s="58"/>
      <c r="J930" s="58"/>
    </row>
    <row r="931">
      <c r="A931" s="52"/>
      <c r="I931" s="58"/>
      <c r="J931" s="58"/>
    </row>
    <row r="932">
      <c r="A932" s="52"/>
      <c r="I932" s="58"/>
      <c r="J932" s="58"/>
    </row>
    <row r="933">
      <c r="A933" s="52"/>
      <c r="I933" s="58"/>
      <c r="J933" s="58"/>
    </row>
    <row r="934">
      <c r="A934" s="52"/>
      <c r="I934" s="58"/>
      <c r="J934" s="58"/>
    </row>
    <row r="935">
      <c r="A935" s="52"/>
      <c r="I935" s="58"/>
      <c r="J935" s="58"/>
    </row>
    <row r="936">
      <c r="A936" s="52"/>
      <c r="I936" s="58"/>
      <c r="J936" s="58"/>
    </row>
    <row r="937">
      <c r="A937" s="52"/>
      <c r="I937" s="58"/>
      <c r="J937" s="58"/>
    </row>
    <row r="938">
      <c r="A938" s="52"/>
      <c r="I938" s="58"/>
      <c r="J938" s="58"/>
    </row>
    <row r="939">
      <c r="A939" s="52"/>
      <c r="I939" s="58"/>
      <c r="J939" s="58"/>
    </row>
    <row r="940">
      <c r="A940" s="52"/>
      <c r="I940" s="58"/>
      <c r="J940" s="58"/>
    </row>
    <row r="941">
      <c r="A941" s="52"/>
      <c r="I941" s="58"/>
      <c r="J941" s="58"/>
    </row>
    <row r="942">
      <c r="A942" s="52"/>
      <c r="I942" s="58"/>
      <c r="J942" s="58"/>
    </row>
    <row r="943">
      <c r="A943" s="52"/>
      <c r="I943" s="58"/>
      <c r="J943" s="58"/>
    </row>
    <row r="944">
      <c r="A944" s="52"/>
      <c r="I944" s="58"/>
      <c r="J944" s="58"/>
    </row>
    <row r="945">
      <c r="A945" s="52"/>
      <c r="I945" s="58"/>
      <c r="J945" s="58"/>
    </row>
    <row r="946">
      <c r="A946" s="52"/>
      <c r="I946" s="58"/>
      <c r="J946" s="58"/>
    </row>
    <row r="947">
      <c r="A947" s="52"/>
      <c r="I947" s="58"/>
      <c r="J947" s="58"/>
    </row>
    <row r="948">
      <c r="A948" s="52"/>
      <c r="I948" s="58"/>
      <c r="J948" s="58"/>
    </row>
    <row r="949">
      <c r="A949" s="52"/>
      <c r="I949" s="58"/>
      <c r="J949" s="58"/>
    </row>
    <row r="950">
      <c r="A950" s="52"/>
      <c r="I950" s="58"/>
      <c r="J950" s="58"/>
    </row>
    <row r="951">
      <c r="A951" s="52"/>
      <c r="I951" s="58"/>
      <c r="J951" s="58"/>
    </row>
    <row r="952">
      <c r="A952" s="52"/>
      <c r="I952" s="58"/>
      <c r="J952" s="58"/>
    </row>
    <row r="953">
      <c r="A953" s="52"/>
      <c r="I953" s="58"/>
      <c r="J953" s="58"/>
    </row>
    <row r="954">
      <c r="A954" s="52"/>
      <c r="I954" s="58"/>
      <c r="J954" s="58"/>
    </row>
    <row r="955">
      <c r="A955" s="52"/>
      <c r="I955" s="58"/>
      <c r="J955" s="58"/>
    </row>
    <row r="956">
      <c r="A956" s="52"/>
      <c r="I956" s="58"/>
      <c r="J956" s="58"/>
    </row>
    <row r="957">
      <c r="A957" s="52"/>
      <c r="I957" s="58"/>
      <c r="J957" s="58"/>
    </row>
    <row r="958">
      <c r="A958" s="52"/>
      <c r="I958" s="58"/>
      <c r="J958" s="58"/>
    </row>
    <row r="959">
      <c r="A959" s="52"/>
      <c r="I959" s="58"/>
      <c r="J959" s="58"/>
    </row>
    <row r="960">
      <c r="A960" s="52"/>
      <c r="I960" s="58"/>
      <c r="J960" s="58"/>
    </row>
    <row r="961">
      <c r="A961" s="52"/>
      <c r="I961" s="58"/>
      <c r="J961" s="58"/>
    </row>
    <row r="962">
      <c r="A962" s="52"/>
      <c r="I962" s="58"/>
      <c r="J962" s="58"/>
    </row>
    <row r="963">
      <c r="A963" s="52"/>
      <c r="I963" s="58"/>
      <c r="J963" s="58"/>
    </row>
    <row r="964">
      <c r="A964" s="52"/>
      <c r="I964" s="58"/>
      <c r="J964" s="58"/>
    </row>
    <row r="965">
      <c r="A965" s="52"/>
      <c r="I965" s="58"/>
      <c r="J965" s="58"/>
    </row>
    <row r="966">
      <c r="A966" s="52"/>
      <c r="I966" s="58"/>
      <c r="J966" s="58"/>
    </row>
    <row r="967">
      <c r="A967" s="52"/>
      <c r="I967" s="58"/>
      <c r="J967" s="58"/>
    </row>
    <row r="968">
      <c r="A968" s="52"/>
      <c r="I968" s="58"/>
      <c r="J968" s="58"/>
    </row>
    <row r="969">
      <c r="A969" s="52"/>
      <c r="I969" s="58"/>
      <c r="J969" s="58"/>
    </row>
    <row r="970">
      <c r="A970" s="52"/>
      <c r="I970" s="58"/>
      <c r="J970" s="58"/>
    </row>
    <row r="971">
      <c r="A971" s="52"/>
      <c r="I971" s="58"/>
      <c r="J971" s="58"/>
    </row>
    <row r="972">
      <c r="A972" s="52"/>
      <c r="I972" s="58"/>
      <c r="J972" s="58"/>
    </row>
    <row r="973">
      <c r="A973" s="52"/>
      <c r="I973" s="58"/>
      <c r="J973" s="58"/>
    </row>
    <row r="974">
      <c r="A974" s="52"/>
      <c r="I974" s="58"/>
      <c r="J974" s="58"/>
    </row>
    <row r="975">
      <c r="A975" s="52"/>
      <c r="I975" s="58"/>
      <c r="J975" s="58"/>
    </row>
    <row r="976">
      <c r="A976" s="52"/>
      <c r="I976" s="58"/>
      <c r="J976" s="58"/>
    </row>
    <row r="977">
      <c r="A977" s="52"/>
      <c r="I977" s="58"/>
      <c r="J977" s="58"/>
    </row>
    <row r="978">
      <c r="A978" s="52"/>
      <c r="I978" s="58"/>
      <c r="J978" s="58"/>
    </row>
    <row r="979">
      <c r="A979" s="52"/>
      <c r="I979" s="58"/>
      <c r="J979" s="58"/>
    </row>
    <row r="980">
      <c r="A980" s="52"/>
      <c r="I980" s="58"/>
      <c r="J980" s="58"/>
    </row>
    <row r="981">
      <c r="A981" s="52"/>
      <c r="I981" s="58"/>
      <c r="J981" s="58"/>
    </row>
    <row r="982">
      <c r="A982" s="52"/>
      <c r="I982" s="58"/>
      <c r="J982" s="58"/>
    </row>
    <row r="983">
      <c r="A983" s="52"/>
      <c r="I983" s="58"/>
      <c r="J983" s="58"/>
    </row>
    <row r="984">
      <c r="A984" s="52"/>
      <c r="I984" s="58"/>
      <c r="J984" s="58"/>
    </row>
    <row r="985">
      <c r="A985" s="52"/>
      <c r="I985" s="58"/>
      <c r="J985" s="58"/>
    </row>
    <row r="986">
      <c r="A986" s="52"/>
      <c r="I986" s="58"/>
      <c r="J986" s="58"/>
    </row>
    <row r="987">
      <c r="A987" s="52"/>
      <c r="I987" s="58"/>
      <c r="J987" s="58"/>
    </row>
    <row r="988">
      <c r="A988" s="52"/>
      <c r="I988" s="58"/>
      <c r="J988" s="58"/>
    </row>
    <row r="989">
      <c r="A989" s="52"/>
      <c r="I989" s="58"/>
      <c r="J989" s="58"/>
    </row>
    <row r="990">
      <c r="A990" s="52"/>
      <c r="I990" s="58"/>
      <c r="J990" s="58"/>
    </row>
    <row r="991">
      <c r="A991" s="52"/>
      <c r="I991" s="58"/>
      <c r="J991" s="58"/>
    </row>
    <row r="992">
      <c r="A992" s="52"/>
      <c r="I992" s="58"/>
      <c r="J992" s="58"/>
    </row>
    <row r="993">
      <c r="A993" s="52"/>
      <c r="I993" s="58"/>
      <c r="J993" s="58"/>
    </row>
    <row r="994">
      <c r="A994" s="52"/>
      <c r="I994" s="58"/>
      <c r="J994" s="58"/>
    </row>
    <row r="995">
      <c r="A995" s="52"/>
      <c r="I995" s="58"/>
      <c r="J995" s="58"/>
    </row>
    <row r="996">
      <c r="A996" s="52"/>
      <c r="I996" s="58"/>
      <c r="J996" s="58"/>
    </row>
    <row r="997">
      <c r="A997" s="52"/>
      <c r="I997" s="58"/>
      <c r="J997" s="58"/>
    </row>
    <row r="998">
      <c r="A998" s="52"/>
      <c r="I998" s="58"/>
      <c r="J998" s="58"/>
    </row>
    <row r="999">
      <c r="A999" s="52"/>
      <c r="I999" s="58"/>
      <c r="J999" s="58"/>
    </row>
    <row r="1000">
      <c r="A1000" s="52"/>
      <c r="I1000" s="58"/>
      <c r="J1000" s="5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6</v>
      </c>
      <c r="B1" s="9" t="s">
        <v>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3088</v>
      </c>
      <c r="B1" s="51" t="s">
        <v>0</v>
      </c>
      <c r="C1" s="51"/>
    </row>
    <row r="2">
      <c r="A2" s="7">
        <f>IFERROR(__xludf.DUMMYFUNCTION("FILTER(Words!A:B,Words!C:C=""Pronoun"")"),444.0)</f>
        <v>444</v>
      </c>
      <c r="B2" s="16" t="str">
        <f>IFERROR(__xludf.DUMMYFUNCTION("""COMPUTED_VALUE"""),"He")</f>
        <v>He</v>
      </c>
    </row>
    <row r="3">
      <c r="A3" s="59">
        <f>IFERROR(__xludf.DUMMYFUNCTION("""COMPUTED_VALUE"""),453.0)</f>
        <v>453</v>
      </c>
      <c r="B3" s="16" t="str">
        <f>IFERROR(__xludf.DUMMYFUNCTION("""COMPUTED_VALUE"""),"Her")</f>
        <v>Her</v>
      </c>
    </row>
    <row r="4">
      <c r="A4" s="59">
        <f>IFERROR(__xludf.DUMMYFUNCTION("""COMPUTED_VALUE"""),455.0)</f>
        <v>455</v>
      </c>
      <c r="B4" s="16" t="str">
        <f>IFERROR(__xludf.DUMMYFUNCTION("""COMPUTED_VALUE"""),"Hers")</f>
        <v>Hers</v>
      </c>
    </row>
    <row r="5">
      <c r="A5" s="59">
        <f>IFERROR(__xludf.DUMMYFUNCTION("""COMPUTED_VALUE"""),456.0)</f>
        <v>456</v>
      </c>
      <c r="B5" s="16" t="str">
        <f>IFERROR(__xludf.DUMMYFUNCTION("""COMPUTED_VALUE"""),"herself")</f>
        <v>herself</v>
      </c>
    </row>
    <row r="6">
      <c r="A6" s="59">
        <f>IFERROR(__xludf.DUMMYFUNCTION("""COMPUTED_VALUE"""),459.0)</f>
        <v>459</v>
      </c>
      <c r="B6" s="16" t="str">
        <f>IFERROR(__xludf.DUMMYFUNCTION("""COMPUTED_VALUE"""),"himself")</f>
        <v>himself</v>
      </c>
    </row>
    <row r="7">
      <c r="A7" s="59">
        <f>IFERROR(__xludf.DUMMYFUNCTION("""COMPUTED_VALUE"""),461.0)</f>
        <v>461</v>
      </c>
      <c r="B7" s="16" t="str">
        <f>IFERROR(__xludf.DUMMYFUNCTION("""COMPUTED_VALUE"""),"His")</f>
        <v>His</v>
      </c>
    </row>
    <row r="8">
      <c r="A8" s="59">
        <f>IFERROR(__xludf.DUMMYFUNCTION("""COMPUTED_VALUE"""),475.0)</f>
        <v>475</v>
      </c>
      <c r="B8" s="16" t="str">
        <f>IFERROR(__xludf.DUMMYFUNCTION("""COMPUTED_VALUE"""),"I")</f>
        <v>I</v>
      </c>
    </row>
    <row r="9">
      <c r="A9" s="59">
        <f>IFERROR(__xludf.DUMMYFUNCTION("""COMPUTED_VALUE"""),508.0)</f>
        <v>508</v>
      </c>
      <c r="B9" s="16" t="str">
        <f>IFERROR(__xludf.DUMMYFUNCTION("""COMPUTED_VALUE"""),"it")</f>
        <v>it</v>
      </c>
    </row>
    <row r="10">
      <c r="A10" s="59">
        <f>IFERROR(__xludf.DUMMYFUNCTION("""COMPUTED_VALUE"""),593.0)</f>
        <v>593</v>
      </c>
      <c r="B10" s="16" t="str">
        <f>IFERROR(__xludf.DUMMYFUNCTION("""COMPUTED_VALUE"""),"Me")</f>
        <v>Me</v>
      </c>
    </row>
    <row r="11">
      <c r="A11" s="59">
        <f>IFERROR(__xludf.DUMMYFUNCTION("""COMPUTED_VALUE"""),606.0)</f>
        <v>606</v>
      </c>
      <c r="B11" s="16" t="str">
        <f>IFERROR(__xludf.DUMMYFUNCTION("""COMPUTED_VALUE"""),"mine")</f>
        <v>mine</v>
      </c>
    </row>
    <row r="12">
      <c r="A12" s="59">
        <f>IFERROR(__xludf.DUMMYFUNCTION("""COMPUTED_VALUE"""),622.0)</f>
        <v>622</v>
      </c>
      <c r="B12" s="16" t="str">
        <f>IFERROR(__xludf.DUMMYFUNCTION("""COMPUTED_VALUE"""),"my")</f>
        <v>my</v>
      </c>
    </row>
    <row r="13">
      <c r="A13" s="59">
        <f>IFERROR(__xludf.DUMMYFUNCTION("""COMPUTED_VALUE"""),624.0)</f>
        <v>624</v>
      </c>
      <c r="B13" s="16" t="str">
        <f>IFERROR(__xludf.DUMMYFUNCTION("""COMPUTED_VALUE"""),"myself")</f>
        <v>myself</v>
      </c>
    </row>
    <row r="14">
      <c r="A14" s="59">
        <f>IFERROR(__xludf.DUMMYFUNCTION("""COMPUTED_VALUE"""),817.0)</f>
        <v>817</v>
      </c>
      <c r="B14" s="16" t="str">
        <f>IFERROR(__xludf.DUMMYFUNCTION("""COMPUTED_VALUE"""),"She")</f>
        <v>She</v>
      </c>
    </row>
    <row r="15">
      <c r="A15" s="59">
        <f>IFERROR(__xludf.DUMMYFUNCTION("""COMPUTED_VALUE"""),928.0)</f>
        <v>928</v>
      </c>
      <c r="B15" s="16" t="str">
        <f>IFERROR(__xludf.DUMMYFUNCTION("""COMPUTED_VALUE"""),"that")</f>
        <v>that</v>
      </c>
    </row>
    <row r="16">
      <c r="A16" s="59">
        <f>IFERROR(__xludf.DUMMYFUNCTION("""COMPUTED_VALUE"""),930.0)</f>
        <v>930</v>
      </c>
      <c r="B16" s="16" t="str">
        <f>IFERROR(__xludf.DUMMYFUNCTION("""COMPUTED_VALUE"""),"their")</f>
        <v>their</v>
      </c>
    </row>
    <row r="17">
      <c r="A17" s="59">
        <f>IFERROR(__xludf.DUMMYFUNCTION("""COMPUTED_VALUE"""),931.0)</f>
        <v>931</v>
      </c>
      <c r="B17" s="16" t="str">
        <f>IFERROR(__xludf.DUMMYFUNCTION("""COMPUTED_VALUE"""),"theirs")</f>
        <v>theirs</v>
      </c>
    </row>
    <row r="18">
      <c r="A18" s="59">
        <f>IFERROR(__xludf.DUMMYFUNCTION("""COMPUTED_VALUE"""),932.0)</f>
        <v>932</v>
      </c>
      <c r="B18" s="16" t="str">
        <f>IFERROR(__xludf.DUMMYFUNCTION("""COMPUTED_VALUE"""),"them")</f>
        <v>them</v>
      </c>
    </row>
    <row r="19">
      <c r="A19" s="59">
        <f>IFERROR(__xludf.DUMMYFUNCTION("""COMPUTED_VALUE"""),933.0)</f>
        <v>933</v>
      </c>
      <c r="B19" s="16" t="str">
        <f>IFERROR(__xludf.DUMMYFUNCTION("""COMPUTED_VALUE"""),"themselves")</f>
        <v>themselves</v>
      </c>
    </row>
    <row r="20">
      <c r="A20" s="59">
        <f>IFERROR(__xludf.DUMMYFUNCTION("""COMPUTED_VALUE"""),935.0)</f>
        <v>935</v>
      </c>
      <c r="B20" s="16" t="str">
        <f>IFERROR(__xludf.DUMMYFUNCTION("""COMPUTED_VALUE"""),"these")</f>
        <v>these</v>
      </c>
    </row>
    <row r="21">
      <c r="A21" s="59">
        <f>IFERROR(__xludf.DUMMYFUNCTION("""COMPUTED_VALUE"""),936.0)</f>
        <v>936</v>
      </c>
      <c r="B21" s="16" t="str">
        <f>IFERROR(__xludf.DUMMYFUNCTION("""COMPUTED_VALUE"""),"they")</f>
        <v>they</v>
      </c>
    </row>
    <row r="22">
      <c r="A22" s="59">
        <f>IFERROR(__xludf.DUMMYFUNCTION("""COMPUTED_VALUE"""),942.0)</f>
        <v>942</v>
      </c>
      <c r="B22" s="16" t="str">
        <f>IFERROR(__xludf.DUMMYFUNCTION("""COMPUTED_VALUE"""),"this")</f>
        <v>this</v>
      </c>
    </row>
    <row r="23">
      <c r="A23" s="59">
        <f>IFERROR(__xludf.DUMMYFUNCTION("""COMPUTED_VALUE"""),943.0)</f>
        <v>943</v>
      </c>
      <c r="B23" s="16" t="str">
        <f>IFERROR(__xludf.DUMMYFUNCTION("""COMPUTED_VALUE"""),"those")</f>
        <v>those</v>
      </c>
    </row>
    <row r="24">
      <c r="A24" s="59">
        <f>IFERROR(__xludf.DUMMYFUNCTION("""COMPUTED_VALUE"""),1007.0)</f>
        <v>1007</v>
      </c>
      <c r="B24" s="16" t="str">
        <f>IFERROR(__xludf.DUMMYFUNCTION("""COMPUTED_VALUE"""),"We")</f>
        <v>We</v>
      </c>
    </row>
    <row r="25">
      <c r="A25" s="59">
        <f>IFERROR(__xludf.DUMMYFUNCTION("""COMPUTED_VALUE"""),1011.0)</f>
        <v>1011</v>
      </c>
      <c r="B25" s="16" t="str">
        <f>IFERROR(__xludf.DUMMYFUNCTION("""COMPUTED_VALUE"""),"what")</f>
        <v>what</v>
      </c>
    </row>
    <row r="26">
      <c r="A26" s="59">
        <f>IFERROR(__xludf.DUMMYFUNCTION("""COMPUTED_VALUE"""),1017.0)</f>
        <v>1017</v>
      </c>
      <c r="B26" s="16" t="str">
        <f>IFERROR(__xludf.DUMMYFUNCTION("""COMPUTED_VALUE"""),"which")</f>
        <v>which</v>
      </c>
    </row>
    <row r="27">
      <c r="A27" s="59">
        <f>IFERROR(__xludf.DUMMYFUNCTION("""COMPUTED_VALUE"""),1021.0)</f>
        <v>1021</v>
      </c>
      <c r="B27" s="16" t="str">
        <f>IFERROR(__xludf.DUMMYFUNCTION("""COMPUTED_VALUE"""),"who")</f>
        <v>who</v>
      </c>
    </row>
  </sheetData>
  <drawing r:id="rId1"/>
</worksheet>
</file>