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saaminta\Desktop\CDMYPE\CDMYPE 2015\"/>
    </mc:Choice>
  </mc:AlternateContent>
  <bookViews>
    <workbookView xWindow="0" yWindow="0" windowWidth="21660" windowHeight="13200" tabRatio="643"/>
  </bookViews>
  <sheets>
    <sheet name="PRESUPUESTO CDMYPE" sheetId="21" r:id="rId1"/>
    <sheet name="Detalle de uso mobiliario event" sheetId="23" r:id="rId2"/>
    <sheet name="Detalle papeleria" sheetId="22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21" l="1"/>
  <c r="C49" i="21"/>
  <c r="C66" i="21"/>
  <c r="C48" i="21"/>
  <c r="C44" i="21"/>
  <c r="C57" i="21"/>
  <c r="C56" i="21"/>
  <c r="C54" i="21"/>
  <c r="C53" i="21"/>
  <c r="C46" i="21"/>
  <c r="C39" i="21"/>
  <c r="C37" i="21"/>
  <c r="C28" i="21"/>
  <c r="E28" i="21"/>
  <c r="G28" i="21"/>
  <c r="C26" i="21"/>
  <c r="C30" i="21"/>
  <c r="C27" i="21"/>
  <c r="C25" i="21"/>
  <c r="C23" i="21"/>
  <c r="E9" i="21"/>
  <c r="G9" i="21"/>
  <c r="C40" i="21"/>
  <c r="C35" i="21"/>
  <c r="C69" i="21"/>
  <c r="C67" i="21"/>
  <c r="C64" i="21"/>
  <c r="C62" i="21"/>
  <c r="C61" i="21"/>
  <c r="C60" i="21"/>
  <c r="C59" i="21"/>
  <c r="C55" i="21"/>
  <c r="C34" i="21"/>
  <c r="C33" i="21"/>
  <c r="B75" i="21"/>
  <c r="C58" i="21"/>
  <c r="E55" i="21"/>
  <c r="G55" i="21"/>
  <c r="D13" i="23"/>
  <c r="D14" i="23"/>
  <c r="E61" i="21"/>
  <c r="G61" i="21"/>
  <c r="C42" i="21"/>
  <c r="D12" i="23"/>
  <c r="D15" i="23"/>
  <c r="D10" i="23"/>
  <c r="D11" i="23"/>
  <c r="D9" i="23"/>
  <c r="D3" i="23"/>
  <c r="D4" i="23"/>
  <c r="D5" i="23"/>
  <c r="D6" i="23"/>
  <c r="D7" i="23"/>
  <c r="D8" i="23"/>
  <c r="D2" i="23"/>
  <c r="D16" i="23"/>
  <c r="D19" i="23"/>
  <c r="E31" i="22"/>
  <c r="E20" i="22"/>
  <c r="E21" i="22"/>
  <c r="E22" i="22"/>
  <c r="E23" i="22"/>
  <c r="E24" i="22"/>
  <c r="E25" i="22"/>
  <c r="E26" i="22"/>
  <c r="E27" i="22"/>
  <c r="E28" i="22"/>
  <c r="E29" i="22"/>
  <c r="E30" i="22"/>
  <c r="E34" i="22"/>
  <c r="E14" i="22"/>
  <c r="E15" i="22"/>
  <c r="E16" i="22"/>
  <c r="E17" i="22"/>
  <c r="E18" i="22"/>
  <c r="E19" i="22"/>
  <c r="E5" i="22"/>
  <c r="E6" i="22"/>
  <c r="E7" i="22"/>
  <c r="E8" i="22"/>
  <c r="E9" i="22"/>
  <c r="E10" i="22"/>
  <c r="E11" i="22"/>
  <c r="E12" i="22"/>
  <c r="E13" i="22"/>
  <c r="E4" i="22"/>
  <c r="C47" i="21"/>
  <c r="E35" i="22"/>
  <c r="G20" i="21"/>
  <c r="G21" i="21"/>
  <c r="B70" i="21"/>
  <c r="B51" i="21"/>
  <c r="C65" i="21"/>
  <c r="E63" i="21"/>
  <c r="G63" i="21"/>
  <c r="E59" i="21"/>
  <c r="G59" i="21"/>
  <c r="E58" i="21"/>
  <c r="G58" i="21"/>
  <c r="E56" i="21"/>
  <c r="G56" i="21"/>
  <c r="C45" i="21"/>
  <c r="C43" i="21"/>
  <c r="E37" i="21"/>
  <c r="G37" i="21"/>
  <c r="E36" i="21"/>
  <c r="G36" i="21"/>
  <c r="E14" i="21"/>
  <c r="E15" i="21"/>
  <c r="E16" i="21"/>
  <c r="E17" i="21"/>
  <c r="E18" i="21"/>
  <c r="E19" i="21"/>
  <c r="E22" i="21"/>
  <c r="C68" i="21"/>
  <c r="E68" i="21"/>
  <c r="E30" i="21"/>
  <c r="C29" i="21"/>
  <c r="E29" i="21"/>
  <c r="E27" i="21"/>
  <c r="E26" i="21"/>
  <c r="E25" i="21"/>
  <c r="C24" i="21"/>
  <c r="E24" i="21"/>
  <c r="E23" i="21"/>
  <c r="C13" i="21"/>
  <c r="E13" i="21"/>
  <c r="C12" i="21"/>
  <c r="E12" i="21"/>
  <c r="C11" i="21"/>
  <c r="E11" i="21"/>
  <c r="C10" i="21"/>
  <c r="E10" i="21"/>
  <c r="C31" i="21"/>
  <c r="C51" i="21"/>
  <c r="E69" i="21"/>
  <c r="C70" i="21"/>
  <c r="B22" i="21"/>
  <c r="G22" i="21"/>
  <c r="B15" i="21"/>
  <c r="B16" i="21"/>
  <c r="B17" i="21"/>
  <c r="B18" i="21"/>
  <c r="G18" i="21"/>
  <c r="B19" i="21"/>
  <c r="G19" i="21"/>
  <c r="B14" i="21"/>
  <c r="E8" i="21"/>
  <c r="E31" i="21"/>
  <c r="G10" i="21"/>
  <c r="G11" i="21"/>
  <c r="G12" i="21"/>
  <c r="G13" i="21"/>
  <c r="G14" i="21"/>
  <c r="G15" i="21"/>
  <c r="G23" i="21"/>
  <c r="G24" i="21"/>
  <c r="G25" i="21"/>
  <c r="G26" i="21"/>
  <c r="G27" i="21"/>
  <c r="G29" i="21"/>
  <c r="G30" i="21"/>
  <c r="G68" i="21"/>
  <c r="E33" i="21"/>
  <c r="E34" i="21"/>
  <c r="G34" i="21"/>
  <c r="E35" i="21"/>
  <c r="G35" i="21"/>
  <c r="E38" i="21"/>
  <c r="G38" i="21"/>
  <c r="E39" i="21"/>
  <c r="E40" i="21"/>
  <c r="G40" i="21"/>
  <c r="E41" i="21"/>
  <c r="G41" i="21"/>
  <c r="E42" i="21"/>
  <c r="G42" i="21"/>
  <c r="E43" i="21"/>
  <c r="G43" i="21"/>
  <c r="E44" i="21"/>
  <c r="G44" i="21"/>
  <c r="E45" i="21"/>
  <c r="G45" i="21"/>
  <c r="E46" i="21"/>
  <c r="G46" i="21"/>
  <c r="E47" i="21"/>
  <c r="G47" i="21"/>
  <c r="E48" i="21"/>
  <c r="G48" i="21"/>
  <c r="E49" i="21"/>
  <c r="G49" i="21"/>
  <c r="E50" i="21"/>
  <c r="G50" i="21"/>
  <c r="E53" i="21"/>
  <c r="E54" i="21"/>
  <c r="E64" i="21"/>
  <c r="G64" i="21"/>
  <c r="E57" i="21"/>
  <c r="G57" i="21"/>
  <c r="E60" i="21"/>
  <c r="G60" i="21"/>
  <c r="E62" i="21"/>
  <c r="G62" i="21"/>
  <c r="E65" i="21"/>
  <c r="G65" i="21"/>
  <c r="E66" i="21"/>
  <c r="G66" i="21"/>
  <c r="E67" i="21"/>
  <c r="G67" i="21"/>
  <c r="F70" i="21"/>
  <c r="G77" i="21"/>
  <c r="B31" i="21"/>
  <c r="G53" i="21"/>
  <c r="E70" i="21"/>
  <c r="G33" i="21"/>
  <c r="E51" i="21"/>
  <c r="G17" i="21"/>
  <c r="G16" i="21"/>
  <c r="G39" i="21"/>
  <c r="G8" i="21"/>
  <c r="G54" i="21"/>
  <c r="G31" i="21"/>
  <c r="G51" i="21"/>
  <c r="G69" i="21"/>
  <c r="G70" i="21"/>
  <c r="E76" i="21"/>
  <c r="E78" i="21"/>
  <c r="B76" i="21"/>
  <c r="B78" i="21"/>
  <c r="G78" i="21"/>
</calcChain>
</file>

<file path=xl/comments1.xml><?xml version="1.0" encoding="utf-8"?>
<comments xmlns="http://schemas.openxmlformats.org/spreadsheetml/2006/main">
  <authors>
    <author>CONTADOR</author>
    <author>.</author>
    <author>roamrodma26@hotmail.com</author>
  </authors>
  <commentList>
    <comment ref="C23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6  meses hora sociales</t>
        </r>
      </text>
    </comment>
    <comment ref="C34" authorId="1" shapeId="0">
      <text>
        <r>
          <rPr>
            <b/>
            <sz val="9"/>
            <color indexed="81"/>
            <rFont val="Tahoma"/>
            <charset val="1"/>
          </rPr>
          <t>.:</t>
        </r>
        <r>
          <rPr>
            <sz val="9"/>
            <color indexed="81"/>
            <rFont val="Tahoma"/>
            <charset val="1"/>
          </rPr>
          <t xml:space="preserve">
Cuatro salas a disposición al año por $300 c/u
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2 mantenimientos pick up blanco y corolla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meses (cuotas anuales de pick up blanco y corolla) Se incrementas dos vehiculos mas Yaris y camioneta  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cuota anual aire CDMYPE y cuota anual aire sala</t>
        </r>
      </text>
    </comment>
    <comment ref="C41" authorId="2" shapeId="0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Mantenimiento mensual de 10 equipos de computo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por el momento solo fondo propio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Mobiliario y equipo de activo fijo + cuadros de aporte en especie + adquisiciones 2012 </t>
        </r>
      </text>
    </comment>
    <comment ref="C48" authorId="2" shapeId="0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100 libras de café para 87 eventos mas consumo de CDMYPE para clientes y personal
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Requisiciones para el edificio C, asignando el 25% del 33 % del edificio (1er nivel)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caja $800 por semestre tintas 50 folders por persona y otros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El costo de 4 horas $175.00 por 24 talleres emprendedurismo, 20 jornadas de diplomado empresarial, 14 jornadas en talleres en gestión empresarial
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4 Jornadas estimadas
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aproximadamente 16 
analisis requeridos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3 ferias a $750.00 cada una con alumnos y visitantes</t>
        </r>
      </text>
    </comment>
    <comment ref="C61" authorId="2" shapeId="0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Paquete por servicio valorado en $129.40 X 86 servicios.
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$7.00 la hora 24 maquinas 4 horas y 30
jornadas (una jornada semanal por 8 meses)
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salidas estimadas por $15.00 por 12 meses
</t>
        </r>
      </text>
    </comment>
    <comment ref="C67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salidas por 4 viaticos y 12 meses
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25 eventos y 5 personas por evento a $15 el evento
</t>
        </r>
      </text>
    </comment>
  </commentList>
</comments>
</file>

<file path=xl/sharedStrings.xml><?xml version="1.0" encoding="utf-8"?>
<sst xmlns="http://schemas.openxmlformats.org/spreadsheetml/2006/main" count="164" uniqueCount="136">
  <si>
    <t xml:space="preserve">PRESUPUESTO </t>
  </si>
  <si>
    <t>FONDOS CONAMYPE</t>
  </si>
  <si>
    <t>CONTRAPARTIDA UNICAES</t>
  </si>
  <si>
    <t xml:space="preserve">TOTAL </t>
  </si>
  <si>
    <t>A.  NOMINA DEL PERSONAL</t>
  </si>
  <si>
    <t>B.  COSTOS OPERATIVOS FIJOS</t>
  </si>
  <si>
    <t>C.  COSTOS VARIABLES DE INVERSIÓN</t>
  </si>
  <si>
    <t>Decano</t>
  </si>
  <si>
    <t>Director</t>
  </si>
  <si>
    <t>Auxiliar contable</t>
  </si>
  <si>
    <t>Recepcionista</t>
  </si>
  <si>
    <t>Motorista</t>
  </si>
  <si>
    <t>Ordenanza</t>
  </si>
  <si>
    <t>Coordinador de Servicio en Eventos</t>
  </si>
  <si>
    <t xml:space="preserve">Personal de Servicio en Eventos </t>
  </si>
  <si>
    <t>Subtotal nómina de personal</t>
  </si>
  <si>
    <t>MONTO EGRESO UNICAES</t>
  </si>
  <si>
    <t>RELACIÓN %</t>
  </si>
  <si>
    <t>Apoderado Especial Administrativo</t>
  </si>
  <si>
    <t>Asistente del Decano</t>
  </si>
  <si>
    <t>Contador General</t>
  </si>
  <si>
    <t xml:space="preserve">Energía Electrica </t>
  </si>
  <si>
    <t>Agua potable</t>
  </si>
  <si>
    <t>Telefonía fija</t>
  </si>
  <si>
    <t>Internet</t>
  </si>
  <si>
    <t>Subtotal costos operativos fijos</t>
  </si>
  <si>
    <t>Compra de combustible</t>
  </si>
  <si>
    <t>Servicios de auditoría externa</t>
  </si>
  <si>
    <t>Viáticos para salidas de personal CDMYPE</t>
  </si>
  <si>
    <t>Servicios de seguridad y vigilancia (Outsoursing)</t>
  </si>
  <si>
    <t>TOTALES</t>
  </si>
  <si>
    <t>Sub Director</t>
  </si>
  <si>
    <t>Servicios de Asistencia Tecnica</t>
  </si>
  <si>
    <t>Servicios de capacitación</t>
  </si>
  <si>
    <t>Subtotal contratación de consultores</t>
  </si>
  <si>
    <t>Aporte a la Institución por cumplimiento de meta</t>
  </si>
  <si>
    <t>TOTAL PRESUPUESTO GENERAL</t>
  </si>
  <si>
    <t>D. CONTRATACION DE CONSULTORES</t>
  </si>
  <si>
    <t>Subtotal costos variables de inversión</t>
  </si>
  <si>
    <t>UNIVERSIDAD CATÓLICA DE EL SALVADOR - CENTRO REGIONAL DE ILOBASCO</t>
  </si>
  <si>
    <t>CENTRO DE DESARROLLO DE MICRO Y PEQUEÑAS EMPRESAS - CDMYPE</t>
  </si>
  <si>
    <t>CONTRAPARTIDA MUNICIPIOS / ONG'S</t>
  </si>
  <si>
    <t>Asistente administrativo (Horas sociales)</t>
  </si>
  <si>
    <t>Mantenimiento de vehiculos</t>
  </si>
  <si>
    <t>Mantenimiento de aire acondicionado</t>
  </si>
  <si>
    <t>Material de aseo</t>
  </si>
  <si>
    <t>Asesor Empresarial</t>
  </si>
  <si>
    <t>Asesor TIC</t>
  </si>
  <si>
    <t xml:space="preserve">Mantenimiento de Instalaciones </t>
  </si>
  <si>
    <t>Mantenimiento de Mobiliario y equipo de computo y oficina</t>
  </si>
  <si>
    <t>Materiales de oficina (papel bond, folders, tinta,  lapices, lapiceros, grapas, tlaonarios,fastenners,  organizadores, carpetas, marcadores, archivadores, etc)</t>
  </si>
  <si>
    <t>Uso de locales  para capacitaciones</t>
  </si>
  <si>
    <t>Uso de locales para Talleres, Asesorias grupales, Atención de visitas</t>
  </si>
  <si>
    <t>Uso  de equipo multimedia (cañones, pantallas,etc)</t>
  </si>
  <si>
    <t>Uso  de laboratorios de Lacteos, Carnicos, Microbilogía y Quimica</t>
  </si>
  <si>
    <t xml:space="preserve">Analisis Fisicos, Microbiologicos y Quimicos </t>
  </si>
  <si>
    <t>Uso de Planta de Producción de Lacteos y Carnicos con la maquinaria y equipo incluido</t>
  </si>
  <si>
    <t>Uso de Auditorium para eventos, ferias, foros, etc.</t>
  </si>
  <si>
    <t>Uso de  equipo de sonido</t>
  </si>
  <si>
    <t>Uso de Centros de computo para cursos de informatica</t>
  </si>
  <si>
    <t>Uso de oficinas para el CDMYPE</t>
  </si>
  <si>
    <t>Uso  de salas de reuniones</t>
  </si>
  <si>
    <t>Uso de parqueo Universitario</t>
  </si>
  <si>
    <t>Asesora de Empresarialidad Femenina</t>
  </si>
  <si>
    <t>Asesor Financiero</t>
  </si>
  <si>
    <t>Elaboración propuetas de crédito</t>
  </si>
  <si>
    <t xml:space="preserve"> </t>
  </si>
  <si>
    <t>Artìculo</t>
  </si>
  <si>
    <t>Cantidad</t>
  </si>
  <si>
    <t>Unidad de medida</t>
  </si>
  <si>
    <t>cajas</t>
  </si>
  <si>
    <t>papel bond</t>
  </si>
  <si>
    <t>Precio unitario</t>
  </si>
  <si>
    <t>Cantidad total</t>
  </si>
  <si>
    <t>cartuchos</t>
  </si>
  <si>
    <t>tintas impresora epson 1800</t>
  </si>
  <si>
    <t>Papel bond</t>
  </si>
  <si>
    <t>pliegos</t>
  </si>
  <si>
    <t>Grapas</t>
  </si>
  <si>
    <t>talonarios</t>
  </si>
  <si>
    <t>Fastenners</t>
  </si>
  <si>
    <t>unidades</t>
  </si>
  <si>
    <t>marcadores de colores</t>
  </si>
  <si>
    <t>plumones</t>
  </si>
  <si>
    <t>borradores de pizarra</t>
  </si>
  <si>
    <t>reglas</t>
  </si>
  <si>
    <t>tijeras</t>
  </si>
  <si>
    <t>post- it</t>
  </si>
  <si>
    <t>material didactico uso de talleres</t>
  </si>
  <si>
    <t>caja de materiales</t>
  </si>
  <si>
    <t>TOTAL</t>
  </si>
  <si>
    <t>paginas</t>
  </si>
  <si>
    <t>papel para diploma</t>
  </si>
  <si>
    <t>folders</t>
  </si>
  <si>
    <t>Borradores para lapiz</t>
  </si>
  <si>
    <t>Perforadores</t>
  </si>
  <si>
    <t>Engrapadoras</t>
  </si>
  <si>
    <t>Clips</t>
  </si>
  <si>
    <t>Agua embotellada, café, azucar, gastos en atencion al personal y visitas en el CDMYPE</t>
  </si>
  <si>
    <t>Tirro</t>
  </si>
  <si>
    <t>Tachuelas</t>
  </si>
  <si>
    <t>Correctores</t>
  </si>
  <si>
    <t>Libretas</t>
  </si>
  <si>
    <t>Ampos</t>
  </si>
  <si>
    <t>Resistol en barra</t>
  </si>
  <si>
    <t>lapiceros punta fina</t>
  </si>
  <si>
    <t>carpetas colgantes</t>
  </si>
  <si>
    <t>Cinta Scosk</t>
  </si>
  <si>
    <t>Uso de mobiliario para eventos (Mesas, sillas, manteleria, vajillas, otros relacionados)</t>
  </si>
  <si>
    <t>Sillas</t>
  </si>
  <si>
    <t>Costo unitario</t>
  </si>
  <si>
    <t>Costo Total</t>
  </si>
  <si>
    <t>mesas</t>
  </si>
  <si>
    <t>Manteleria</t>
  </si>
  <si>
    <t>Copa agua</t>
  </si>
  <si>
    <t>Plato panero</t>
  </si>
  <si>
    <t>Cubre manteles</t>
  </si>
  <si>
    <t>Artículo</t>
  </si>
  <si>
    <t>Cucharas</t>
  </si>
  <si>
    <t>tazas</t>
  </si>
  <si>
    <t>pailas de café</t>
  </si>
  <si>
    <t>Platos bocadillos</t>
  </si>
  <si>
    <t>Vasos para soda</t>
  </si>
  <si>
    <t>Uso de local para eventos de capacitaciones coordinados con otras instituciones para apoyo  a las MYPES</t>
  </si>
  <si>
    <t>Servilletas de mantel</t>
  </si>
  <si>
    <t>Cuchillos</t>
  </si>
  <si>
    <t>cubiertos</t>
  </si>
  <si>
    <t>PRESUPUESTO ENERO - DICIEMBRE 2015</t>
  </si>
  <si>
    <t>Director Administrativo General</t>
  </si>
  <si>
    <t>Colectores</t>
  </si>
  <si>
    <t>Mantenimiento</t>
  </si>
  <si>
    <t>Uso de aire acondicionado (oficina y sala de reuniones)</t>
  </si>
  <si>
    <t>Uso de equipo de computo</t>
  </si>
  <si>
    <t xml:space="preserve">Uso de equipo de oficina </t>
  </si>
  <si>
    <t>Uso de vehiculos</t>
  </si>
  <si>
    <t>Administrativo para la Asistencia Técnica y Capacitaciones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</si>
</sst>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0.0%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7"/>
      <name val="Arial"/>
      <family val="2"/>
    </font>
    <font>
      <b/>
      <sz val="6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87">
    <xf numFmtId="0" fontId="0" fillId="0" borderId="0" xfId="0"/>
    <xf numFmtId="41" fontId="0" fillId="0" borderId="0" xfId="0" applyNumberFormat="1"/>
    <xf numFmtId="0" fontId="2" fillId="0" borderId="0" xfId="0" applyFont="1"/>
    <xf numFmtId="44" fontId="0" fillId="0" borderId="0" xfId="0" applyNumberFormat="1"/>
    <xf numFmtId="0" fontId="1" fillId="0" borderId="0" xfId="0" applyFont="1"/>
    <xf numFmtId="44" fontId="4" fillId="0" borderId="0" xfId="0" applyNumberFormat="1" applyFont="1"/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1" fillId="0" borderId="15" xfId="0" applyFont="1" applyBorder="1"/>
    <xf numFmtId="44" fontId="0" fillId="0" borderId="15" xfId="1" applyFont="1" applyBorder="1"/>
    <xf numFmtId="44" fontId="0" fillId="0" borderId="15" xfId="0" applyNumberFormat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4" fillId="2" borderId="12" xfId="0" applyFont="1" applyFill="1" applyBorder="1"/>
    <xf numFmtId="0" fontId="4" fillId="2" borderId="3" xfId="0" applyFont="1" applyFill="1" applyBorder="1"/>
    <xf numFmtId="0" fontId="1" fillId="0" borderId="1" xfId="0" applyFont="1" applyFill="1" applyBorder="1" applyAlignment="1">
      <alignment horizontal="left" wrapText="1"/>
    </xf>
    <xf numFmtId="44" fontId="1" fillId="0" borderId="14" xfId="0" applyNumberFormat="1" applyFont="1" applyFill="1" applyBorder="1"/>
    <xf numFmtId="44" fontId="1" fillId="0" borderId="1" xfId="0" applyNumberFormat="1" applyFont="1" applyBorder="1"/>
    <xf numFmtId="165" fontId="1" fillId="0" borderId="0" xfId="0" applyNumberFormat="1" applyFont="1" applyBorder="1"/>
    <xf numFmtId="44" fontId="1" fillId="0" borderId="1" xfId="0" applyNumberFormat="1" applyFont="1" applyFill="1" applyBorder="1"/>
    <xf numFmtId="44" fontId="1" fillId="0" borderId="11" xfId="0" applyNumberFormat="1" applyFont="1" applyFill="1" applyBorder="1"/>
    <xf numFmtId="0" fontId="1" fillId="0" borderId="2" xfId="0" applyFont="1" applyFill="1" applyBorder="1" applyAlignment="1">
      <alignment horizontal="left" wrapText="1"/>
    </xf>
    <xf numFmtId="44" fontId="1" fillId="0" borderId="0" xfId="0" applyNumberFormat="1" applyFont="1" applyFill="1" applyBorder="1"/>
    <xf numFmtId="44" fontId="1" fillId="0" borderId="10" xfId="0" applyNumberFormat="1" applyFont="1" applyFill="1" applyBorder="1"/>
    <xf numFmtId="44" fontId="1" fillId="0" borderId="0" xfId="0" applyNumberFormat="1" applyFont="1" applyBorder="1"/>
    <xf numFmtId="44" fontId="1" fillId="0" borderId="2" xfId="0" applyNumberFormat="1" applyFont="1" applyBorder="1"/>
    <xf numFmtId="44" fontId="1" fillId="0" borderId="2" xfId="0" applyNumberFormat="1" applyFont="1" applyFill="1" applyBorder="1"/>
    <xf numFmtId="44" fontId="1" fillId="0" borderId="10" xfId="0" applyNumberFormat="1" applyFont="1" applyBorder="1"/>
    <xf numFmtId="0" fontId="1" fillId="0" borderId="2" xfId="0" applyFont="1" applyBorder="1"/>
    <xf numFmtId="0" fontId="2" fillId="0" borderId="3" xfId="0" applyFont="1" applyBorder="1" applyAlignment="1">
      <alignment horizontal="left" wrapText="1"/>
    </xf>
    <xf numFmtId="44" fontId="1" fillId="0" borderId="8" xfId="0" applyNumberFormat="1" applyFont="1" applyBorder="1"/>
    <xf numFmtId="44" fontId="1" fillId="0" borderId="9" xfId="0" applyNumberFormat="1" applyFont="1" applyBorder="1"/>
    <xf numFmtId="165" fontId="1" fillId="0" borderId="9" xfId="0" applyNumberFormat="1" applyFont="1" applyBorder="1"/>
    <xf numFmtId="0" fontId="1" fillId="0" borderId="6" xfId="0" applyFont="1" applyBorder="1" applyAlignment="1">
      <alignment horizontal="left" wrapText="1"/>
    </xf>
    <xf numFmtId="41" fontId="1" fillId="0" borderId="2" xfId="0" applyNumberFormat="1" applyFont="1" applyFill="1" applyBorder="1"/>
    <xf numFmtId="165" fontId="1" fillId="0" borderId="2" xfId="0" applyNumberFormat="1" applyFont="1" applyBorder="1"/>
    <xf numFmtId="44" fontId="1" fillId="4" borderId="2" xfId="0" applyNumberFormat="1" applyFont="1" applyFill="1" applyBorder="1"/>
    <xf numFmtId="0" fontId="1" fillId="0" borderId="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41" fontId="1" fillId="0" borderId="9" xfId="0" applyNumberFormat="1" applyFont="1" applyBorder="1"/>
    <xf numFmtId="165" fontId="1" fillId="0" borderId="8" xfId="0" applyNumberFormat="1" applyFont="1" applyBorder="1"/>
    <xf numFmtId="41" fontId="1" fillId="0" borderId="8" xfId="0" applyNumberFormat="1" applyFont="1" applyBorder="1"/>
    <xf numFmtId="0" fontId="2" fillId="2" borderId="1" xfId="0" applyFont="1" applyFill="1" applyBorder="1" applyAlignment="1">
      <alignment wrapText="1"/>
    </xf>
    <xf numFmtId="41" fontId="1" fillId="2" borderId="1" xfId="0" applyNumberFormat="1" applyFont="1" applyFill="1" applyBorder="1"/>
    <xf numFmtId="41" fontId="1" fillId="2" borderId="11" xfId="0" applyNumberFormat="1" applyFont="1" applyFill="1" applyBorder="1"/>
    <xf numFmtId="165" fontId="1" fillId="2" borderId="11" xfId="0" applyNumberFormat="1" applyFont="1" applyFill="1" applyBorder="1"/>
    <xf numFmtId="41" fontId="1" fillId="0" borderId="2" xfId="0" applyNumberFormat="1" applyFont="1" applyBorder="1"/>
    <xf numFmtId="41" fontId="1" fillId="0" borderId="10" xfId="0" applyNumberFormat="1" applyFont="1" applyBorder="1" applyAlignment="1">
      <alignment horizontal="center"/>
    </xf>
    <xf numFmtId="41" fontId="1" fillId="0" borderId="10" xfId="0" applyNumberFormat="1" applyFont="1" applyBorder="1"/>
    <xf numFmtId="41" fontId="1" fillId="0" borderId="2" xfId="0" applyNumberFormat="1" applyFont="1" applyBorder="1" applyAlignment="1">
      <alignment horizontal="right"/>
    </xf>
    <xf numFmtId="41" fontId="1" fillId="0" borderId="10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 wrapText="1"/>
    </xf>
    <xf numFmtId="44" fontId="1" fillId="4" borderId="3" xfId="0" applyNumberFormat="1" applyFont="1" applyFill="1" applyBorder="1"/>
    <xf numFmtId="44" fontId="1" fillId="0" borderId="3" xfId="0" applyNumberFormat="1" applyFont="1" applyBorder="1"/>
    <xf numFmtId="44" fontId="1" fillId="0" borderId="13" xfId="0" applyNumberFormat="1" applyFont="1" applyBorder="1"/>
    <xf numFmtId="0" fontId="2" fillId="0" borderId="4" xfId="0" applyFont="1" applyBorder="1" applyAlignment="1">
      <alignment horizontal="left" wrapText="1"/>
    </xf>
    <xf numFmtId="164" fontId="1" fillId="0" borderId="2" xfId="0" applyNumberFormat="1" applyFont="1" applyBorder="1"/>
    <xf numFmtId="0" fontId="1" fillId="0" borderId="9" xfId="0" applyFont="1" applyBorder="1"/>
    <xf numFmtId="0" fontId="2" fillId="2" borderId="5" xfId="0" applyFont="1" applyFill="1" applyBorder="1" applyAlignment="1">
      <alignment wrapText="1"/>
    </xf>
    <xf numFmtId="44" fontId="2" fillId="2" borderId="11" xfId="0" applyNumberFormat="1" applyFont="1" applyFill="1" applyBorder="1"/>
    <xf numFmtId="0" fontId="2" fillId="2" borderId="11" xfId="0" applyFont="1" applyFill="1" applyBorder="1"/>
    <xf numFmtId="0" fontId="1" fillId="0" borderId="4" xfId="0" applyFont="1" applyBorder="1" applyAlignment="1">
      <alignment wrapText="1"/>
    </xf>
    <xf numFmtId="165" fontId="1" fillId="0" borderId="13" xfId="0" applyNumberFormat="1" applyFont="1" applyBorder="1"/>
    <xf numFmtId="0" fontId="2" fillId="2" borderId="7" xfId="0" applyFont="1" applyFill="1" applyBorder="1" applyAlignment="1">
      <alignment wrapText="1"/>
    </xf>
    <xf numFmtId="44" fontId="2" fillId="2" borderId="9" xfId="0" applyNumberFormat="1" applyFont="1" applyFill="1" applyBorder="1"/>
    <xf numFmtId="0" fontId="2" fillId="2" borderId="8" xfId="0" applyFont="1" applyFill="1" applyBorder="1"/>
    <xf numFmtId="44" fontId="2" fillId="2" borderId="8" xfId="0" applyNumberFormat="1" applyFont="1" applyFill="1" applyBorder="1"/>
    <xf numFmtId="165" fontId="1" fillId="2" borderId="1" xfId="0" applyNumberFormat="1" applyFont="1" applyFill="1" applyBorder="1"/>
    <xf numFmtId="0" fontId="8" fillId="3" borderId="5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5" fillId="0" borderId="2" xfId="0" applyFont="1" applyBorder="1"/>
    <xf numFmtId="0" fontId="15" fillId="0" borderId="3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6"/>
  <sheetViews>
    <sheetView tabSelected="1" topLeftCell="A51" zoomScale="96" zoomScaleNormal="96" zoomScalePageLayoutView="84" workbookViewId="0">
      <selection activeCell="H53" sqref="H53"/>
    </sheetView>
  </sheetViews>
  <sheetFormatPr baseColWidth="10" defaultColWidth="11.42578125" defaultRowHeight="12.75" x14ac:dyDescent="0.2"/>
  <cols>
    <col min="1" max="1" width="29.140625" customWidth="1"/>
    <col min="2" max="2" width="12.85546875" customWidth="1"/>
    <col min="3" max="3" width="12.5703125" customWidth="1"/>
    <col min="4" max="4" width="8.42578125" customWidth="1"/>
    <col min="5" max="5" width="17.85546875" customWidth="1"/>
    <col min="6" max="6" width="7.42578125" customWidth="1"/>
    <col min="7" max="7" width="17.5703125" customWidth="1"/>
    <col min="8" max="8" width="13.42578125" bestFit="1" customWidth="1"/>
    <col min="9" max="9" width="12.140625" bestFit="1" customWidth="1"/>
  </cols>
  <sheetData>
    <row r="1" spans="1:9" ht="23.25" customHeight="1" x14ac:dyDescent="0.2">
      <c r="A1" s="69" t="s">
        <v>40</v>
      </c>
      <c r="B1" s="70"/>
      <c r="C1" s="70"/>
      <c r="D1" s="70"/>
      <c r="E1" s="70"/>
      <c r="F1" s="70"/>
      <c r="G1" s="71"/>
    </row>
    <row r="2" spans="1:9" ht="23.25" customHeight="1" x14ac:dyDescent="0.2">
      <c r="A2" s="72" t="s">
        <v>39</v>
      </c>
      <c r="B2" s="73"/>
      <c r="C2" s="73"/>
      <c r="D2" s="73"/>
      <c r="E2" s="73"/>
      <c r="F2" s="73"/>
      <c r="G2" s="74"/>
    </row>
    <row r="3" spans="1:9" ht="20.25" customHeight="1" thickBot="1" x14ac:dyDescent="0.25">
      <c r="A3" s="72" t="s">
        <v>127</v>
      </c>
      <c r="B3" s="73"/>
      <c r="C3" s="73"/>
      <c r="D3" s="73"/>
      <c r="E3" s="73"/>
      <c r="F3" s="73"/>
      <c r="G3" s="74"/>
    </row>
    <row r="4" spans="1:9" ht="12.75" customHeight="1" x14ac:dyDescent="0.2">
      <c r="A4" s="84" t="s">
        <v>0</v>
      </c>
      <c r="B4" s="75" t="s">
        <v>1</v>
      </c>
      <c r="C4" s="75" t="s">
        <v>16</v>
      </c>
      <c r="D4" s="78" t="s">
        <v>17</v>
      </c>
      <c r="E4" s="75" t="s">
        <v>2</v>
      </c>
      <c r="F4" s="81" t="s">
        <v>41</v>
      </c>
      <c r="G4" s="75" t="s">
        <v>3</v>
      </c>
    </row>
    <row r="5" spans="1:9" x14ac:dyDescent="0.2">
      <c r="A5" s="85"/>
      <c r="B5" s="76"/>
      <c r="C5" s="76"/>
      <c r="D5" s="79"/>
      <c r="E5" s="76"/>
      <c r="F5" s="82"/>
      <c r="G5" s="76"/>
    </row>
    <row r="6" spans="1:9" ht="36" customHeight="1" thickBot="1" x14ac:dyDescent="0.25">
      <c r="A6" s="86"/>
      <c r="B6" s="77"/>
      <c r="C6" s="77"/>
      <c r="D6" s="80"/>
      <c r="E6" s="77"/>
      <c r="F6" s="83"/>
      <c r="G6" s="77"/>
    </row>
    <row r="7" spans="1:9" ht="16.5" thickBot="1" x14ac:dyDescent="0.3">
      <c r="A7" s="11" t="s">
        <v>4</v>
      </c>
      <c r="B7" s="12"/>
      <c r="C7" s="13"/>
      <c r="D7" s="14"/>
      <c r="E7" s="13"/>
      <c r="F7" s="14"/>
      <c r="G7" s="15"/>
      <c r="I7" s="4"/>
    </row>
    <row r="8" spans="1:9" ht="26.25" thickBot="1" x14ac:dyDescent="0.25">
      <c r="A8" s="16" t="s">
        <v>18</v>
      </c>
      <c r="B8" s="17"/>
      <c r="C8" s="18">
        <v>27000</v>
      </c>
      <c r="D8" s="19">
        <v>0.05</v>
      </c>
      <c r="E8" s="20">
        <f t="shared" ref="E8:E30" si="0">+C8*D8</f>
        <v>1350</v>
      </c>
      <c r="F8" s="21"/>
      <c r="G8" s="18">
        <f t="shared" ref="G8:G30" si="1">+B8+E8+F8</f>
        <v>1350</v>
      </c>
      <c r="H8" s="3"/>
    </row>
    <row r="9" spans="1:9" x14ac:dyDescent="0.2">
      <c r="A9" s="22" t="s">
        <v>128</v>
      </c>
      <c r="B9" s="23"/>
      <c r="C9" s="18">
        <v>25000</v>
      </c>
      <c r="D9" s="19">
        <v>0.1</v>
      </c>
      <c r="E9" s="20">
        <f t="shared" si="0"/>
        <v>2500</v>
      </c>
      <c r="F9" s="24"/>
      <c r="G9" s="18">
        <f t="shared" si="1"/>
        <v>2500</v>
      </c>
      <c r="H9" s="3"/>
    </row>
    <row r="10" spans="1:9" x14ac:dyDescent="0.2">
      <c r="A10" s="22" t="s">
        <v>7</v>
      </c>
      <c r="B10" s="25"/>
      <c r="C10" s="26">
        <f>+(2200*12+770+1613.33)+(51.43+6.86)*12+(27170*0.0675)</f>
        <v>31316.785</v>
      </c>
      <c r="D10" s="19">
        <v>0.1</v>
      </c>
      <c r="E10" s="27">
        <f t="shared" si="0"/>
        <v>3131.6785</v>
      </c>
      <c r="F10" s="28"/>
      <c r="G10" s="26">
        <f t="shared" si="1"/>
        <v>3131.6785</v>
      </c>
      <c r="H10" s="3"/>
    </row>
    <row r="11" spans="1:9" x14ac:dyDescent="0.2">
      <c r="A11" s="22" t="s">
        <v>19</v>
      </c>
      <c r="B11" s="25"/>
      <c r="C11" s="26">
        <f>+(689*12+241.15+436.37)+(51.43+6.86)*12+(8509.15*0.0675)</f>
        <v>10219.367625000001</v>
      </c>
      <c r="D11" s="19">
        <v>0.1</v>
      </c>
      <c r="E11" s="27">
        <f t="shared" si="0"/>
        <v>1021.9367625000001</v>
      </c>
      <c r="F11" s="28"/>
      <c r="G11" s="26">
        <f t="shared" si="1"/>
        <v>1021.9367625000001</v>
      </c>
      <c r="H11" s="3"/>
    </row>
    <row r="12" spans="1:9" x14ac:dyDescent="0.2">
      <c r="A12" s="22" t="s">
        <v>8</v>
      </c>
      <c r="B12" s="25"/>
      <c r="C12" s="26">
        <f>+(1350*12+472.5+855)+(51.43+6.86)*12+(16672.5*0.0675)</f>
        <v>19352.373749999999</v>
      </c>
      <c r="D12" s="19">
        <v>0.5</v>
      </c>
      <c r="E12" s="27">
        <f t="shared" si="0"/>
        <v>9676.1868749999994</v>
      </c>
      <c r="F12" s="28"/>
      <c r="G12" s="26">
        <f t="shared" si="1"/>
        <v>9676.1868749999994</v>
      </c>
      <c r="H12" s="3"/>
    </row>
    <row r="13" spans="1:9" x14ac:dyDescent="0.2">
      <c r="A13" s="22" t="s">
        <v>31</v>
      </c>
      <c r="B13" s="25"/>
      <c r="C13" s="26">
        <f>+(1350*12+472.5+855)+(51.43+6.86)*12+(16672.5*0.0675)</f>
        <v>19352.373749999999</v>
      </c>
      <c r="D13" s="19">
        <v>0.4</v>
      </c>
      <c r="E13" s="27">
        <f t="shared" si="0"/>
        <v>7740.9494999999997</v>
      </c>
      <c r="F13" s="28"/>
      <c r="G13" s="26">
        <f t="shared" si="1"/>
        <v>7740.9494999999997</v>
      </c>
      <c r="H13" s="3"/>
    </row>
    <row r="14" spans="1:9" x14ac:dyDescent="0.2">
      <c r="A14" s="22" t="s">
        <v>46</v>
      </c>
      <c r="B14" s="25">
        <f>1500*12</f>
        <v>18000</v>
      </c>
      <c r="C14" s="26"/>
      <c r="D14" s="19"/>
      <c r="E14" s="27">
        <f t="shared" si="0"/>
        <v>0</v>
      </c>
      <c r="F14" s="28"/>
      <c r="G14" s="26">
        <f t="shared" si="1"/>
        <v>18000</v>
      </c>
      <c r="H14" s="3"/>
    </row>
    <row r="15" spans="1:9" x14ac:dyDescent="0.2">
      <c r="A15" s="22" t="s">
        <v>46</v>
      </c>
      <c r="B15" s="25">
        <f t="shared" ref="B15:B19" si="2">1500*12</f>
        <v>18000</v>
      </c>
      <c r="C15" s="26"/>
      <c r="D15" s="19"/>
      <c r="E15" s="27">
        <f t="shared" si="0"/>
        <v>0</v>
      </c>
      <c r="F15" s="28"/>
      <c r="G15" s="26">
        <f t="shared" si="1"/>
        <v>18000</v>
      </c>
      <c r="H15" s="3"/>
    </row>
    <row r="16" spans="1:9" x14ac:dyDescent="0.2">
      <c r="A16" s="22" t="s">
        <v>46</v>
      </c>
      <c r="B16" s="25">
        <f t="shared" si="2"/>
        <v>18000</v>
      </c>
      <c r="C16" s="26"/>
      <c r="D16" s="19"/>
      <c r="E16" s="27">
        <f t="shared" si="0"/>
        <v>0</v>
      </c>
      <c r="F16" s="28"/>
      <c r="G16" s="26">
        <f t="shared" si="1"/>
        <v>18000</v>
      </c>
      <c r="H16" s="3"/>
    </row>
    <row r="17" spans="1:9" x14ac:dyDescent="0.2">
      <c r="A17" s="22" t="s">
        <v>46</v>
      </c>
      <c r="B17" s="25">
        <f t="shared" si="2"/>
        <v>18000</v>
      </c>
      <c r="C17" s="26"/>
      <c r="D17" s="19"/>
      <c r="E17" s="27">
        <f t="shared" si="0"/>
        <v>0</v>
      </c>
      <c r="F17" s="28"/>
      <c r="G17" s="26">
        <f t="shared" si="1"/>
        <v>18000</v>
      </c>
      <c r="H17" s="3"/>
    </row>
    <row r="18" spans="1:9" x14ac:dyDescent="0.2">
      <c r="A18" s="22" t="s">
        <v>46</v>
      </c>
      <c r="B18" s="25">
        <f t="shared" si="2"/>
        <v>18000</v>
      </c>
      <c r="C18" s="26"/>
      <c r="D18" s="19"/>
      <c r="E18" s="27">
        <f t="shared" si="0"/>
        <v>0</v>
      </c>
      <c r="F18" s="28"/>
      <c r="G18" s="26">
        <f t="shared" si="1"/>
        <v>18000</v>
      </c>
      <c r="H18" s="3"/>
    </row>
    <row r="19" spans="1:9" x14ac:dyDescent="0.2">
      <c r="A19" s="22" t="s">
        <v>47</v>
      </c>
      <c r="B19" s="25">
        <f t="shared" si="2"/>
        <v>18000</v>
      </c>
      <c r="C19" s="26"/>
      <c r="D19" s="19"/>
      <c r="E19" s="27">
        <f t="shared" si="0"/>
        <v>0</v>
      </c>
      <c r="F19" s="28"/>
      <c r="G19" s="26">
        <f t="shared" si="1"/>
        <v>18000</v>
      </c>
      <c r="H19" s="3"/>
    </row>
    <row r="20" spans="1:9" x14ac:dyDescent="0.2">
      <c r="A20" s="22" t="s">
        <v>64</v>
      </c>
      <c r="B20" s="25">
        <v>18000</v>
      </c>
      <c r="C20" s="26"/>
      <c r="D20" s="19"/>
      <c r="E20" s="27"/>
      <c r="F20" s="28"/>
      <c r="G20" s="26">
        <f t="shared" si="1"/>
        <v>18000</v>
      </c>
      <c r="H20" s="3"/>
    </row>
    <row r="21" spans="1:9" ht="25.5" x14ac:dyDescent="0.2">
      <c r="A21" s="22" t="s">
        <v>63</v>
      </c>
      <c r="B21" s="25">
        <v>18000</v>
      </c>
      <c r="C21" s="26"/>
      <c r="D21" s="19"/>
      <c r="E21" s="27"/>
      <c r="F21" s="28"/>
      <c r="G21" s="26">
        <f t="shared" si="1"/>
        <v>18000</v>
      </c>
      <c r="H21" s="3"/>
    </row>
    <row r="22" spans="1:9" ht="25.5" x14ac:dyDescent="0.2">
      <c r="A22" s="22" t="s">
        <v>135</v>
      </c>
      <c r="B22" s="25">
        <f>800*12</f>
        <v>9600</v>
      </c>
      <c r="C22" s="29"/>
      <c r="D22" s="19"/>
      <c r="E22" s="27">
        <f t="shared" si="0"/>
        <v>0</v>
      </c>
      <c r="F22" s="28"/>
      <c r="G22" s="26">
        <f t="shared" si="1"/>
        <v>9600</v>
      </c>
      <c r="H22" s="3"/>
    </row>
    <row r="23" spans="1:9" ht="25.5" x14ac:dyDescent="0.2">
      <c r="A23" s="22" t="s">
        <v>42</v>
      </c>
      <c r="B23" s="25"/>
      <c r="C23" s="26">
        <f>750*6</f>
        <v>4500</v>
      </c>
      <c r="D23" s="19">
        <v>1</v>
      </c>
      <c r="E23" s="27">
        <f t="shared" si="0"/>
        <v>4500</v>
      </c>
      <c r="F23" s="28"/>
      <c r="G23" s="26">
        <f t="shared" si="1"/>
        <v>4500</v>
      </c>
      <c r="H23" s="3"/>
    </row>
    <row r="24" spans="1:9" x14ac:dyDescent="0.2">
      <c r="A24" s="22" t="s">
        <v>20</v>
      </c>
      <c r="B24" s="25"/>
      <c r="C24" s="26">
        <f>+(795*12+278.25+503.5)+(51.43+6.86)*12+(9818.25*0.0675)</f>
        <v>11683.961874999999</v>
      </c>
      <c r="D24" s="19">
        <v>0.1</v>
      </c>
      <c r="E24" s="27">
        <f t="shared" si="0"/>
        <v>1168.3961875</v>
      </c>
      <c r="F24" s="28"/>
      <c r="G24" s="26">
        <f t="shared" si="1"/>
        <v>1168.3961875</v>
      </c>
      <c r="H24" s="3"/>
    </row>
    <row r="25" spans="1:9" x14ac:dyDescent="0.2">
      <c r="A25" s="22" t="s">
        <v>9</v>
      </c>
      <c r="B25" s="25"/>
      <c r="C25" s="26">
        <f>+(385*12+122.5+163.33)+(385*12+122.5)*0.1525</f>
        <v>5629.0612499999997</v>
      </c>
      <c r="D25" s="19">
        <v>0.1</v>
      </c>
      <c r="E25" s="27">
        <f t="shared" si="0"/>
        <v>562.90612499999997</v>
      </c>
      <c r="F25" s="28"/>
      <c r="G25" s="26">
        <f t="shared" si="1"/>
        <v>562.90612499999997</v>
      </c>
      <c r="H25" s="3"/>
    </row>
    <row r="26" spans="1:9" x14ac:dyDescent="0.2">
      <c r="A26" s="22" t="s">
        <v>129</v>
      </c>
      <c r="B26" s="25"/>
      <c r="C26" s="26">
        <f>+(735*12+189+252)+(735*12+189)*0.1525</f>
        <v>10634.872499999999</v>
      </c>
      <c r="D26" s="19">
        <v>0.05</v>
      </c>
      <c r="E26" s="26">
        <f t="shared" si="0"/>
        <v>531.74362499999995</v>
      </c>
      <c r="F26" s="28"/>
      <c r="G26" s="26">
        <f t="shared" si="1"/>
        <v>531.74362499999995</v>
      </c>
      <c r="H26" s="3"/>
    </row>
    <row r="27" spans="1:9" x14ac:dyDescent="0.2">
      <c r="A27" s="22" t="s">
        <v>10</v>
      </c>
      <c r="B27" s="25"/>
      <c r="C27" s="26">
        <f>+(378*12+132.3+239.4)+(378*12+132.3)*0.1525</f>
        <v>5619.6157499999999</v>
      </c>
      <c r="D27" s="19">
        <v>0.05</v>
      </c>
      <c r="E27" s="26">
        <f t="shared" si="0"/>
        <v>280.98078750000002</v>
      </c>
      <c r="F27" s="28"/>
      <c r="G27" s="26">
        <f t="shared" si="1"/>
        <v>280.98078750000002</v>
      </c>
      <c r="H27" s="3"/>
    </row>
    <row r="28" spans="1:9" x14ac:dyDescent="0.2">
      <c r="A28" s="22" t="s">
        <v>130</v>
      </c>
      <c r="B28" s="25"/>
      <c r="C28" s="26">
        <f>+(864*12+132.3+239.4)+(864*12+132.3)*0.1525</f>
        <v>12340.995749999998</v>
      </c>
      <c r="D28" s="19">
        <v>0.1</v>
      </c>
      <c r="E28" s="26">
        <f t="shared" si="0"/>
        <v>1234.099575</v>
      </c>
      <c r="F28" s="28"/>
      <c r="G28" s="26">
        <f t="shared" si="1"/>
        <v>1234.099575</v>
      </c>
      <c r="H28" s="3"/>
    </row>
    <row r="29" spans="1:9" x14ac:dyDescent="0.2">
      <c r="A29" s="22" t="s">
        <v>11</v>
      </c>
      <c r="B29" s="25"/>
      <c r="C29" s="26">
        <f>+(432*12+151.2+273.6)+(432*12+151.2)*0.1525</f>
        <v>6422.4179999999997</v>
      </c>
      <c r="D29" s="19">
        <v>0.16</v>
      </c>
      <c r="E29" s="26">
        <f t="shared" si="0"/>
        <v>1027.5868800000001</v>
      </c>
      <c r="F29" s="28"/>
      <c r="G29" s="26">
        <f t="shared" si="1"/>
        <v>1027.5868800000001</v>
      </c>
      <c r="H29" s="3"/>
    </row>
    <row r="30" spans="1:9" ht="13.5" thickBot="1" x14ac:dyDescent="0.25">
      <c r="A30" s="22" t="s">
        <v>12</v>
      </c>
      <c r="B30" s="25"/>
      <c r="C30" s="26">
        <f>+(900*12+105+190)+(900*12+105)*0.1525</f>
        <v>12758.012500000001</v>
      </c>
      <c r="D30" s="19">
        <v>0.12</v>
      </c>
      <c r="E30" s="26">
        <f t="shared" si="0"/>
        <v>1530.9615000000001</v>
      </c>
      <c r="F30" s="28"/>
      <c r="G30" s="26">
        <f t="shared" si="1"/>
        <v>1530.9615000000001</v>
      </c>
      <c r="H30" s="3"/>
    </row>
    <row r="31" spans="1:9" ht="13.5" thickBot="1" x14ac:dyDescent="0.25">
      <c r="A31" s="30" t="s">
        <v>15</v>
      </c>
      <c r="B31" s="31">
        <f>SUM(B8:B30)</f>
        <v>153600</v>
      </c>
      <c r="C31" s="32">
        <f>SUM(C8:C30)</f>
        <v>201829.83775000001</v>
      </c>
      <c r="D31" s="33"/>
      <c r="E31" s="32">
        <f>SUM(E8:E30)</f>
        <v>36257.426317499994</v>
      </c>
      <c r="F31" s="32"/>
      <c r="G31" s="32">
        <f>SUM(G8:G30)</f>
        <v>189857.42631750004</v>
      </c>
      <c r="H31" s="1"/>
      <c r="I31" s="3"/>
    </row>
    <row r="32" spans="1:9" ht="25.5" x14ac:dyDescent="0.2">
      <c r="A32" s="59" t="s">
        <v>5</v>
      </c>
      <c r="B32" s="44"/>
      <c r="C32" s="44"/>
      <c r="D32" s="68"/>
      <c r="E32" s="44"/>
      <c r="F32" s="44"/>
      <c r="G32" s="45"/>
    </row>
    <row r="33" spans="1:7" x14ac:dyDescent="0.2">
      <c r="A33" s="34" t="s">
        <v>60</v>
      </c>
      <c r="B33" s="35"/>
      <c r="C33" s="26">
        <f>2500*12</f>
        <v>30000</v>
      </c>
      <c r="D33" s="36">
        <v>1</v>
      </c>
      <c r="E33" s="26">
        <f t="shared" ref="E33:E50" si="3">+C33*D33</f>
        <v>30000</v>
      </c>
      <c r="F33" s="35"/>
      <c r="G33" s="26">
        <f t="shared" ref="G33:G50" si="4">+B33+E33+F33</f>
        <v>30000</v>
      </c>
    </row>
    <row r="34" spans="1:7" x14ac:dyDescent="0.2">
      <c r="A34" s="34" t="s">
        <v>61</v>
      </c>
      <c r="B34" s="35"/>
      <c r="C34" s="26">
        <f>1200*12</f>
        <v>14400</v>
      </c>
      <c r="D34" s="36">
        <v>1</v>
      </c>
      <c r="E34" s="26">
        <f t="shared" si="3"/>
        <v>14400</v>
      </c>
      <c r="F34" s="35"/>
      <c r="G34" s="26">
        <f t="shared" si="4"/>
        <v>14400</v>
      </c>
    </row>
    <row r="35" spans="1:7" x14ac:dyDescent="0.2">
      <c r="A35" s="34" t="s">
        <v>62</v>
      </c>
      <c r="B35" s="35"/>
      <c r="C35" s="26">
        <f>40*12*15</f>
        <v>7200</v>
      </c>
      <c r="D35" s="36">
        <v>1</v>
      </c>
      <c r="E35" s="26">
        <f t="shared" si="3"/>
        <v>7200</v>
      </c>
      <c r="F35" s="35"/>
      <c r="G35" s="26">
        <f t="shared" si="4"/>
        <v>7200</v>
      </c>
    </row>
    <row r="36" spans="1:7" x14ac:dyDescent="0.2">
      <c r="A36" s="34" t="s">
        <v>48</v>
      </c>
      <c r="B36" s="35"/>
      <c r="C36" s="26">
        <v>500</v>
      </c>
      <c r="D36" s="36">
        <v>1</v>
      </c>
      <c r="E36" s="26">
        <f t="shared" si="3"/>
        <v>500</v>
      </c>
      <c r="F36" s="35"/>
      <c r="G36" s="26">
        <f t="shared" si="4"/>
        <v>500</v>
      </c>
    </row>
    <row r="37" spans="1:7" x14ac:dyDescent="0.2">
      <c r="A37" s="34" t="s">
        <v>43</v>
      </c>
      <c r="B37" s="35"/>
      <c r="C37" s="37">
        <f>1000*2</f>
        <v>2000</v>
      </c>
      <c r="D37" s="36">
        <v>0.7</v>
      </c>
      <c r="E37" s="27">
        <f t="shared" si="3"/>
        <v>1400</v>
      </c>
      <c r="F37" s="35"/>
      <c r="G37" s="26">
        <f t="shared" si="4"/>
        <v>1400</v>
      </c>
    </row>
    <row r="38" spans="1:7" x14ac:dyDescent="0.2">
      <c r="A38" s="34" t="s">
        <v>134</v>
      </c>
      <c r="B38" s="35"/>
      <c r="C38" s="37">
        <v>15674.04</v>
      </c>
      <c r="D38" s="36">
        <v>0.7</v>
      </c>
      <c r="E38" s="27">
        <f t="shared" si="3"/>
        <v>10971.828</v>
      </c>
      <c r="F38" s="35"/>
      <c r="G38" s="26">
        <f t="shared" si="4"/>
        <v>10971.828</v>
      </c>
    </row>
    <row r="39" spans="1:7" ht="25.5" x14ac:dyDescent="0.2">
      <c r="A39" s="34" t="s">
        <v>44</v>
      </c>
      <c r="B39" s="35"/>
      <c r="C39" s="37">
        <f>1456*3</f>
        <v>4368</v>
      </c>
      <c r="D39" s="36">
        <v>0.75</v>
      </c>
      <c r="E39" s="27">
        <f t="shared" si="3"/>
        <v>3276</v>
      </c>
      <c r="F39" s="35"/>
      <c r="G39" s="26">
        <f t="shared" si="4"/>
        <v>3276</v>
      </c>
    </row>
    <row r="40" spans="1:7" ht="17.25" customHeight="1" x14ac:dyDescent="0.2">
      <c r="A40" s="34" t="s">
        <v>131</v>
      </c>
      <c r="B40" s="35"/>
      <c r="C40" s="37">
        <f>500*(10)</f>
        <v>5000</v>
      </c>
      <c r="D40" s="36">
        <v>0.75</v>
      </c>
      <c r="E40" s="27">
        <f t="shared" si="3"/>
        <v>3750</v>
      </c>
      <c r="F40" s="35"/>
      <c r="G40" s="26">
        <f t="shared" si="4"/>
        <v>3750</v>
      </c>
    </row>
    <row r="41" spans="1:7" ht="25.5" x14ac:dyDescent="0.2">
      <c r="A41" s="34" t="s">
        <v>49</v>
      </c>
      <c r="B41" s="35"/>
      <c r="C41" s="37">
        <v>500</v>
      </c>
      <c r="D41" s="36">
        <v>1</v>
      </c>
      <c r="E41" s="27">
        <f t="shared" si="3"/>
        <v>500</v>
      </c>
      <c r="F41" s="35"/>
      <c r="G41" s="26">
        <f t="shared" si="4"/>
        <v>500</v>
      </c>
    </row>
    <row r="42" spans="1:7" x14ac:dyDescent="0.2">
      <c r="A42" s="34" t="s">
        <v>132</v>
      </c>
      <c r="B42" s="35"/>
      <c r="C42" s="37">
        <f>(130+220+277.19+240.71+240.71+240.71)+(66.67*10)+(259.23*10)+(1.9*10)+(1.9*10)+(21.85*3)</f>
        <v>4711.8700000000008</v>
      </c>
      <c r="D42" s="36">
        <v>1</v>
      </c>
      <c r="E42" s="27">
        <f t="shared" si="3"/>
        <v>4711.8700000000008</v>
      </c>
      <c r="F42" s="35"/>
      <c r="G42" s="26">
        <f t="shared" si="4"/>
        <v>4711.8700000000008</v>
      </c>
    </row>
    <row r="43" spans="1:7" x14ac:dyDescent="0.2">
      <c r="A43" s="34" t="s">
        <v>133</v>
      </c>
      <c r="B43" s="35"/>
      <c r="C43" s="37">
        <f>(17.52*5)+(11.5*4)+35.4+419.88+40.71+20.91+19.8+(38*2)+40+(36*3)+395.5+88.48+105.13+100.88</f>
        <v>1584.29</v>
      </c>
      <c r="D43" s="36">
        <v>1</v>
      </c>
      <c r="E43" s="27">
        <f t="shared" si="3"/>
        <v>1584.29</v>
      </c>
      <c r="F43" s="35"/>
      <c r="G43" s="26">
        <f t="shared" si="4"/>
        <v>1584.29</v>
      </c>
    </row>
    <row r="44" spans="1:7" x14ac:dyDescent="0.2">
      <c r="A44" s="34" t="s">
        <v>21</v>
      </c>
      <c r="B44" s="35"/>
      <c r="C44" s="37">
        <f>900*12</f>
        <v>10800</v>
      </c>
      <c r="D44" s="36">
        <v>0.3</v>
      </c>
      <c r="E44" s="27">
        <f t="shared" si="3"/>
        <v>3240</v>
      </c>
      <c r="F44" s="35"/>
      <c r="G44" s="26">
        <f t="shared" si="4"/>
        <v>3240</v>
      </c>
    </row>
    <row r="45" spans="1:7" x14ac:dyDescent="0.2">
      <c r="A45" s="34" t="s">
        <v>22</v>
      </c>
      <c r="B45" s="35"/>
      <c r="C45" s="37">
        <f>33.9*12</f>
        <v>406.79999999999995</v>
      </c>
      <c r="D45" s="36">
        <v>0.35</v>
      </c>
      <c r="E45" s="26">
        <f t="shared" si="3"/>
        <v>142.37999999999997</v>
      </c>
      <c r="F45" s="35"/>
      <c r="G45" s="26">
        <f t="shared" si="4"/>
        <v>142.37999999999997</v>
      </c>
    </row>
    <row r="46" spans="1:7" x14ac:dyDescent="0.2">
      <c r="A46" s="34" t="s">
        <v>23</v>
      </c>
      <c r="B46" s="35"/>
      <c r="C46" s="37">
        <f>300*12</f>
        <v>3600</v>
      </c>
      <c r="D46" s="36">
        <v>0.35</v>
      </c>
      <c r="E46" s="26">
        <f t="shared" si="3"/>
        <v>1260</v>
      </c>
      <c r="F46" s="35"/>
      <c r="G46" s="26">
        <f t="shared" si="4"/>
        <v>1260</v>
      </c>
    </row>
    <row r="47" spans="1:7" x14ac:dyDescent="0.2">
      <c r="A47" s="34" t="s">
        <v>24</v>
      </c>
      <c r="B47" s="35"/>
      <c r="C47" s="37">
        <f>2743.47*12</f>
        <v>32921.64</v>
      </c>
      <c r="D47" s="36">
        <v>0.35</v>
      </c>
      <c r="E47" s="26">
        <f t="shared" si="3"/>
        <v>11522.573999999999</v>
      </c>
      <c r="F47" s="35"/>
      <c r="G47" s="26">
        <f t="shared" si="4"/>
        <v>11522.573999999999</v>
      </c>
    </row>
    <row r="48" spans="1:7" ht="38.25" x14ac:dyDescent="0.2">
      <c r="A48" s="34" t="s">
        <v>98</v>
      </c>
      <c r="B48" s="35"/>
      <c r="C48" s="37">
        <f>(1.6*350)*10</f>
        <v>5600</v>
      </c>
      <c r="D48" s="36">
        <v>0.4</v>
      </c>
      <c r="E48" s="26">
        <f t="shared" si="3"/>
        <v>2240</v>
      </c>
      <c r="F48" s="35"/>
      <c r="G48" s="26">
        <f t="shared" si="4"/>
        <v>2240</v>
      </c>
    </row>
    <row r="49" spans="1:9" x14ac:dyDescent="0.2">
      <c r="A49" s="34" t="s">
        <v>45</v>
      </c>
      <c r="B49" s="35"/>
      <c r="C49" s="37">
        <f>125*12</f>
        <v>1500</v>
      </c>
      <c r="D49" s="36">
        <v>0.1</v>
      </c>
      <c r="E49" s="26">
        <f t="shared" si="3"/>
        <v>150</v>
      </c>
      <c r="F49" s="35"/>
      <c r="G49" s="26">
        <f t="shared" si="4"/>
        <v>150</v>
      </c>
    </row>
    <row r="50" spans="1:9" ht="50.25" customHeight="1" thickBot="1" x14ac:dyDescent="0.25">
      <c r="A50" s="38" t="s">
        <v>50</v>
      </c>
      <c r="B50" s="35"/>
      <c r="C50" s="37">
        <v>1413.29</v>
      </c>
      <c r="D50" s="36">
        <v>1</v>
      </c>
      <c r="E50" s="26">
        <f t="shared" si="3"/>
        <v>1413.29</v>
      </c>
      <c r="F50" s="35"/>
      <c r="G50" s="26">
        <f t="shared" si="4"/>
        <v>1413.29</v>
      </c>
    </row>
    <row r="51" spans="1:9" ht="26.25" thickBot="1" x14ac:dyDescent="0.25">
      <c r="A51" s="39" t="s">
        <v>25</v>
      </c>
      <c r="B51" s="40">
        <f>SUM(B33:B50)</f>
        <v>0</v>
      </c>
      <c r="C51" s="32">
        <f>+SUM(C33:C50)</f>
        <v>142179.93000000002</v>
      </c>
      <c r="D51" s="41"/>
      <c r="E51" s="32">
        <f>+SUM(E33:E50)</f>
        <v>98262.231999999989</v>
      </c>
      <c r="F51" s="42"/>
      <c r="G51" s="31">
        <f>+SUM(G33:G50)</f>
        <v>98262.231999999989</v>
      </c>
      <c r="H51" s="1"/>
    </row>
    <row r="52" spans="1:9" ht="25.5" x14ac:dyDescent="0.2">
      <c r="A52" s="43" t="s">
        <v>6</v>
      </c>
      <c r="B52" s="44"/>
      <c r="C52" s="45"/>
      <c r="D52" s="46"/>
      <c r="E52" s="45"/>
      <c r="F52" s="45"/>
      <c r="G52" s="45"/>
      <c r="I52" s="3"/>
    </row>
    <row r="53" spans="1:9" ht="25.5" x14ac:dyDescent="0.2">
      <c r="A53" s="34" t="s">
        <v>51</v>
      </c>
      <c r="B53" s="47"/>
      <c r="C53" s="26">
        <f>350*15</f>
        <v>5250</v>
      </c>
      <c r="D53" s="36">
        <v>1</v>
      </c>
      <c r="E53" s="26">
        <f t="shared" ref="E53:E67" si="5">+C53*D53</f>
        <v>5250</v>
      </c>
      <c r="F53" s="48"/>
      <c r="G53" s="26">
        <f t="shared" ref="G53:G67" si="6">+B53+E53+F53</f>
        <v>5250</v>
      </c>
      <c r="I53" t="s">
        <v>66</v>
      </c>
    </row>
    <row r="54" spans="1:9" ht="25.5" x14ac:dyDescent="0.2">
      <c r="A54" s="34" t="s">
        <v>53</v>
      </c>
      <c r="B54" s="47"/>
      <c r="C54" s="27">
        <f>150*60</f>
        <v>9000</v>
      </c>
      <c r="D54" s="36">
        <v>1</v>
      </c>
      <c r="E54" s="26">
        <f t="shared" si="5"/>
        <v>9000</v>
      </c>
      <c r="F54" s="49"/>
      <c r="G54" s="26">
        <f t="shared" si="6"/>
        <v>9000</v>
      </c>
    </row>
    <row r="55" spans="1:9" ht="51" x14ac:dyDescent="0.2">
      <c r="A55" s="34" t="s">
        <v>123</v>
      </c>
      <c r="B55" s="47"/>
      <c r="C55" s="27">
        <f>300*10</f>
        <v>3000</v>
      </c>
      <c r="D55" s="36">
        <v>1</v>
      </c>
      <c r="E55" s="26">
        <f t="shared" si="5"/>
        <v>3000</v>
      </c>
      <c r="F55" s="49"/>
      <c r="G55" s="26">
        <f t="shared" si="6"/>
        <v>3000</v>
      </c>
    </row>
    <row r="56" spans="1:9" ht="57.75" customHeight="1" x14ac:dyDescent="0.2">
      <c r="A56" s="34" t="s">
        <v>52</v>
      </c>
      <c r="B56" s="47"/>
      <c r="C56" s="27">
        <f>(175*58)</f>
        <v>10150</v>
      </c>
      <c r="D56" s="36">
        <v>1</v>
      </c>
      <c r="E56" s="26">
        <f t="shared" si="5"/>
        <v>10150</v>
      </c>
      <c r="F56" s="49"/>
      <c r="G56" s="26">
        <f t="shared" si="6"/>
        <v>10150</v>
      </c>
    </row>
    <row r="57" spans="1:9" ht="39.75" customHeight="1" x14ac:dyDescent="0.2">
      <c r="A57" s="38" t="s">
        <v>54</v>
      </c>
      <c r="B57" s="47"/>
      <c r="C57" s="27">
        <f>275*12</f>
        <v>3300</v>
      </c>
      <c r="D57" s="36">
        <v>1</v>
      </c>
      <c r="E57" s="26">
        <f t="shared" ref="E57:E63" si="7">+C57*D57</f>
        <v>3300</v>
      </c>
      <c r="F57" s="49"/>
      <c r="G57" s="26">
        <f t="shared" ref="G57:G63" si="8">+B57+E57+F57</f>
        <v>3300</v>
      </c>
    </row>
    <row r="58" spans="1:9" ht="40.5" customHeight="1" x14ac:dyDescent="0.2">
      <c r="A58" s="34" t="s">
        <v>55</v>
      </c>
      <c r="B58" s="47"/>
      <c r="C58" s="27">
        <f>50*20</f>
        <v>1000</v>
      </c>
      <c r="D58" s="36">
        <v>1</v>
      </c>
      <c r="E58" s="26">
        <f t="shared" si="7"/>
        <v>1000</v>
      </c>
      <c r="F58" s="49"/>
      <c r="G58" s="26">
        <f t="shared" si="8"/>
        <v>1000</v>
      </c>
    </row>
    <row r="59" spans="1:9" ht="49.5" customHeight="1" x14ac:dyDescent="0.2">
      <c r="A59" s="38" t="s">
        <v>56</v>
      </c>
      <c r="B59" s="47"/>
      <c r="C59" s="27">
        <f>300*10</f>
        <v>3000</v>
      </c>
      <c r="D59" s="36">
        <v>1</v>
      </c>
      <c r="E59" s="26">
        <f t="shared" si="7"/>
        <v>3000</v>
      </c>
      <c r="F59" s="49"/>
      <c r="G59" s="26">
        <f t="shared" si="8"/>
        <v>3000</v>
      </c>
    </row>
    <row r="60" spans="1:9" ht="25.5" x14ac:dyDescent="0.2">
      <c r="A60" s="34" t="s">
        <v>57</v>
      </c>
      <c r="B60" s="47"/>
      <c r="C60" s="27">
        <f>1000*3</f>
        <v>3000</v>
      </c>
      <c r="D60" s="36">
        <v>1</v>
      </c>
      <c r="E60" s="26">
        <f t="shared" si="7"/>
        <v>3000</v>
      </c>
      <c r="F60" s="49"/>
      <c r="G60" s="26">
        <f t="shared" si="8"/>
        <v>3000</v>
      </c>
    </row>
    <row r="61" spans="1:9" ht="38.25" x14ac:dyDescent="0.2">
      <c r="A61" s="34" t="s">
        <v>108</v>
      </c>
      <c r="B61" s="47"/>
      <c r="C61" s="27">
        <f>129.4*86</f>
        <v>11128.4</v>
      </c>
      <c r="D61" s="36">
        <v>1</v>
      </c>
      <c r="E61" s="26">
        <f t="shared" si="7"/>
        <v>11128.4</v>
      </c>
      <c r="F61" s="49"/>
      <c r="G61" s="26">
        <f t="shared" si="8"/>
        <v>11128.4</v>
      </c>
    </row>
    <row r="62" spans="1:9" x14ac:dyDescent="0.2">
      <c r="A62" s="34" t="s">
        <v>58</v>
      </c>
      <c r="B62" s="47"/>
      <c r="C62" s="26">
        <f>150*3</f>
        <v>450</v>
      </c>
      <c r="D62" s="36">
        <v>1</v>
      </c>
      <c r="E62" s="26">
        <f t="shared" si="7"/>
        <v>450</v>
      </c>
      <c r="F62" s="50"/>
      <c r="G62" s="26">
        <f t="shared" si="8"/>
        <v>450</v>
      </c>
    </row>
    <row r="63" spans="1:9" ht="25.5" x14ac:dyDescent="0.2">
      <c r="A63" s="34" t="s">
        <v>59</v>
      </c>
      <c r="B63" s="47"/>
      <c r="C63" s="26">
        <f>7*24*4*30</f>
        <v>20160</v>
      </c>
      <c r="D63" s="36">
        <v>1</v>
      </c>
      <c r="E63" s="26">
        <f t="shared" si="7"/>
        <v>20160</v>
      </c>
      <c r="F63" s="51"/>
      <c r="G63" s="26">
        <f t="shared" si="8"/>
        <v>20160</v>
      </c>
    </row>
    <row r="64" spans="1:9" x14ac:dyDescent="0.2">
      <c r="A64" s="34" t="s">
        <v>26</v>
      </c>
      <c r="B64" s="47"/>
      <c r="C64" s="26">
        <f>12*15*12</f>
        <v>2160</v>
      </c>
      <c r="D64" s="36">
        <v>1</v>
      </c>
      <c r="E64" s="27">
        <f t="shared" si="5"/>
        <v>2160</v>
      </c>
      <c r="F64" s="49"/>
      <c r="G64" s="26">
        <f t="shared" si="6"/>
        <v>2160</v>
      </c>
    </row>
    <row r="65" spans="1:10" x14ac:dyDescent="0.2">
      <c r="A65" s="34" t="s">
        <v>27</v>
      </c>
      <c r="B65" s="47"/>
      <c r="C65" s="26">
        <f>350*12</f>
        <v>4200</v>
      </c>
      <c r="D65" s="36">
        <v>0.4</v>
      </c>
      <c r="E65" s="27">
        <f t="shared" si="5"/>
        <v>1680</v>
      </c>
      <c r="F65" s="50"/>
      <c r="G65" s="26">
        <f t="shared" si="6"/>
        <v>1680</v>
      </c>
    </row>
    <row r="66" spans="1:10" ht="25.5" x14ac:dyDescent="0.2">
      <c r="A66" s="34" t="s">
        <v>29</v>
      </c>
      <c r="B66" s="47"/>
      <c r="C66" s="26">
        <f>4000*12</f>
        <v>48000</v>
      </c>
      <c r="D66" s="36">
        <v>0.35</v>
      </c>
      <c r="E66" s="27">
        <f t="shared" si="5"/>
        <v>16800</v>
      </c>
      <c r="F66" s="50"/>
      <c r="G66" s="26">
        <f t="shared" si="6"/>
        <v>16800</v>
      </c>
      <c r="J66" t="s">
        <v>66</v>
      </c>
    </row>
    <row r="67" spans="1:10" ht="25.5" x14ac:dyDescent="0.2">
      <c r="A67" s="34" t="s">
        <v>28</v>
      </c>
      <c r="B67" s="47"/>
      <c r="C67" s="26">
        <f>12*22.84*12</f>
        <v>3288.96</v>
      </c>
      <c r="D67" s="36">
        <v>1</v>
      </c>
      <c r="E67" s="27">
        <f t="shared" si="5"/>
        <v>3288.96</v>
      </c>
      <c r="F67" s="50"/>
      <c r="G67" s="26">
        <f t="shared" si="6"/>
        <v>3288.96</v>
      </c>
    </row>
    <row r="68" spans="1:10" ht="25.5" x14ac:dyDescent="0.2">
      <c r="A68" s="52" t="s">
        <v>13</v>
      </c>
      <c r="B68" s="25"/>
      <c r="C68" s="26">
        <f>+(1000*12+350+466.67)+(51.43+6.86)*12+(12350*0.0675)</f>
        <v>14349.775</v>
      </c>
      <c r="D68" s="19">
        <v>0.08</v>
      </c>
      <c r="E68" s="26">
        <f>+C68*D68</f>
        <v>1147.982</v>
      </c>
      <c r="F68" s="28"/>
      <c r="G68" s="26">
        <f>+B68+E68+F68</f>
        <v>1147.982</v>
      </c>
      <c r="H68" s="3"/>
    </row>
    <row r="69" spans="1:10" ht="13.5" thickBot="1" x14ac:dyDescent="0.25">
      <c r="A69" s="52" t="s">
        <v>14</v>
      </c>
      <c r="B69" s="25"/>
      <c r="C69" s="53">
        <f>5*15*25</f>
        <v>1875</v>
      </c>
      <c r="D69" s="19">
        <v>1</v>
      </c>
      <c r="E69" s="54">
        <f>+C69*D69</f>
        <v>1875</v>
      </c>
      <c r="F69" s="55"/>
      <c r="G69" s="54">
        <f>+B69+E69+F69</f>
        <v>1875</v>
      </c>
      <c r="H69" s="3"/>
    </row>
    <row r="70" spans="1:10" ht="26.25" thickBot="1" x14ac:dyDescent="0.25">
      <c r="A70" s="56" t="s">
        <v>38</v>
      </c>
      <c r="B70" s="40">
        <f>SUM(B53:B69)</f>
        <v>0</v>
      </c>
      <c r="C70" s="32">
        <f>+SUM(C53:C69)</f>
        <v>143312.13500000001</v>
      </c>
      <c r="D70" s="41"/>
      <c r="E70" s="32">
        <f>+SUM(E53:E69)</f>
        <v>96390.342000000004</v>
      </c>
      <c r="F70" s="42">
        <f>SUM(F53:F64)</f>
        <v>0</v>
      </c>
      <c r="G70" s="32">
        <f>SUM(G53:G69)</f>
        <v>96390.342000000004</v>
      </c>
      <c r="H70" s="1"/>
    </row>
    <row r="71" spans="1:10" ht="25.5" x14ac:dyDescent="0.2">
      <c r="A71" s="43" t="s">
        <v>37</v>
      </c>
      <c r="B71" s="26"/>
      <c r="C71" s="29"/>
      <c r="D71" s="29"/>
      <c r="E71" s="29"/>
      <c r="F71" s="29"/>
      <c r="G71" s="29"/>
    </row>
    <row r="72" spans="1:10" x14ac:dyDescent="0.2">
      <c r="A72" s="22" t="s">
        <v>32</v>
      </c>
      <c r="B72" s="27">
        <v>56000</v>
      </c>
      <c r="C72" s="29"/>
      <c r="D72" s="29"/>
      <c r="E72" s="29"/>
      <c r="F72" s="29"/>
      <c r="G72" s="57"/>
    </row>
    <row r="73" spans="1:10" x14ac:dyDescent="0.2">
      <c r="A73" s="22" t="s">
        <v>33</v>
      </c>
      <c r="B73" s="27">
        <v>6450</v>
      </c>
      <c r="C73" s="29"/>
      <c r="D73" s="29"/>
      <c r="E73" s="29"/>
      <c r="F73" s="29"/>
      <c r="G73" s="29"/>
    </row>
    <row r="74" spans="1:10" ht="13.5" thickBot="1" x14ac:dyDescent="0.25">
      <c r="A74" s="22" t="s">
        <v>65</v>
      </c>
      <c r="B74" s="27">
        <v>4000</v>
      </c>
      <c r="C74" s="29"/>
      <c r="D74" s="29"/>
      <c r="E74" s="29"/>
      <c r="F74" s="29"/>
      <c r="G74" s="29"/>
    </row>
    <row r="75" spans="1:10" ht="26.25" thickBot="1" x14ac:dyDescent="0.25">
      <c r="A75" s="30" t="s">
        <v>34</v>
      </c>
      <c r="B75" s="32">
        <f>SUM(B72:B74)</f>
        <v>66450</v>
      </c>
      <c r="C75" s="58"/>
      <c r="D75" s="58"/>
      <c r="E75" s="58"/>
      <c r="F75" s="58"/>
      <c r="G75" s="58"/>
    </row>
    <row r="76" spans="1:10" s="2" customFormat="1" ht="18" customHeight="1" x14ac:dyDescent="0.2">
      <c r="A76" s="59" t="s">
        <v>30</v>
      </c>
      <c r="B76" s="60">
        <f>+B31+B51+B70+B75</f>
        <v>220050</v>
      </c>
      <c r="C76" s="61"/>
      <c r="D76" s="61"/>
      <c r="E76" s="60">
        <f>+E31+E51+E70</f>
        <v>230910.00031749997</v>
      </c>
      <c r="F76" s="61"/>
      <c r="G76" s="61"/>
    </row>
    <row r="77" spans="1:10" ht="26.25" thickBot="1" x14ac:dyDescent="0.25">
      <c r="A77" s="62" t="s">
        <v>35</v>
      </c>
      <c r="B77" s="54">
        <v>10860</v>
      </c>
      <c r="C77" s="54"/>
      <c r="D77" s="63"/>
      <c r="E77" s="63"/>
      <c r="F77" s="54"/>
      <c r="G77" s="54">
        <f>+B77+E77+F77</f>
        <v>10860</v>
      </c>
    </row>
    <row r="78" spans="1:10" s="2" customFormat="1" ht="26.25" thickBot="1" x14ac:dyDescent="0.25">
      <c r="A78" s="64" t="s">
        <v>36</v>
      </c>
      <c r="B78" s="65">
        <f>B76+B77</f>
        <v>230910</v>
      </c>
      <c r="C78" s="66"/>
      <c r="D78" s="66"/>
      <c r="E78" s="67">
        <f>+E76+E22+E77</f>
        <v>230910.00031749997</v>
      </c>
      <c r="F78" s="66"/>
      <c r="G78" s="67">
        <f>+B78+E78</f>
        <v>461820.00031749997</v>
      </c>
    </row>
    <row r="80" spans="1:10" x14ac:dyDescent="0.2">
      <c r="E80" s="3"/>
    </row>
    <row r="81" spans="2:5" x14ac:dyDescent="0.2">
      <c r="C81" s="3"/>
      <c r="E81" s="3"/>
    </row>
    <row r="82" spans="2:5" x14ac:dyDescent="0.2">
      <c r="E82" s="3"/>
    </row>
    <row r="84" spans="2:5" x14ac:dyDescent="0.2">
      <c r="C84" s="3"/>
    </row>
    <row r="85" spans="2:5" x14ac:dyDescent="0.2">
      <c r="B85" s="3"/>
    </row>
    <row r="86" spans="2:5" ht="15" x14ac:dyDescent="0.2">
      <c r="C86" s="5"/>
    </row>
  </sheetData>
  <mergeCells count="10">
    <mergeCell ref="A1:G1"/>
    <mergeCell ref="A2:G2"/>
    <mergeCell ref="A3:G3"/>
    <mergeCell ref="B4:B6"/>
    <mergeCell ref="C4:C6"/>
    <mergeCell ref="D4:D6"/>
    <mergeCell ref="E4:E6"/>
    <mergeCell ref="F4:F6"/>
    <mergeCell ref="G4:G6"/>
    <mergeCell ref="A4:A6"/>
  </mergeCells>
  <phoneticPr fontId="0" type="noConversion"/>
  <pageMargins left="0.55118110236220474" right="0.55118110236220474" top="0.39370078740157483" bottom="0.39370078740157483" header="0.51181102362204722" footer="0.51181102362204722"/>
  <pageSetup scale="90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8" sqref="B8"/>
    </sheetView>
  </sheetViews>
  <sheetFormatPr baseColWidth="10" defaultRowHeight="12.75" x14ac:dyDescent="0.2"/>
  <cols>
    <col min="2" max="2" width="15" customWidth="1"/>
    <col min="3" max="3" width="14.85546875" customWidth="1"/>
    <col min="4" max="4" width="12.7109375" customWidth="1"/>
  </cols>
  <sheetData>
    <row r="1" spans="1:4" x14ac:dyDescent="0.2">
      <c r="A1" t="s">
        <v>68</v>
      </c>
      <c r="B1" t="s">
        <v>117</v>
      </c>
      <c r="C1" t="s">
        <v>110</v>
      </c>
      <c r="D1" t="s">
        <v>111</v>
      </c>
    </row>
    <row r="2" spans="1:4" x14ac:dyDescent="0.2">
      <c r="A2">
        <v>24</v>
      </c>
      <c r="B2" t="s">
        <v>109</v>
      </c>
      <c r="C2">
        <v>0.5</v>
      </c>
      <c r="D2">
        <f>A2*C2</f>
        <v>12</v>
      </c>
    </row>
    <row r="3" spans="1:4" x14ac:dyDescent="0.2">
      <c r="A3">
        <v>8</v>
      </c>
      <c r="B3" t="s">
        <v>112</v>
      </c>
      <c r="C3">
        <v>1.5</v>
      </c>
      <c r="D3">
        <f t="shared" ref="D3:D10" si="0">A3*C3</f>
        <v>12</v>
      </c>
    </row>
    <row r="4" spans="1:4" x14ac:dyDescent="0.2">
      <c r="A4">
        <v>10</v>
      </c>
      <c r="B4" t="s">
        <v>113</v>
      </c>
      <c r="C4">
        <v>3.3</v>
      </c>
      <c r="D4">
        <f t="shared" si="0"/>
        <v>33</v>
      </c>
    </row>
    <row r="5" spans="1:4" x14ac:dyDescent="0.2">
      <c r="A5">
        <v>24</v>
      </c>
      <c r="B5" s="4" t="s">
        <v>124</v>
      </c>
      <c r="C5">
        <v>0.25</v>
      </c>
      <c r="D5">
        <f t="shared" si="0"/>
        <v>6</v>
      </c>
    </row>
    <row r="6" spans="1:4" x14ac:dyDescent="0.2">
      <c r="A6">
        <v>24</v>
      </c>
      <c r="B6" t="s">
        <v>114</v>
      </c>
      <c r="C6">
        <v>0.25</v>
      </c>
      <c r="D6">
        <f t="shared" si="0"/>
        <v>6</v>
      </c>
    </row>
    <row r="7" spans="1:4" x14ac:dyDescent="0.2">
      <c r="A7">
        <v>24</v>
      </c>
      <c r="B7" t="s">
        <v>115</v>
      </c>
      <c r="C7">
        <v>0.25</v>
      </c>
      <c r="D7">
        <f t="shared" si="0"/>
        <v>6</v>
      </c>
    </row>
    <row r="8" spans="1:4" x14ac:dyDescent="0.2">
      <c r="A8">
        <v>8</v>
      </c>
      <c r="B8" t="s">
        <v>116</v>
      </c>
      <c r="C8">
        <v>3.31</v>
      </c>
      <c r="D8">
        <f t="shared" si="0"/>
        <v>26.48</v>
      </c>
    </row>
    <row r="9" spans="1:4" x14ac:dyDescent="0.2">
      <c r="A9">
        <v>24</v>
      </c>
      <c r="B9" t="s">
        <v>118</v>
      </c>
      <c r="C9">
        <v>0.15</v>
      </c>
      <c r="D9">
        <f t="shared" si="0"/>
        <v>3.5999999999999996</v>
      </c>
    </row>
    <row r="10" spans="1:4" x14ac:dyDescent="0.2">
      <c r="A10">
        <v>24</v>
      </c>
      <c r="B10" t="s">
        <v>119</v>
      </c>
      <c r="C10">
        <v>0.12</v>
      </c>
      <c r="D10">
        <f t="shared" si="0"/>
        <v>2.88</v>
      </c>
    </row>
    <row r="11" spans="1:4" x14ac:dyDescent="0.2">
      <c r="A11">
        <v>24</v>
      </c>
      <c r="B11" t="s">
        <v>120</v>
      </c>
      <c r="C11">
        <v>0.15</v>
      </c>
      <c r="D11">
        <f>A11*C11</f>
        <v>3.5999999999999996</v>
      </c>
    </row>
    <row r="12" spans="1:4" x14ac:dyDescent="0.2">
      <c r="A12">
        <v>24</v>
      </c>
      <c r="B12" t="s">
        <v>122</v>
      </c>
      <c r="C12">
        <v>0.15</v>
      </c>
      <c r="D12">
        <f>A12*C12</f>
        <v>3.5999999999999996</v>
      </c>
    </row>
    <row r="13" spans="1:4" x14ac:dyDescent="0.2">
      <c r="A13">
        <v>24</v>
      </c>
      <c r="B13" s="4" t="s">
        <v>126</v>
      </c>
      <c r="C13">
        <v>0.11</v>
      </c>
      <c r="D13">
        <f>A13*C13</f>
        <v>2.64</v>
      </c>
    </row>
    <row r="14" spans="1:4" x14ac:dyDescent="0.2">
      <c r="A14">
        <v>24</v>
      </c>
      <c r="B14" s="4" t="s">
        <v>125</v>
      </c>
      <c r="C14">
        <v>0.11</v>
      </c>
      <c r="D14">
        <f>A14*C14</f>
        <v>2.64</v>
      </c>
    </row>
    <row r="15" spans="1:4" x14ac:dyDescent="0.2">
      <c r="A15">
        <v>10</v>
      </c>
      <c r="B15" t="s">
        <v>121</v>
      </c>
      <c r="C15">
        <v>1.1100000000000001</v>
      </c>
      <c r="D15">
        <f>A15*C15</f>
        <v>11.100000000000001</v>
      </c>
    </row>
    <row r="16" spans="1:4" x14ac:dyDescent="0.2">
      <c r="D16">
        <f>SUM(D2:D15)</f>
        <v>131.54</v>
      </c>
    </row>
    <row r="17" spans="4:6" x14ac:dyDescent="0.2">
      <c r="F17">
        <v>131.51</v>
      </c>
    </row>
    <row r="19" spans="4:6" x14ac:dyDescent="0.2">
      <c r="D19">
        <f>D16+2.11</f>
        <v>133.65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opLeftCell="A3" workbookViewId="0">
      <selection activeCell="D33" sqref="D33"/>
    </sheetView>
  </sheetViews>
  <sheetFormatPr baseColWidth="10" defaultRowHeight="12.75" x14ac:dyDescent="0.2"/>
  <cols>
    <col min="2" max="2" width="18.140625" customWidth="1"/>
    <col min="3" max="3" width="30.28515625" customWidth="1"/>
    <col min="4" max="4" width="14.42578125" customWidth="1"/>
    <col min="5" max="5" width="16" customWidth="1"/>
  </cols>
  <sheetData>
    <row r="3" spans="1:5" x14ac:dyDescent="0.2">
      <c r="A3" s="6" t="s">
        <v>68</v>
      </c>
      <c r="B3" s="6" t="s">
        <v>69</v>
      </c>
      <c r="C3" s="6" t="s">
        <v>67</v>
      </c>
      <c r="D3" s="6" t="s">
        <v>72</v>
      </c>
      <c r="E3" s="6" t="s">
        <v>73</v>
      </c>
    </row>
    <row r="4" spans="1:5" x14ac:dyDescent="0.2">
      <c r="A4" s="7">
        <v>15</v>
      </c>
      <c r="B4" s="8" t="s">
        <v>70</v>
      </c>
      <c r="C4" s="8" t="s">
        <v>71</v>
      </c>
      <c r="D4" s="9">
        <v>50</v>
      </c>
      <c r="E4" s="9">
        <f>A4*D4</f>
        <v>750</v>
      </c>
    </row>
    <row r="5" spans="1:5" x14ac:dyDescent="0.2">
      <c r="A5" s="7">
        <v>10</v>
      </c>
      <c r="B5" s="8" t="s">
        <v>70</v>
      </c>
      <c r="C5" s="8" t="s">
        <v>105</v>
      </c>
      <c r="D5" s="9">
        <v>0.51</v>
      </c>
      <c r="E5" s="9">
        <f t="shared" ref="E5:E34" si="0">A5*D5</f>
        <v>5.0999999999999996</v>
      </c>
    </row>
    <row r="6" spans="1:5" x14ac:dyDescent="0.2">
      <c r="A6" s="7">
        <v>72</v>
      </c>
      <c r="B6" s="8" t="s">
        <v>74</v>
      </c>
      <c r="C6" s="8" t="s">
        <v>75</v>
      </c>
      <c r="D6" s="9">
        <v>9</v>
      </c>
      <c r="E6" s="9">
        <f t="shared" si="0"/>
        <v>648</v>
      </c>
    </row>
    <row r="7" spans="1:5" x14ac:dyDescent="0.2">
      <c r="A7" s="7">
        <v>1</v>
      </c>
      <c r="B7" s="8" t="s">
        <v>89</v>
      </c>
      <c r="C7" s="8" t="s">
        <v>88</v>
      </c>
      <c r="D7" s="9">
        <v>100</v>
      </c>
      <c r="E7" s="9">
        <f t="shared" si="0"/>
        <v>100</v>
      </c>
    </row>
    <row r="8" spans="1:5" x14ac:dyDescent="0.2">
      <c r="A8" s="7">
        <v>100</v>
      </c>
      <c r="B8" s="8" t="s">
        <v>77</v>
      </c>
      <c r="C8" s="8" t="s">
        <v>76</v>
      </c>
      <c r="D8" s="9">
        <v>0.15</v>
      </c>
      <c r="E8" s="9">
        <f t="shared" si="0"/>
        <v>15</v>
      </c>
    </row>
    <row r="9" spans="1:5" x14ac:dyDescent="0.2">
      <c r="A9" s="7">
        <v>20</v>
      </c>
      <c r="B9" s="8" t="s">
        <v>70</v>
      </c>
      <c r="C9" s="8" t="s">
        <v>78</v>
      </c>
      <c r="D9" s="9">
        <v>0.51</v>
      </c>
      <c r="E9" s="9">
        <f t="shared" si="0"/>
        <v>10.199999999999999</v>
      </c>
    </row>
    <row r="10" spans="1:5" x14ac:dyDescent="0.2">
      <c r="A10" s="7">
        <v>2</v>
      </c>
      <c r="B10" s="8" t="s">
        <v>81</v>
      </c>
      <c r="C10" s="8" t="s">
        <v>79</v>
      </c>
      <c r="D10" s="9"/>
      <c r="E10" s="9">
        <f t="shared" si="0"/>
        <v>0</v>
      </c>
    </row>
    <row r="11" spans="1:5" x14ac:dyDescent="0.2">
      <c r="A11" s="7">
        <v>30</v>
      </c>
      <c r="B11" s="8" t="s">
        <v>70</v>
      </c>
      <c r="C11" s="8" t="s">
        <v>80</v>
      </c>
      <c r="D11" s="9">
        <v>0.86</v>
      </c>
      <c r="E11" s="9">
        <f t="shared" si="0"/>
        <v>25.8</v>
      </c>
    </row>
    <row r="12" spans="1:5" x14ac:dyDescent="0.2">
      <c r="A12" s="7">
        <v>45</v>
      </c>
      <c r="B12" s="8" t="s">
        <v>81</v>
      </c>
      <c r="C12" s="8" t="s">
        <v>82</v>
      </c>
      <c r="D12" s="9">
        <v>0.59</v>
      </c>
      <c r="E12" s="9">
        <f t="shared" si="0"/>
        <v>26.549999999999997</v>
      </c>
    </row>
    <row r="13" spans="1:5" x14ac:dyDescent="0.2">
      <c r="A13" s="7">
        <v>100</v>
      </c>
      <c r="B13" s="8" t="s">
        <v>81</v>
      </c>
      <c r="C13" s="8" t="s">
        <v>106</v>
      </c>
      <c r="D13" s="9">
        <v>0.33</v>
      </c>
      <c r="E13" s="9">
        <f t="shared" si="0"/>
        <v>33</v>
      </c>
    </row>
    <row r="14" spans="1:5" x14ac:dyDescent="0.2">
      <c r="A14" s="8">
        <v>45</v>
      </c>
      <c r="B14" s="8" t="s">
        <v>81</v>
      </c>
      <c r="C14" s="8" t="s">
        <v>83</v>
      </c>
      <c r="D14" s="9">
        <v>0.7</v>
      </c>
      <c r="E14" s="9">
        <f t="shared" si="0"/>
        <v>31.499999999999996</v>
      </c>
    </row>
    <row r="15" spans="1:5" x14ac:dyDescent="0.2">
      <c r="A15" s="8">
        <v>10</v>
      </c>
      <c r="B15" s="8" t="s">
        <v>81</v>
      </c>
      <c r="C15" s="8" t="s">
        <v>84</v>
      </c>
      <c r="D15" s="9"/>
      <c r="E15" s="9">
        <f t="shared" si="0"/>
        <v>0</v>
      </c>
    </row>
    <row r="16" spans="1:5" x14ac:dyDescent="0.2">
      <c r="A16" s="8">
        <v>10</v>
      </c>
      <c r="B16" s="8" t="s">
        <v>81</v>
      </c>
      <c r="C16" s="8" t="s">
        <v>85</v>
      </c>
      <c r="D16" s="9"/>
      <c r="E16" s="9">
        <f t="shared" si="0"/>
        <v>0</v>
      </c>
    </row>
    <row r="17" spans="1:5" x14ac:dyDescent="0.2">
      <c r="A17" s="8">
        <v>15</v>
      </c>
      <c r="B17" s="8" t="s">
        <v>81</v>
      </c>
      <c r="C17" s="8" t="s">
        <v>86</v>
      </c>
      <c r="D17" s="9">
        <v>0.42</v>
      </c>
      <c r="E17" s="9">
        <f t="shared" si="0"/>
        <v>6.3</v>
      </c>
    </row>
    <row r="18" spans="1:5" x14ac:dyDescent="0.2">
      <c r="A18" s="8">
        <v>20</v>
      </c>
      <c r="B18" s="8" t="s">
        <v>81</v>
      </c>
      <c r="C18" s="8" t="s">
        <v>87</v>
      </c>
      <c r="D18" s="9">
        <v>0.9</v>
      </c>
      <c r="E18" s="9">
        <f t="shared" si="0"/>
        <v>18</v>
      </c>
    </row>
    <row r="19" spans="1:5" x14ac:dyDescent="0.2">
      <c r="A19" s="7">
        <v>300</v>
      </c>
      <c r="B19" s="8" t="s">
        <v>91</v>
      </c>
      <c r="C19" s="8" t="s">
        <v>92</v>
      </c>
      <c r="D19" s="7">
        <v>0.15</v>
      </c>
      <c r="E19" s="9">
        <f t="shared" si="0"/>
        <v>45</v>
      </c>
    </row>
    <row r="20" spans="1:5" x14ac:dyDescent="0.2">
      <c r="A20" s="7">
        <v>500</v>
      </c>
      <c r="B20" s="8" t="s">
        <v>81</v>
      </c>
      <c r="C20" s="8" t="s">
        <v>93</v>
      </c>
      <c r="D20" s="7"/>
      <c r="E20" s="9">
        <f t="shared" si="0"/>
        <v>0</v>
      </c>
    </row>
    <row r="21" spans="1:5" x14ac:dyDescent="0.2">
      <c r="A21" s="7">
        <v>20</v>
      </c>
      <c r="B21" s="8" t="s">
        <v>81</v>
      </c>
      <c r="C21" s="8" t="s">
        <v>94</v>
      </c>
      <c r="D21" s="7">
        <v>0.25</v>
      </c>
      <c r="E21" s="9">
        <f t="shared" si="0"/>
        <v>5</v>
      </c>
    </row>
    <row r="22" spans="1:5" x14ac:dyDescent="0.2">
      <c r="A22" s="7">
        <v>5</v>
      </c>
      <c r="B22" s="8" t="s">
        <v>81</v>
      </c>
      <c r="C22" s="8" t="s">
        <v>95</v>
      </c>
      <c r="D22" s="7">
        <v>8.93</v>
      </c>
      <c r="E22" s="9">
        <f t="shared" si="0"/>
        <v>44.65</v>
      </c>
    </row>
    <row r="23" spans="1:5" x14ac:dyDescent="0.2">
      <c r="A23" s="7">
        <v>5</v>
      </c>
      <c r="B23" s="8" t="s">
        <v>81</v>
      </c>
      <c r="C23" s="8" t="s">
        <v>96</v>
      </c>
      <c r="D23" s="7">
        <v>1.86</v>
      </c>
      <c r="E23" s="9">
        <f t="shared" si="0"/>
        <v>9.3000000000000007</v>
      </c>
    </row>
    <row r="24" spans="1:5" x14ac:dyDescent="0.2">
      <c r="A24" s="7">
        <v>10</v>
      </c>
      <c r="B24" s="8" t="s">
        <v>70</v>
      </c>
      <c r="C24" s="8" t="s">
        <v>97</v>
      </c>
      <c r="D24" s="7">
        <v>0.2</v>
      </c>
      <c r="E24" s="9">
        <f t="shared" si="0"/>
        <v>2</v>
      </c>
    </row>
    <row r="25" spans="1:5" x14ac:dyDescent="0.2">
      <c r="A25" s="7">
        <v>10</v>
      </c>
      <c r="B25" s="8" t="s">
        <v>81</v>
      </c>
      <c r="C25" s="8" t="s">
        <v>107</v>
      </c>
      <c r="D25" s="7">
        <v>0.39</v>
      </c>
      <c r="E25" s="9">
        <f t="shared" si="0"/>
        <v>3.9000000000000004</v>
      </c>
    </row>
    <row r="26" spans="1:5" x14ac:dyDescent="0.2">
      <c r="A26" s="7">
        <v>3</v>
      </c>
      <c r="B26" s="8" t="s">
        <v>81</v>
      </c>
      <c r="C26" s="8" t="s">
        <v>99</v>
      </c>
      <c r="D26" s="7">
        <v>1.04</v>
      </c>
      <c r="E26" s="9">
        <f t="shared" si="0"/>
        <v>3.12</v>
      </c>
    </row>
    <row r="27" spans="1:5" x14ac:dyDescent="0.2">
      <c r="A27" s="7">
        <v>3</v>
      </c>
      <c r="B27" s="8" t="s">
        <v>70</v>
      </c>
      <c r="C27" s="8" t="s">
        <v>100</v>
      </c>
      <c r="D27" s="7">
        <v>0.67</v>
      </c>
      <c r="E27" s="9">
        <f t="shared" si="0"/>
        <v>2.0100000000000002</v>
      </c>
    </row>
    <row r="28" spans="1:5" x14ac:dyDescent="0.2">
      <c r="A28" s="7">
        <v>10</v>
      </c>
      <c r="B28" s="8" t="s">
        <v>81</v>
      </c>
      <c r="C28" s="8" t="s">
        <v>101</v>
      </c>
      <c r="D28" s="7">
        <v>0.46</v>
      </c>
      <c r="E28" s="9">
        <f t="shared" si="0"/>
        <v>4.6000000000000005</v>
      </c>
    </row>
    <row r="29" spans="1:5" x14ac:dyDescent="0.2">
      <c r="A29" s="7">
        <v>10</v>
      </c>
      <c r="B29" s="8" t="s">
        <v>81</v>
      </c>
      <c r="C29" s="8" t="s">
        <v>102</v>
      </c>
      <c r="D29" s="7">
        <v>0.98</v>
      </c>
      <c r="E29" s="9">
        <f t="shared" si="0"/>
        <v>9.8000000000000007</v>
      </c>
    </row>
    <row r="30" spans="1:5" x14ac:dyDescent="0.2">
      <c r="A30" s="7">
        <v>10</v>
      </c>
      <c r="B30" s="8" t="s">
        <v>81</v>
      </c>
      <c r="C30" s="8" t="s">
        <v>103</v>
      </c>
      <c r="D30" s="7">
        <v>1.86</v>
      </c>
      <c r="E30" s="9">
        <f t="shared" si="0"/>
        <v>18.600000000000001</v>
      </c>
    </row>
    <row r="31" spans="1:5" x14ac:dyDescent="0.2">
      <c r="A31" s="7">
        <v>10</v>
      </c>
      <c r="B31" s="8" t="s">
        <v>81</v>
      </c>
      <c r="C31" s="8" t="s">
        <v>104</v>
      </c>
      <c r="D31" s="7">
        <v>0.7</v>
      </c>
      <c r="E31" s="9">
        <f t="shared" si="0"/>
        <v>7</v>
      </c>
    </row>
    <row r="32" spans="1:5" x14ac:dyDescent="0.2">
      <c r="A32" s="7"/>
      <c r="B32" s="7"/>
      <c r="C32" s="8"/>
      <c r="D32" s="7"/>
      <c r="E32" s="9"/>
    </row>
    <row r="33" spans="1:5" x14ac:dyDescent="0.2">
      <c r="A33" s="7"/>
      <c r="B33" s="7"/>
      <c r="C33" s="8"/>
      <c r="D33" s="7"/>
      <c r="E33" s="9"/>
    </row>
    <row r="34" spans="1:5" x14ac:dyDescent="0.2">
      <c r="A34" s="7"/>
      <c r="B34" s="7"/>
      <c r="C34" s="7"/>
      <c r="D34" s="7"/>
      <c r="E34" s="9">
        <f t="shared" si="0"/>
        <v>0</v>
      </c>
    </row>
    <row r="35" spans="1:5" x14ac:dyDescent="0.2">
      <c r="A35" s="7"/>
      <c r="B35" s="7"/>
      <c r="C35" s="8" t="s">
        <v>90</v>
      </c>
      <c r="D35" s="7"/>
      <c r="E35" s="10">
        <f>SUM(E4:E34)</f>
        <v>1824.4299999999996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CDMYPE</vt:lpstr>
      <vt:lpstr>Detalle de uso mobiliario event</vt:lpstr>
      <vt:lpstr>Detalle papeleria</vt:lpstr>
    </vt:vector>
  </TitlesOfParts>
  <Company>Universidad Veracruzana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.</cp:lastModifiedBy>
  <cp:lastPrinted>2015-01-09T16:00:12Z</cp:lastPrinted>
  <dcterms:created xsi:type="dcterms:W3CDTF">2007-09-24T20:08:43Z</dcterms:created>
  <dcterms:modified xsi:type="dcterms:W3CDTF">2015-04-09T20:29:44Z</dcterms:modified>
</cp:coreProperties>
</file>