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480" windowHeight="7752" tabRatio="643" activeTab="1"/>
  </bookViews>
  <sheets>
    <sheet name="PRESUPUESTO CDMYPE" sheetId="21" r:id="rId1"/>
    <sheet name="uso de local para capacitacione" sheetId="26" r:id="rId2"/>
  </sheets>
  <calcPr calcId="145621"/>
</workbook>
</file>

<file path=xl/calcChain.xml><?xml version="1.0" encoding="utf-8"?>
<calcChain xmlns="http://schemas.openxmlformats.org/spreadsheetml/2006/main">
  <c r="C52" i="21" l="1"/>
  <c r="C54" i="21" l="1"/>
  <c r="C56" i="21"/>
  <c r="C60" i="21"/>
  <c r="C59" i="21"/>
  <c r="C53" i="21"/>
  <c r="E53" i="21" s="1"/>
  <c r="G53" i="21" s="1"/>
  <c r="C67" i="21" l="1"/>
  <c r="C55" i="21"/>
  <c r="C57" i="21"/>
  <c r="C51" i="21"/>
  <c r="C64" i="21" l="1"/>
  <c r="C65" i="21"/>
  <c r="C37" i="21"/>
  <c r="C38" i="21"/>
  <c r="C39" i="21" l="1"/>
  <c r="C48" i="21"/>
  <c r="E59" i="21" l="1"/>
  <c r="G59" i="21" s="1"/>
  <c r="C36" i="21"/>
  <c r="C40" i="21"/>
  <c r="C46" i="21"/>
  <c r="C35" i="21"/>
  <c r="C45" i="21" l="1"/>
  <c r="C44" i="21"/>
  <c r="C62" i="21"/>
  <c r="C58" i="21"/>
  <c r="C22" i="21" l="1"/>
  <c r="B76" i="21"/>
  <c r="G19" i="21" l="1"/>
  <c r="G20" i="21"/>
  <c r="B68" i="21" l="1"/>
  <c r="B49" i="21"/>
  <c r="C33" i="21" l="1"/>
  <c r="C63" i="21"/>
  <c r="C61" i="21"/>
  <c r="E61" i="21" s="1"/>
  <c r="G61" i="21" s="1"/>
  <c r="E57" i="21" l="1"/>
  <c r="G57" i="21" s="1"/>
  <c r="E56" i="21"/>
  <c r="G56" i="21" s="1"/>
  <c r="E54" i="21"/>
  <c r="G54" i="21" s="1"/>
  <c r="C47" i="21"/>
  <c r="C43" i="21"/>
  <c r="C42" i="21"/>
  <c r="C41" i="21"/>
  <c r="E35" i="21" l="1"/>
  <c r="G35" i="21" s="1"/>
  <c r="E34" i="21"/>
  <c r="G34" i="21" s="1"/>
  <c r="C32" i="21"/>
  <c r="C31" i="21"/>
  <c r="E13" i="21"/>
  <c r="E14" i="21"/>
  <c r="E15" i="21"/>
  <c r="E16" i="21"/>
  <c r="E17" i="21"/>
  <c r="E18" i="21"/>
  <c r="E21" i="21"/>
  <c r="C66" i="21"/>
  <c r="E66" i="21" s="1"/>
  <c r="C28" i="21"/>
  <c r="E28" i="21" s="1"/>
  <c r="C27" i="21"/>
  <c r="E27" i="21" s="1"/>
  <c r="C26" i="21"/>
  <c r="E26" i="21" s="1"/>
  <c r="C25" i="21"/>
  <c r="E25" i="21" s="1"/>
  <c r="C24" i="21"/>
  <c r="E24" i="21" s="1"/>
  <c r="C23" i="21"/>
  <c r="E23" i="21" s="1"/>
  <c r="E22" i="21"/>
  <c r="C12" i="21"/>
  <c r="E12" i="21" s="1"/>
  <c r="C11" i="21"/>
  <c r="E11" i="21" s="1"/>
  <c r="C10" i="21"/>
  <c r="E10" i="21" s="1"/>
  <c r="C9" i="21"/>
  <c r="E9" i="21" s="1"/>
  <c r="C8" i="21"/>
  <c r="C29" i="21" l="1"/>
  <c r="C49" i="21"/>
  <c r="E67" i="21" l="1"/>
  <c r="C68" i="21"/>
  <c r="B21" i="21"/>
  <c r="G21" i="21" s="1"/>
  <c r="B14" i="21"/>
  <c r="B15" i="21"/>
  <c r="B16" i="21"/>
  <c r="B17" i="21"/>
  <c r="G17" i="21" s="1"/>
  <c r="B18" i="21"/>
  <c r="G18" i="21" s="1"/>
  <c r="B13" i="21"/>
  <c r="E8" i="21"/>
  <c r="E29" i="21" s="1"/>
  <c r="G9" i="21"/>
  <c r="G10" i="21"/>
  <c r="G11" i="21"/>
  <c r="G12" i="21"/>
  <c r="G13" i="21"/>
  <c r="G14" i="21"/>
  <c r="G22" i="21"/>
  <c r="G23" i="21"/>
  <c r="G24" i="21"/>
  <c r="G25" i="21"/>
  <c r="G26" i="21"/>
  <c r="G27" i="21"/>
  <c r="G28" i="21"/>
  <c r="G66" i="21"/>
  <c r="E31" i="21"/>
  <c r="E32" i="21"/>
  <c r="G32" i="21" s="1"/>
  <c r="E33" i="21"/>
  <c r="G33" i="21" s="1"/>
  <c r="E36" i="21"/>
  <c r="G36" i="21" s="1"/>
  <c r="E37" i="21"/>
  <c r="E38" i="21"/>
  <c r="G38" i="21" s="1"/>
  <c r="E39" i="21"/>
  <c r="G39" i="21" s="1"/>
  <c r="E40" i="21"/>
  <c r="G40" i="21" s="1"/>
  <c r="E41" i="21"/>
  <c r="G41" i="21" s="1"/>
  <c r="E42" i="21"/>
  <c r="G42" i="21" s="1"/>
  <c r="E43" i="21"/>
  <c r="G43" i="21" s="1"/>
  <c r="E44" i="21"/>
  <c r="G44" i="21" s="1"/>
  <c r="E45" i="21"/>
  <c r="G45" i="21" s="1"/>
  <c r="E46" i="21"/>
  <c r="G46" i="21" s="1"/>
  <c r="E47" i="21"/>
  <c r="G47" i="21" s="1"/>
  <c r="E48" i="21"/>
  <c r="G48" i="21" s="1"/>
  <c r="E51" i="21"/>
  <c r="E52" i="21"/>
  <c r="E62" i="21"/>
  <c r="G62" i="21" s="1"/>
  <c r="E55" i="21"/>
  <c r="G55" i="21" s="1"/>
  <c r="E58" i="21"/>
  <c r="G58" i="21" s="1"/>
  <c r="E60" i="21"/>
  <c r="G60" i="21" s="1"/>
  <c r="E63" i="21"/>
  <c r="G63" i="21" s="1"/>
  <c r="E64" i="21"/>
  <c r="G64" i="21" s="1"/>
  <c r="E65" i="21"/>
  <c r="G65" i="21" s="1"/>
  <c r="F68" i="21"/>
  <c r="G78" i="21"/>
  <c r="B29" i="21" l="1"/>
  <c r="G51" i="21"/>
  <c r="E68" i="21"/>
  <c r="G31" i="21"/>
  <c r="E49" i="21"/>
  <c r="G16" i="21"/>
  <c r="G15" i="21"/>
  <c r="G37" i="21"/>
  <c r="G8" i="21"/>
  <c r="G52" i="21"/>
  <c r="G29" i="21" l="1"/>
  <c r="G49" i="21"/>
  <c r="G67" i="21"/>
  <c r="G68" i="21" s="1"/>
  <c r="E77" i="21"/>
  <c r="E79" i="21" s="1"/>
  <c r="B77" i="21" l="1"/>
  <c r="B79" i="21" s="1"/>
  <c r="G79" i="21" l="1"/>
</calcChain>
</file>

<file path=xl/comments1.xml><?xml version="1.0" encoding="utf-8"?>
<comments xmlns="http://schemas.openxmlformats.org/spreadsheetml/2006/main">
  <authors>
    <author>CONTADOR</author>
    <author>roamrodma26@hotmail.com</author>
  </authors>
  <commentList>
    <comment ref="C22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6  meses hora sociales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2 mantenimientos pick up blanco y corolla
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12 meses (cuotas anuales de pick up blanco y corolla) Se incrementas dos vehiculos mas Yaris y camioneta  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cuota anual aire CDMYPE y cuota anual aire sala</t>
        </r>
      </text>
    </comment>
    <comment ref="C39" authorId="1">
      <text>
        <r>
          <rPr>
            <b/>
            <sz val="9"/>
            <color indexed="81"/>
            <rFont val="Tahoma"/>
            <family val="2"/>
          </rPr>
          <t>roamrodma26@hotmail.com:</t>
        </r>
        <r>
          <rPr>
            <sz val="9"/>
            <color indexed="81"/>
            <rFont val="Tahoma"/>
            <family val="2"/>
          </rPr>
          <t xml:space="preserve">
Mantenimiento mensual de 10 equipos de computo
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por el momento solo fondo propio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Mobiliario y equipo de activo fijo + cuadros de aporte en especie + adquisiciones 2012 </t>
        </r>
      </text>
    </comment>
    <comment ref="C46" authorId="1">
      <text>
        <r>
          <rPr>
            <b/>
            <sz val="9"/>
            <color indexed="81"/>
            <rFont val="Tahoma"/>
            <family val="2"/>
          </rPr>
          <t>roamrodma26@hotmail.com:</t>
        </r>
        <r>
          <rPr>
            <sz val="9"/>
            <color indexed="81"/>
            <rFont val="Tahoma"/>
            <family val="2"/>
          </rPr>
          <t xml:space="preserve">
100 libras de café para 87 eventos mas consumo de CDMYPE para clientes y personal
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Requisiciones para el edificio C, asignando el 25% del 33 % del edificio (1er nivel)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$50 por caja $800 por semestre tintas 50 folders por persona y otros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El costo de 4 horas $120.00 por 24 talleres emprendedurismo y 40 jornadas de talleres empresariales
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4 Jornadas estimadas
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$50 por aproximadamente 16 
analisis requeridos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3 ferias a $750.00 cada una con alumnos y visitantes</t>
        </r>
      </text>
    </comment>
    <comment ref="C59" authorId="1">
      <text>
        <r>
          <rPr>
            <b/>
            <sz val="9"/>
            <color indexed="81"/>
            <rFont val="Tahoma"/>
            <family val="2"/>
          </rPr>
          <t>roamrodma26@hotmail.com:</t>
        </r>
        <r>
          <rPr>
            <sz val="9"/>
            <color indexed="81"/>
            <rFont val="Tahoma"/>
            <family val="2"/>
          </rPr>
          <t xml:space="preserve">
Paquete por servicio valorado en $129.40 X 64 servicios, mas 20 actividades de visitas de delegaciones y otros.
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$1.00 la hora 24 maquinas 4 horas y 32 jornadas (una jornada semanal por 8 meses)</t>
        </r>
      </text>
    </comment>
    <comment ref="C62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10 salidas estimadas por $30.00 por 12 mesese
</t>
        </r>
      </text>
    </comment>
    <comment ref="C65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10 salidas por 3 viaticos y 12 meses
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un evento por mes, 10 capacitacioens y visitas u otros 2013</t>
        </r>
      </text>
    </comment>
  </commentList>
</comments>
</file>

<file path=xl/sharedStrings.xml><?xml version="1.0" encoding="utf-8"?>
<sst xmlns="http://schemas.openxmlformats.org/spreadsheetml/2006/main" count="114" uniqueCount="104">
  <si>
    <t xml:space="preserve">PRESUPUESTO </t>
  </si>
  <si>
    <t>FONDOS CONAMYPE</t>
  </si>
  <si>
    <t>CONTRAPARTIDA UNICAES</t>
  </si>
  <si>
    <t xml:space="preserve">TOTAL </t>
  </si>
  <si>
    <t>A.  NOMINA DEL PERSONAL</t>
  </si>
  <si>
    <t>B.  COSTOS OPERATIVOS FIJOS</t>
  </si>
  <si>
    <t>C.  COSTOS VARIABLES DE INVERSIÓN</t>
  </si>
  <si>
    <t>Decano</t>
  </si>
  <si>
    <t>Director</t>
  </si>
  <si>
    <t>Auxiliar contable</t>
  </si>
  <si>
    <t>Recepcionista</t>
  </si>
  <si>
    <t>Motorista</t>
  </si>
  <si>
    <t>Ordenanza</t>
  </si>
  <si>
    <t>Coordinador de Servicio en Eventos</t>
  </si>
  <si>
    <t xml:space="preserve">Personal de Servicio en Eventos </t>
  </si>
  <si>
    <t>Subtotal nómina de personal</t>
  </si>
  <si>
    <t>MONTO EGRESO UNICAES</t>
  </si>
  <si>
    <t>RELACIÓN %</t>
  </si>
  <si>
    <t>Apoderado Especial Administrativo</t>
  </si>
  <si>
    <t>Asistente del Decano</t>
  </si>
  <si>
    <t>Contador General</t>
  </si>
  <si>
    <t xml:space="preserve">Depreciacion de equipo de oficina </t>
  </si>
  <si>
    <t xml:space="preserve">Energía Electrica </t>
  </si>
  <si>
    <t>Agua potable</t>
  </si>
  <si>
    <t>Telefonía fija</t>
  </si>
  <si>
    <t>Internet</t>
  </si>
  <si>
    <t>Subtotal costos operativos fijos</t>
  </si>
  <si>
    <t>Compra de combustible</t>
  </si>
  <si>
    <t>Servicios de auditoría externa</t>
  </si>
  <si>
    <t>Viáticos para salidas de personal CDMYPE</t>
  </si>
  <si>
    <t>Servicios de seguridad y vigilancia (Outsoursing)</t>
  </si>
  <si>
    <t>TOTALES</t>
  </si>
  <si>
    <t>Sub Director</t>
  </si>
  <si>
    <t>Servicios de Asistencia Tecnica</t>
  </si>
  <si>
    <t>Servicios de capacitación</t>
  </si>
  <si>
    <t>Subtotal contratación de consultores</t>
  </si>
  <si>
    <t>Aporte a la Institución por cumplimiento de meta</t>
  </si>
  <si>
    <t>TOTAL PRESUPUESTO GENERAL</t>
  </si>
  <si>
    <t>D. CONTRATACION DE CONSULTORES</t>
  </si>
  <si>
    <t>Subtotal costos variables de inversión</t>
  </si>
  <si>
    <t>UNIVERSIDAD CATÓLICA DE EL SALVADOR - CENTRO REGIONAL DE ILOBASCO</t>
  </si>
  <si>
    <t>CENTRO DE DESARROLLO DE MICRO Y PEQUEÑAS EMPRESAS - CDMYPE</t>
  </si>
  <si>
    <t>CONTRAPARTIDA MUNICIPIOS / ONG'S</t>
  </si>
  <si>
    <t>Pagadora</t>
  </si>
  <si>
    <t>Asistente administrativo (Horas sociales)</t>
  </si>
  <si>
    <t>Mantenimiento de vehiculos</t>
  </si>
  <si>
    <t>Depreciacion de vehiculos</t>
  </si>
  <si>
    <t>Mantenimiento de aire acondicionado</t>
  </si>
  <si>
    <t>Depreciación de equipo de computo</t>
  </si>
  <si>
    <t>Material de aseo</t>
  </si>
  <si>
    <t>Depreciación de aire acondicionado (oficina y sala de reuniones)</t>
  </si>
  <si>
    <t>Asesor Empresarial</t>
  </si>
  <si>
    <t>Asesor TIC</t>
  </si>
  <si>
    <t xml:space="preserve">Mantenimiento de Instalaciones </t>
  </si>
  <si>
    <t>Mantenimiento de Mobiliario y equipo de computo y oficina</t>
  </si>
  <si>
    <t>Materiales de oficina (papel bond, folders, tinta,  lapices, lapiceros, grapas, tlaonarios,fastenners,  organizadores, carpetas, marcadores, archivadores, etc)</t>
  </si>
  <si>
    <t>Uso de locales  para capacitaciones</t>
  </si>
  <si>
    <t>Uso de locales para Talleres, Asesorias grupales, Atención de visitas</t>
  </si>
  <si>
    <t>Uso  de equipo multimedia (cañones, pantallas,etc)</t>
  </si>
  <si>
    <t>Uso  de laboratorios de Lacteos, Carnicos, Microbilogía y Quimica</t>
  </si>
  <si>
    <t xml:space="preserve">Analisis Fisicos, Microbiologicos y Quimicos </t>
  </si>
  <si>
    <t>Uso de Planta de Producción de Lacteos y Carnicos con la maquinaria y equipo incluido</t>
  </si>
  <si>
    <t>Uso de Auditorium para eventos, ferias, foros, etc.</t>
  </si>
  <si>
    <t>Uso de  equipo de sonido</t>
  </si>
  <si>
    <t>Uso de Centros de computo para cursos de informatica</t>
  </si>
  <si>
    <t>Uso de oficinas para el CDMYPE</t>
  </si>
  <si>
    <t>Uso  de salas de reuniones</t>
  </si>
  <si>
    <t>Uso de parqueo Universitario</t>
  </si>
  <si>
    <t>Asesora de Empresarialidad Femenina</t>
  </si>
  <si>
    <t>Asesor Financiero</t>
  </si>
  <si>
    <t>Elaboración propuetas de crédito</t>
  </si>
  <si>
    <t>Asistencia técnica para empresarialidad femenina</t>
  </si>
  <si>
    <t>Servicios de capacitación para educación financiera</t>
  </si>
  <si>
    <t>Servicios de capacitación para empoderamiento economico</t>
  </si>
  <si>
    <t xml:space="preserve"> </t>
  </si>
  <si>
    <t>PRESUPUESTO ENERO - DICIEMBRE 2014</t>
  </si>
  <si>
    <t>Agua embotellada, café, azucar, gastos en atencion al personal y visitas en el CDMYPE</t>
  </si>
  <si>
    <t>Uso de mobiliario para eventos (Mesas, sillas, manteleria, vajillas, otros relacionados)</t>
  </si>
  <si>
    <t>Uso de local para eventos de capacitaciones coordinados con otras instituciones para apoyo  a las MYPES</t>
  </si>
  <si>
    <t xml:space="preserve">   Administrativo para la Asistencia Técnica y Capacitaciones</t>
  </si>
  <si>
    <t>ACTIVIDAD</t>
  </si>
  <si>
    <t>FECHA</t>
  </si>
  <si>
    <t>TIEMPO</t>
  </si>
  <si>
    <t>ESPACIO ASIGNADO</t>
  </si>
  <si>
    <t>VALOR UNITARIO</t>
  </si>
  <si>
    <t>COSTO TOTAL</t>
  </si>
  <si>
    <t>CENTRO DE DESARROLLO DE LA MICRO Y PEQUEÑA EMPRESA</t>
  </si>
  <si>
    <t>Carmencita</t>
  </si>
  <si>
    <t>Walter</t>
  </si>
  <si>
    <t>Raul</t>
  </si>
  <si>
    <t>Enrique</t>
  </si>
  <si>
    <t>Ingrid</t>
  </si>
  <si>
    <t>Yessenia</t>
  </si>
  <si>
    <t>Rene</t>
  </si>
  <si>
    <t>Aminta, Natalia</t>
  </si>
  <si>
    <t>N°</t>
  </si>
  <si>
    <t>PARTIDA: Uso de Locales para Capacitaciones.</t>
  </si>
  <si>
    <t xml:space="preserve">INFORME DE CONTRAPARTIDA DE COSTO VARIABLES DE INVERSIÓNLES PARA CAPACITACIÓN </t>
  </si>
  <si>
    <t>F._______________________________</t>
  </si>
  <si>
    <t>F:_______________________________</t>
  </si>
  <si>
    <t xml:space="preserve">      Msc. Enrique Salomón Reyes</t>
  </si>
  <si>
    <t xml:space="preserve">             Director CDMYPE</t>
  </si>
  <si>
    <t>Msc. Juan Alfonso Trigueros</t>
  </si>
  <si>
    <t xml:space="preserve">         Decano UNICAES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</si>
</sst>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;[Red]\-&quot;$&quot;#,##0"/>
    <numFmt numFmtId="165" formatCode="0.0%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indexed="9"/>
      <name val="Arial"/>
      <family val="2"/>
    </font>
    <font>
      <b/>
      <sz val="10"/>
      <color indexed="9"/>
      <name val="Arial"/>
      <family val="2"/>
    </font>
    <font>
      <b/>
      <sz val="14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1" fontId="0" fillId="0" borderId="0" xfId="0" applyNumberFormat="1"/>
    <xf numFmtId="41" fontId="6" fillId="0" borderId="2" xfId="0" applyNumberFormat="1" applyFont="1" applyBorder="1"/>
    <xf numFmtId="41" fontId="6" fillId="0" borderId="10" xfId="0" applyNumberFormat="1" applyFont="1" applyBorder="1"/>
    <xf numFmtId="41" fontId="6" fillId="0" borderId="9" xfId="0" applyNumberFormat="1" applyFont="1" applyBorder="1"/>
    <xf numFmtId="41" fontId="6" fillId="0" borderId="8" xfId="0" applyNumberFormat="1" applyFont="1" applyBorder="1"/>
    <xf numFmtId="41" fontId="6" fillId="2" borderId="1" xfId="0" applyNumberFormat="1" applyFont="1" applyFill="1" applyBorder="1"/>
    <xf numFmtId="41" fontId="6" fillId="0" borderId="2" xfId="0" applyNumberFormat="1" applyFont="1" applyFill="1" applyBorder="1"/>
    <xf numFmtId="41" fontId="6" fillId="2" borderId="11" xfId="0" applyNumberFormat="1" applyFont="1" applyFill="1" applyBorder="1"/>
    <xf numFmtId="0" fontId="1" fillId="0" borderId="3" xfId="0" applyFont="1" applyBorder="1"/>
    <xf numFmtId="41" fontId="6" fillId="0" borderId="10" xfId="0" applyNumberFormat="1" applyFont="1" applyBorder="1" applyAlignment="1">
      <alignment horizontal="center"/>
    </xf>
    <xf numFmtId="41" fontId="6" fillId="0" borderId="2" xfId="0" applyNumberFormat="1" applyFont="1" applyBorder="1" applyAlignment="1">
      <alignment horizontal="right"/>
    </xf>
    <xf numFmtId="44" fontId="6" fillId="0" borderId="2" xfId="0" applyNumberFormat="1" applyFont="1" applyBorder="1"/>
    <xf numFmtId="44" fontId="6" fillId="0" borderId="3" xfId="0" applyNumberFormat="1" applyFont="1" applyBorder="1"/>
    <xf numFmtId="44" fontId="6" fillId="0" borderId="9" xfId="0" applyNumberFormat="1" applyFont="1" applyBorder="1"/>
    <xf numFmtId="44" fontId="6" fillId="0" borderId="8" xfId="0" applyNumberFormat="1" applyFont="1" applyBorder="1"/>
    <xf numFmtId="165" fontId="6" fillId="0" borderId="9" xfId="0" applyNumberFormat="1" applyFont="1" applyBorder="1"/>
    <xf numFmtId="165" fontId="6" fillId="2" borderId="1" xfId="0" applyNumberFormat="1" applyFont="1" applyFill="1" applyBorder="1"/>
    <xf numFmtId="165" fontId="6" fillId="0" borderId="2" xfId="0" applyNumberFormat="1" applyFont="1" applyBorder="1"/>
    <xf numFmtId="165" fontId="6" fillId="0" borderId="8" xfId="0" applyNumberFormat="1" applyFont="1" applyBorder="1"/>
    <xf numFmtId="165" fontId="6" fillId="2" borderId="11" xfId="0" applyNumberFormat="1" applyFont="1" applyFill="1" applyBorder="1"/>
    <xf numFmtId="44" fontId="6" fillId="0" borderId="1" xfId="0" applyNumberFormat="1" applyFont="1" applyBorder="1"/>
    <xf numFmtId="165" fontId="6" fillId="0" borderId="13" xfId="0" applyNumberFormat="1" applyFont="1" applyBorder="1"/>
    <xf numFmtId="44" fontId="4" fillId="2" borderId="8" xfId="0" applyNumberFormat="1" applyFont="1" applyFill="1" applyBorder="1"/>
    <xf numFmtId="0" fontId="4" fillId="2" borderId="8" xfId="0" applyFont="1" applyFill="1" applyBorder="1"/>
    <xf numFmtId="0" fontId="2" fillId="0" borderId="0" xfId="0" applyFont="1"/>
    <xf numFmtId="44" fontId="0" fillId="0" borderId="0" xfId="0" applyNumberFormat="1"/>
    <xf numFmtId="44" fontId="6" fillId="0" borderId="0" xfId="0" applyNumberFormat="1" applyFont="1" applyBorder="1"/>
    <xf numFmtId="165" fontId="6" fillId="0" borderId="0" xfId="0" applyNumberFormat="1" applyFont="1" applyBorder="1"/>
    <xf numFmtId="44" fontId="4" fillId="2" borderId="9" xfId="0" applyNumberFormat="1" applyFont="1" applyFill="1" applyBorder="1"/>
    <xf numFmtId="0" fontId="1" fillId="0" borderId="0" xfId="0" applyFont="1"/>
    <xf numFmtId="44" fontId="6" fillId="0" borderId="0" xfId="0" applyNumberFormat="1" applyFont="1"/>
    <xf numFmtId="44" fontId="6" fillId="0" borderId="10" xfId="0" applyNumberFormat="1" applyFont="1" applyBorder="1"/>
    <xf numFmtId="44" fontId="6" fillId="0" borderId="13" xfId="0" applyNumberFormat="1" applyFont="1" applyBorder="1"/>
    <xf numFmtId="41" fontId="6" fillId="0" borderId="10" xfId="0" applyNumberFormat="1" applyFont="1" applyBorder="1" applyAlignment="1">
      <alignment horizontal="right"/>
    </xf>
    <xf numFmtId="44" fontId="6" fillId="0" borderId="1" xfId="0" applyNumberFormat="1" applyFont="1" applyFill="1" applyBorder="1"/>
    <xf numFmtId="44" fontId="6" fillId="0" borderId="2" xfId="0" applyNumberFormat="1" applyFont="1" applyFill="1" applyBorder="1"/>
    <xf numFmtId="44" fontId="4" fillId="2" borderId="11" xfId="0" applyNumberFormat="1" applyFont="1" applyFill="1" applyBorder="1"/>
    <xf numFmtId="0" fontId="4" fillId="2" borderId="11" xfId="0" applyFont="1" applyFill="1" applyBorder="1"/>
    <xf numFmtId="44" fontId="6" fillId="4" borderId="3" xfId="0" applyNumberFormat="1" applyFont="1" applyFill="1" applyBorder="1"/>
    <xf numFmtId="44" fontId="6" fillId="4" borderId="2" xfId="0" applyNumberFormat="1" applyFont="1" applyFill="1" applyBorder="1"/>
    <xf numFmtId="0" fontId="4" fillId="2" borderId="4" xfId="0" applyFont="1" applyFill="1" applyBorder="1"/>
    <xf numFmtId="0" fontId="6" fillId="2" borderId="4" xfId="0" applyFont="1" applyFill="1" applyBorder="1"/>
    <xf numFmtId="0" fontId="6" fillId="2" borderId="0" xfId="0" applyFont="1" applyFill="1" applyBorder="1"/>
    <xf numFmtId="0" fontId="6" fillId="2" borderId="12" xfId="0" applyFont="1" applyFill="1" applyBorder="1"/>
    <xf numFmtId="0" fontId="6" fillId="2" borderId="3" xfId="0" applyFont="1" applyFill="1" applyBorder="1"/>
    <xf numFmtId="0" fontId="6" fillId="0" borderId="1" xfId="0" applyFont="1" applyBorder="1" applyAlignment="1">
      <alignment horizontal="left" indent="1"/>
    </xf>
    <xf numFmtId="44" fontId="6" fillId="0" borderId="14" xfId="0" applyNumberFormat="1" applyFont="1" applyFill="1" applyBorder="1"/>
    <xf numFmtId="44" fontId="6" fillId="0" borderId="11" xfId="0" applyNumberFormat="1" applyFont="1" applyFill="1" applyBorder="1"/>
    <xf numFmtId="0" fontId="6" fillId="0" borderId="2" xfId="0" applyFont="1" applyBorder="1" applyAlignment="1">
      <alignment horizontal="left" indent="1"/>
    </xf>
    <xf numFmtId="0" fontId="6" fillId="0" borderId="2" xfId="0" applyFont="1" applyBorder="1"/>
    <xf numFmtId="0" fontId="4" fillId="0" borderId="3" xfId="0" applyFont="1" applyBorder="1" applyAlignment="1">
      <alignment horizontal="left" indent="1"/>
    </xf>
    <xf numFmtId="0" fontId="4" fillId="2" borderId="5" xfId="0" applyFont="1" applyFill="1" applyBorder="1"/>
    <xf numFmtId="0" fontId="6" fillId="0" borderId="6" xfId="0" applyFont="1" applyBorder="1" applyAlignment="1">
      <alignment horizontal="left" indent="1"/>
    </xf>
    <xf numFmtId="0" fontId="6" fillId="0" borderId="6" xfId="0" applyFont="1" applyBorder="1" applyAlignment="1">
      <alignment horizontal="left" wrapText="1" indent="1"/>
    </xf>
    <xf numFmtId="0" fontId="6" fillId="0" borderId="6" xfId="0" applyFont="1" applyBorder="1" applyAlignment="1">
      <alignment horizontal="left" vertical="center" wrapText="1" indent="1"/>
    </xf>
    <xf numFmtId="0" fontId="4" fillId="0" borderId="9" xfId="0" applyFont="1" applyBorder="1" applyAlignment="1">
      <alignment horizontal="left" indent="1"/>
    </xf>
    <xf numFmtId="0" fontId="4" fillId="2" borderId="1" xfId="0" applyFont="1" applyFill="1" applyBorder="1"/>
    <xf numFmtId="0" fontId="4" fillId="0" borderId="4" xfId="0" applyFont="1" applyBorder="1" applyAlignment="1">
      <alignment horizontal="left" indent="1"/>
    </xf>
    <xf numFmtId="0" fontId="6" fillId="0" borderId="2" xfId="0" applyFont="1" applyFill="1" applyBorder="1" applyAlignment="1">
      <alignment horizontal="left" indent="1"/>
    </xf>
    <xf numFmtId="164" fontId="6" fillId="0" borderId="2" xfId="0" applyNumberFormat="1" applyFont="1" applyBorder="1"/>
    <xf numFmtId="0" fontId="6" fillId="0" borderId="9" xfId="0" applyFont="1" applyBorder="1"/>
    <xf numFmtId="0" fontId="6" fillId="0" borderId="4" xfId="0" applyFont="1" applyBorder="1" applyAlignment="1"/>
    <xf numFmtId="0" fontId="4" fillId="2" borderId="7" xfId="0" applyFont="1" applyFill="1" applyBorder="1"/>
    <xf numFmtId="0" fontId="6" fillId="0" borderId="2" xfId="0" applyFont="1" applyFill="1" applyBorder="1" applyAlignment="1">
      <alignment horizontal="left" wrapText="1" indent="1"/>
    </xf>
    <xf numFmtId="0" fontId="6" fillId="0" borderId="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/>
    <xf numFmtId="0" fontId="6" fillId="0" borderId="0" xfId="0" applyFont="1" applyAlignment="1"/>
    <xf numFmtId="0" fontId="6" fillId="0" borderId="0" xfId="0" applyFont="1" applyAlignment="1">
      <alignment vertical="center"/>
    </xf>
    <xf numFmtId="0" fontId="6" fillId="0" borderId="15" xfId="0" applyFont="1" applyBorder="1" applyAlignment="1">
      <alignment horizontal="center" vertical="center"/>
    </xf>
    <xf numFmtId="15" fontId="6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8" fontId="6" fillId="0" borderId="15" xfId="0" applyNumberFormat="1" applyFont="1" applyBorder="1" applyAlignment="1">
      <alignment horizontal="center" vertical="center"/>
    </xf>
    <xf numFmtId="0" fontId="6" fillId="0" borderId="0" xfId="0" applyFont="1" applyBorder="1" applyAlignment="1"/>
    <xf numFmtId="0" fontId="6" fillId="0" borderId="0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15" xfId="0" applyFont="1" applyBorder="1"/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1" fillId="0" borderId="0" xfId="0" applyFont="1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15" xfId="0" applyFont="1" applyBorder="1" applyAlignment="1">
      <alignment horizontal="left" wrapText="1"/>
    </xf>
    <xf numFmtId="0" fontId="9" fillId="3" borderId="5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476250</xdr:colOff>
      <xdr:row>25</xdr:row>
      <xdr:rowOff>171449</xdr:rowOff>
    </xdr:from>
    <xdr:to>
      <xdr:col>6</xdr:col>
      <xdr:colOff>57150</xdr:colOff>
      <xdr:row>31</xdr:row>
      <xdr:rowOff>38100</xdr:rowOff>
    </xdr:to>
    <xdr:pic>
      <xdr:nvPicPr>
        <xdr:cNvPr id="2" name="Imagen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2275" y="8877299"/>
          <a:ext cx="1009650" cy="8953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28575</xdr:colOff>
      <xdr:row>26</xdr:row>
      <xdr:rowOff>76200</xdr:rowOff>
    </xdr:from>
    <xdr:to>
      <xdr:col>1</xdr:col>
      <xdr:colOff>1885950</xdr:colOff>
      <xdr:row>29</xdr:row>
      <xdr:rowOff>142875</xdr:rowOff>
    </xdr:to>
    <xdr:pic>
      <xdr:nvPicPr>
        <xdr:cNvPr id="3" name="Imagen 3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1" r="-870" b="38566"/>
        <a:stretch/>
      </xdr:blipFill>
      <xdr:spPr>
        <a:xfrm>
          <a:off x="400050" y="6543675"/>
          <a:ext cx="1857375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7"/>
  <sheetViews>
    <sheetView topLeftCell="A49" zoomScale="110" zoomScaleNormal="110" workbookViewId="0">
      <selection activeCell="I57" sqref="I57"/>
    </sheetView>
  </sheetViews>
  <sheetFormatPr baseColWidth="10" defaultColWidth="11.44140625" defaultRowHeight="13.2" x14ac:dyDescent="0.25"/>
  <cols>
    <col min="1" max="1" width="66.6640625" customWidth="1"/>
    <col min="2" max="2" width="20.109375" hidden="1" customWidth="1"/>
    <col min="3" max="3" width="18.88671875" hidden="1" customWidth="1"/>
    <col min="4" max="4" width="11.6640625" hidden="1" customWidth="1"/>
    <col min="5" max="5" width="20" hidden="1" customWidth="1"/>
    <col min="6" max="6" width="15.6640625" hidden="1" customWidth="1"/>
    <col min="7" max="7" width="22.88671875" hidden="1" customWidth="1"/>
    <col min="8" max="8" width="13.44140625" bestFit="1" customWidth="1"/>
    <col min="9" max="9" width="12.109375" bestFit="1" customWidth="1"/>
  </cols>
  <sheetData>
    <row r="1" spans="1:9" ht="23.25" customHeight="1" x14ac:dyDescent="0.25">
      <c r="A1" s="91" t="s">
        <v>41</v>
      </c>
      <c r="B1" s="92"/>
      <c r="C1" s="92"/>
      <c r="D1" s="92"/>
      <c r="E1" s="92"/>
      <c r="F1" s="92"/>
      <c r="G1" s="93"/>
    </row>
    <row r="2" spans="1:9" ht="23.25" customHeight="1" x14ac:dyDescent="0.25">
      <c r="A2" s="94" t="s">
        <v>40</v>
      </c>
      <c r="B2" s="95"/>
      <c r="C2" s="95"/>
      <c r="D2" s="95"/>
      <c r="E2" s="95"/>
      <c r="F2" s="95"/>
      <c r="G2" s="96"/>
    </row>
    <row r="3" spans="1:9" ht="20.25" customHeight="1" thickBot="1" x14ac:dyDescent="0.3">
      <c r="A3" s="94" t="s">
        <v>75</v>
      </c>
      <c r="B3" s="95"/>
      <c r="C3" s="95"/>
      <c r="D3" s="95"/>
      <c r="E3" s="95"/>
      <c r="F3" s="95"/>
      <c r="G3" s="96"/>
    </row>
    <row r="4" spans="1:9" ht="12.75" customHeight="1" x14ac:dyDescent="0.25">
      <c r="A4" s="1"/>
      <c r="B4" s="97" t="s">
        <v>1</v>
      </c>
      <c r="C4" s="100" t="s">
        <v>16</v>
      </c>
      <c r="D4" s="100" t="s">
        <v>17</v>
      </c>
      <c r="E4" s="100" t="s">
        <v>2</v>
      </c>
      <c r="F4" s="103" t="s">
        <v>42</v>
      </c>
      <c r="G4" s="97" t="s">
        <v>3</v>
      </c>
    </row>
    <row r="5" spans="1:9" ht="21" x14ac:dyDescent="0.4">
      <c r="A5" s="2" t="s">
        <v>0</v>
      </c>
      <c r="B5" s="98"/>
      <c r="C5" s="101"/>
      <c r="D5" s="101"/>
      <c r="E5" s="101"/>
      <c r="F5" s="104"/>
      <c r="G5" s="98"/>
    </row>
    <row r="6" spans="1:9" ht="13.8" thickBot="1" x14ac:dyDescent="0.3">
      <c r="A6" s="11"/>
      <c r="B6" s="99"/>
      <c r="C6" s="102"/>
      <c r="D6" s="102"/>
      <c r="E6" s="102"/>
      <c r="F6" s="105"/>
      <c r="G6" s="99"/>
    </row>
    <row r="7" spans="1:9" ht="16.2" thickBot="1" x14ac:dyDescent="0.35">
      <c r="A7" s="43" t="s">
        <v>4</v>
      </c>
      <c r="B7" s="44"/>
      <c r="C7" s="45"/>
      <c r="D7" s="46"/>
      <c r="E7" s="45"/>
      <c r="F7" s="46"/>
      <c r="G7" s="47"/>
      <c r="I7" s="32"/>
    </row>
    <row r="8" spans="1:9" ht="15" x14ac:dyDescent="0.25">
      <c r="A8" s="48" t="s">
        <v>18</v>
      </c>
      <c r="B8" s="49"/>
      <c r="C8" s="23">
        <f>+(1905.12*12+1397.09+666.79)+(51.43+6.86)*12+(23528.23*0.0675)</f>
        <v>27212.955524999998</v>
      </c>
      <c r="D8" s="30">
        <v>0.05</v>
      </c>
      <c r="E8" s="37">
        <f t="shared" ref="E8:E28" si="0">+C8*D8</f>
        <v>1360.6477762499999</v>
      </c>
      <c r="F8" s="50"/>
      <c r="G8" s="23">
        <f t="shared" ref="G8:G28" si="1">+B8+E8+F8</f>
        <v>1360.6477762499999</v>
      </c>
      <c r="H8" s="28"/>
    </row>
    <row r="9" spans="1:9" ht="15" x14ac:dyDescent="0.25">
      <c r="A9" s="51" t="s">
        <v>7</v>
      </c>
      <c r="B9" s="29"/>
      <c r="C9" s="14">
        <f>+(2200*12+770+1613.33)+(51.43+6.86)*12+(27170*0.0675)</f>
        <v>31316.785</v>
      </c>
      <c r="D9" s="30">
        <v>0.05</v>
      </c>
      <c r="E9" s="38">
        <f t="shared" si="0"/>
        <v>1565.83925</v>
      </c>
      <c r="F9" s="34"/>
      <c r="G9" s="14">
        <f t="shared" si="1"/>
        <v>1565.83925</v>
      </c>
      <c r="H9" s="28"/>
    </row>
    <row r="10" spans="1:9" ht="15" x14ac:dyDescent="0.25">
      <c r="A10" s="51" t="s">
        <v>19</v>
      </c>
      <c r="B10" s="29"/>
      <c r="C10" s="14">
        <f>+(689*12+241.15+436.37)+(51.43+6.86)*12+(8509.15*0.0675)</f>
        <v>10219.367625000001</v>
      </c>
      <c r="D10" s="30">
        <v>0.05</v>
      </c>
      <c r="E10" s="38">
        <f t="shared" si="0"/>
        <v>510.96838125000005</v>
      </c>
      <c r="F10" s="34"/>
      <c r="G10" s="14">
        <f t="shared" si="1"/>
        <v>510.96838125000005</v>
      </c>
      <c r="H10" s="28"/>
    </row>
    <row r="11" spans="1:9" ht="15" x14ac:dyDescent="0.25">
      <c r="A11" s="51" t="s">
        <v>8</v>
      </c>
      <c r="B11" s="29"/>
      <c r="C11" s="14">
        <f>+(1350*12+472.5+855)+(51.43+6.86)*12+(16672.5*0.0675)</f>
        <v>19352.373749999999</v>
      </c>
      <c r="D11" s="30">
        <v>0.5</v>
      </c>
      <c r="E11" s="38">
        <f t="shared" si="0"/>
        <v>9676.1868749999994</v>
      </c>
      <c r="F11" s="34"/>
      <c r="G11" s="14">
        <f t="shared" si="1"/>
        <v>9676.1868749999994</v>
      </c>
      <c r="H11" s="28"/>
    </row>
    <row r="12" spans="1:9" ht="15" x14ac:dyDescent="0.25">
      <c r="A12" s="51" t="s">
        <v>32</v>
      </c>
      <c r="B12" s="29"/>
      <c r="C12" s="14">
        <f>+(1350*12+472.5+855)+(51.43+6.86)*12+(16672.5*0.0675)</f>
        <v>19352.373749999999</v>
      </c>
      <c r="D12" s="30">
        <v>0.35</v>
      </c>
      <c r="E12" s="38">
        <f t="shared" si="0"/>
        <v>6773.3308124999994</v>
      </c>
      <c r="F12" s="34"/>
      <c r="G12" s="14">
        <f t="shared" si="1"/>
        <v>6773.3308124999994</v>
      </c>
      <c r="H12" s="28"/>
    </row>
    <row r="13" spans="1:9" ht="15" x14ac:dyDescent="0.25">
      <c r="A13" s="51" t="s">
        <v>51</v>
      </c>
      <c r="B13" s="29">
        <f>1500*12</f>
        <v>18000</v>
      </c>
      <c r="C13" s="14"/>
      <c r="D13" s="30"/>
      <c r="E13" s="38">
        <f t="shared" si="0"/>
        <v>0</v>
      </c>
      <c r="F13" s="34"/>
      <c r="G13" s="14">
        <f t="shared" si="1"/>
        <v>18000</v>
      </c>
      <c r="H13" s="28"/>
    </row>
    <row r="14" spans="1:9" ht="15" x14ac:dyDescent="0.25">
      <c r="A14" s="51" t="s">
        <v>51</v>
      </c>
      <c r="B14" s="29">
        <f t="shared" ref="B14:B18" si="2">1500*12</f>
        <v>18000</v>
      </c>
      <c r="C14" s="14"/>
      <c r="D14" s="30"/>
      <c r="E14" s="38">
        <f t="shared" si="0"/>
        <v>0</v>
      </c>
      <c r="F14" s="34"/>
      <c r="G14" s="14">
        <f t="shared" si="1"/>
        <v>18000</v>
      </c>
      <c r="H14" s="28"/>
    </row>
    <row r="15" spans="1:9" ht="15" x14ac:dyDescent="0.25">
      <c r="A15" s="51" t="s">
        <v>51</v>
      </c>
      <c r="B15" s="29">
        <f t="shared" si="2"/>
        <v>18000</v>
      </c>
      <c r="C15" s="14"/>
      <c r="D15" s="30"/>
      <c r="E15" s="38">
        <f t="shared" si="0"/>
        <v>0</v>
      </c>
      <c r="F15" s="34"/>
      <c r="G15" s="14">
        <f t="shared" si="1"/>
        <v>18000</v>
      </c>
      <c r="H15" s="28"/>
    </row>
    <row r="16" spans="1:9" ht="15" x14ac:dyDescent="0.25">
      <c r="A16" s="51" t="s">
        <v>51</v>
      </c>
      <c r="B16" s="29">
        <f t="shared" si="2"/>
        <v>18000</v>
      </c>
      <c r="C16" s="14"/>
      <c r="D16" s="30"/>
      <c r="E16" s="38">
        <f t="shared" si="0"/>
        <v>0</v>
      </c>
      <c r="F16" s="34"/>
      <c r="G16" s="14">
        <f t="shared" si="1"/>
        <v>18000</v>
      </c>
      <c r="H16" s="28"/>
    </row>
    <row r="17" spans="1:9" ht="15" x14ac:dyDescent="0.25">
      <c r="A17" s="51" t="s">
        <v>51</v>
      </c>
      <c r="B17" s="29">
        <f t="shared" si="2"/>
        <v>18000</v>
      </c>
      <c r="C17" s="14"/>
      <c r="D17" s="30"/>
      <c r="E17" s="38">
        <f t="shared" si="0"/>
        <v>0</v>
      </c>
      <c r="F17" s="34"/>
      <c r="G17" s="14">
        <f t="shared" si="1"/>
        <v>18000</v>
      </c>
      <c r="H17" s="28"/>
    </row>
    <row r="18" spans="1:9" ht="15" x14ac:dyDescent="0.25">
      <c r="A18" s="51" t="s">
        <v>52</v>
      </c>
      <c r="B18" s="29">
        <f t="shared" si="2"/>
        <v>18000</v>
      </c>
      <c r="C18" s="14"/>
      <c r="D18" s="30"/>
      <c r="E18" s="38">
        <f t="shared" si="0"/>
        <v>0</v>
      </c>
      <c r="F18" s="34"/>
      <c r="G18" s="14">
        <f t="shared" si="1"/>
        <v>18000</v>
      </c>
      <c r="H18" s="28"/>
    </row>
    <row r="19" spans="1:9" ht="15" x14ac:dyDescent="0.25">
      <c r="A19" s="51" t="s">
        <v>69</v>
      </c>
      <c r="B19" s="29">
        <v>18000</v>
      </c>
      <c r="C19" s="14"/>
      <c r="D19" s="30"/>
      <c r="E19" s="38"/>
      <c r="F19" s="34"/>
      <c r="G19" s="14">
        <f t="shared" si="1"/>
        <v>18000</v>
      </c>
      <c r="H19" s="28"/>
    </row>
    <row r="20" spans="1:9" ht="15" x14ac:dyDescent="0.25">
      <c r="A20" s="51" t="s">
        <v>68</v>
      </c>
      <c r="B20" s="29">
        <v>18000</v>
      </c>
      <c r="C20" s="14"/>
      <c r="D20" s="30"/>
      <c r="E20" s="38"/>
      <c r="F20" s="34"/>
      <c r="G20" s="14">
        <f t="shared" si="1"/>
        <v>18000</v>
      </c>
      <c r="H20" s="28"/>
    </row>
    <row r="21" spans="1:9" ht="15" x14ac:dyDescent="0.25">
      <c r="A21" s="67" t="s">
        <v>79</v>
      </c>
      <c r="B21" s="29">
        <f>800*12</f>
        <v>9600</v>
      </c>
      <c r="C21" s="52"/>
      <c r="D21" s="30"/>
      <c r="E21" s="38">
        <f t="shared" si="0"/>
        <v>0</v>
      </c>
      <c r="F21" s="34"/>
      <c r="G21" s="14">
        <f t="shared" si="1"/>
        <v>9600</v>
      </c>
      <c r="H21" s="28"/>
    </row>
    <row r="22" spans="1:9" ht="15" x14ac:dyDescent="0.25">
      <c r="A22" s="51" t="s">
        <v>44</v>
      </c>
      <c r="B22" s="29"/>
      <c r="C22" s="14">
        <f>275*6</f>
        <v>1650</v>
      </c>
      <c r="D22" s="30">
        <v>1</v>
      </c>
      <c r="E22" s="38">
        <f t="shared" si="0"/>
        <v>1650</v>
      </c>
      <c r="F22" s="34"/>
      <c r="G22" s="14">
        <f t="shared" si="1"/>
        <v>1650</v>
      </c>
      <c r="H22" s="28"/>
    </row>
    <row r="23" spans="1:9" ht="15" x14ac:dyDescent="0.25">
      <c r="A23" s="51" t="s">
        <v>20</v>
      </c>
      <c r="B23" s="29"/>
      <c r="C23" s="14">
        <f>+(795*12+278.25+503.5)+(51.43+6.86)*12+(9818.25*0.0675)</f>
        <v>11683.961874999999</v>
      </c>
      <c r="D23" s="30">
        <v>0.15</v>
      </c>
      <c r="E23" s="38">
        <f t="shared" si="0"/>
        <v>1752.5942812499998</v>
      </c>
      <c r="F23" s="34"/>
      <c r="G23" s="14">
        <f t="shared" si="1"/>
        <v>1752.5942812499998</v>
      </c>
      <c r="H23" s="28"/>
    </row>
    <row r="24" spans="1:9" ht="15" x14ac:dyDescent="0.25">
      <c r="A24" s="51" t="s">
        <v>9</v>
      </c>
      <c r="B24" s="29"/>
      <c r="C24" s="14">
        <f>+(350*12+122.5+163.33)+(350*12+122.5)*0.1525</f>
        <v>5145.0112499999996</v>
      </c>
      <c r="D24" s="30">
        <v>0.1</v>
      </c>
      <c r="E24" s="38">
        <f t="shared" si="0"/>
        <v>514.501125</v>
      </c>
      <c r="F24" s="34"/>
      <c r="G24" s="14">
        <f t="shared" si="1"/>
        <v>514.501125</v>
      </c>
      <c r="H24" s="28"/>
    </row>
    <row r="25" spans="1:9" ht="15" x14ac:dyDescent="0.25">
      <c r="A25" s="51" t="s">
        <v>43</v>
      </c>
      <c r="B25" s="29"/>
      <c r="C25" s="14">
        <f>+(540*12+189+252)+(540*12+189)*0.1525</f>
        <v>7938.0225</v>
      </c>
      <c r="D25" s="30">
        <v>0.05</v>
      </c>
      <c r="E25" s="14">
        <f t="shared" si="0"/>
        <v>396.90112500000004</v>
      </c>
      <c r="F25" s="34"/>
      <c r="G25" s="14">
        <f t="shared" si="1"/>
        <v>396.90112500000004</v>
      </c>
      <c r="H25" s="28"/>
    </row>
    <row r="26" spans="1:9" ht="15" x14ac:dyDescent="0.25">
      <c r="A26" s="51" t="s">
        <v>10</v>
      </c>
      <c r="B26" s="29"/>
      <c r="C26" s="14">
        <f>+(378*12+132.3+239.4)+(378*12+132.3)*0.1525</f>
        <v>5619.6157499999999</v>
      </c>
      <c r="D26" s="30">
        <v>0.05</v>
      </c>
      <c r="E26" s="14">
        <f t="shared" si="0"/>
        <v>280.98078750000002</v>
      </c>
      <c r="F26" s="34"/>
      <c r="G26" s="14">
        <f t="shared" si="1"/>
        <v>280.98078750000002</v>
      </c>
      <c r="H26" s="28"/>
    </row>
    <row r="27" spans="1:9" ht="15" x14ac:dyDescent="0.25">
      <c r="A27" s="51" t="s">
        <v>11</v>
      </c>
      <c r="B27" s="29"/>
      <c r="C27" s="14">
        <f>+(432*12+151.2+273.6)+(432*12+151.2)*0.1525</f>
        <v>6422.4179999999997</v>
      </c>
      <c r="D27" s="30">
        <v>0.1</v>
      </c>
      <c r="E27" s="14">
        <f t="shared" si="0"/>
        <v>642.24180000000001</v>
      </c>
      <c r="F27" s="34"/>
      <c r="G27" s="14">
        <f t="shared" si="1"/>
        <v>642.24180000000001</v>
      </c>
      <c r="H27" s="28"/>
    </row>
    <row r="28" spans="1:9" ht="15.6" thickBot="1" x14ac:dyDescent="0.3">
      <c r="A28" s="51" t="s">
        <v>12</v>
      </c>
      <c r="B28" s="29"/>
      <c r="C28" s="14">
        <f>+(300*12+105+190)+(300*12+105)*0.1525</f>
        <v>4460.0124999999998</v>
      </c>
      <c r="D28" s="30">
        <v>6.8947599999999998E-2</v>
      </c>
      <c r="E28" s="14">
        <f t="shared" si="0"/>
        <v>307.50715784499999</v>
      </c>
      <c r="F28" s="34"/>
      <c r="G28" s="14">
        <f t="shared" si="1"/>
        <v>307.50715784499999</v>
      </c>
      <c r="H28" s="28"/>
    </row>
    <row r="29" spans="1:9" ht="16.2" thickBot="1" x14ac:dyDescent="0.35">
      <c r="A29" s="53" t="s">
        <v>15</v>
      </c>
      <c r="B29" s="17">
        <f>SUM(B8:B28)</f>
        <v>153600</v>
      </c>
      <c r="C29" s="16">
        <f>SUM(C8:C28)</f>
        <v>150372.89752500001</v>
      </c>
      <c r="D29" s="18"/>
      <c r="E29" s="16">
        <f>SUM(E8:E28)</f>
        <v>25431.699371594998</v>
      </c>
      <c r="F29" s="16"/>
      <c r="G29" s="16">
        <f>SUM(G8:G28)</f>
        <v>179031.69937159499</v>
      </c>
      <c r="H29" s="3"/>
      <c r="I29" s="28"/>
    </row>
    <row r="30" spans="1:9" ht="15.6" x14ac:dyDescent="0.3">
      <c r="A30" s="54" t="s">
        <v>5</v>
      </c>
      <c r="B30" s="8"/>
      <c r="C30" s="8"/>
      <c r="D30" s="19"/>
      <c r="E30" s="8"/>
      <c r="F30" s="8"/>
      <c r="G30" s="10"/>
    </row>
    <row r="31" spans="1:9" ht="15" x14ac:dyDescent="0.25">
      <c r="A31" s="55" t="s">
        <v>65</v>
      </c>
      <c r="B31" s="9"/>
      <c r="C31" s="14">
        <f>2000*12</f>
        <v>24000</v>
      </c>
      <c r="D31" s="20">
        <v>1</v>
      </c>
      <c r="E31" s="14">
        <f t="shared" ref="E31:E48" si="3">+C31*D31</f>
        <v>24000</v>
      </c>
      <c r="F31" s="9"/>
      <c r="G31" s="14">
        <f t="shared" ref="G31:G48" si="4">+B31+E31+F31</f>
        <v>24000</v>
      </c>
    </row>
    <row r="32" spans="1:9" ht="15" x14ac:dyDescent="0.25">
      <c r="A32" s="55" t="s">
        <v>66</v>
      </c>
      <c r="B32" s="9"/>
      <c r="C32" s="14">
        <f>1000*12</f>
        <v>12000</v>
      </c>
      <c r="D32" s="20">
        <v>1</v>
      </c>
      <c r="E32" s="14">
        <f t="shared" si="3"/>
        <v>12000</v>
      </c>
      <c r="F32" s="9"/>
      <c r="G32" s="14">
        <f t="shared" si="4"/>
        <v>12000</v>
      </c>
    </row>
    <row r="33" spans="1:7" ht="15" x14ac:dyDescent="0.25">
      <c r="A33" s="55" t="s">
        <v>67</v>
      </c>
      <c r="B33" s="9"/>
      <c r="C33" s="14">
        <f>20*12*9</f>
        <v>2160</v>
      </c>
      <c r="D33" s="20">
        <v>1</v>
      </c>
      <c r="E33" s="14">
        <f t="shared" si="3"/>
        <v>2160</v>
      </c>
      <c r="F33" s="9"/>
      <c r="G33" s="14">
        <f t="shared" si="4"/>
        <v>2160</v>
      </c>
    </row>
    <row r="34" spans="1:7" ht="15" x14ac:dyDescent="0.25">
      <c r="A34" s="55" t="s">
        <v>53</v>
      </c>
      <c r="B34" s="9"/>
      <c r="C34" s="14">
        <v>500</v>
      </c>
      <c r="D34" s="20">
        <v>1</v>
      </c>
      <c r="E34" s="14">
        <f t="shared" si="3"/>
        <v>500</v>
      </c>
      <c r="F34" s="9"/>
      <c r="G34" s="14">
        <f t="shared" si="4"/>
        <v>500</v>
      </c>
    </row>
    <row r="35" spans="1:7" ht="15" x14ac:dyDescent="0.25">
      <c r="A35" s="55" t="s">
        <v>45</v>
      </c>
      <c r="B35" s="9"/>
      <c r="C35" s="42">
        <f>1500*4</f>
        <v>6000</v>
      </c>
      <c r="D35" s="20">
        <v>0.7</v>
      </c>
      <c r="E35" s="38">
        <f t="shared" si="3"/>
        <v>4200</v>
      </c>
      <c r="F35" s="9"/>
      <c r="G35" s="14">
        <f t="shared" si="4"/>
        <v>4200</v>
      </c>
    </row>
    <row r="36" spans="1:7" ht="15" x14ac:dyDescent="0.25">
      <c r="A36" s="55" t="s">
        <v>46</v>
      </c>
      <c r="B36" s="9"/>
      <c r="C36" s="42">
        <f>4328.22*2+353.98*2+4355.73*2</f>
        <v>18075.86</v>
      </c>
      <c r="D36" s="20">
        <v>0.7</v>
      </c>
      <c r="E36" s="38">
        <f t="shared" si="3"/>
        <v>12653.101999999999</v>
      </c>
      <c r="F36" s="9"/>
      <c r="G36" s="14">
        <f t="shared" si="4"/>
        <v>12653.101999999999</v>
      </c>
    </row>
    <row r="37" spans="1:7" ht="15" x14ac:dyDescent="0.25">
      <c r="A37" s="55" t="s">
        <v>47</v>
      </c>
      <c r="B37" s="9"/>
      <c r="C37" s="42">
        <f>1875.8*6</f>
        <v>11254.8</v>
      </c>
      <c r="D37" s="20">
        <v>0.75</v>
      </c>
      <c r="E37" s="38">
        <f t="shared" si="3"/>
        <v>8441.0999999999985</v>
      </c>
      <c r="F37" s="9"/>
      <c r="G37" s="14">
        <f t="shared" si="4"/>
        <v>8441.0999999999985</v>
      </c>
    </row>
    <row r="38" spans="1:7" ht="30.75" customHeight="1" x14ac:dyDescent="0.25">
      <c r="A38" s="56" t="s">
        <v>50</v>
      </c>
      <c r="B38" s="9"/>
      <c r="C38" s="42">
        <f>320+156</f>
        <v>476</v>
      </c>
      <c r="D38" s="20">
        <v>0.75</v>
      </c>
      <c r="E38" s="38">
        <f t="shared" si="3"/>
        <v>357</v>
      </c>
      <c r="F38" s="9"/>
      <c r="G38" s="14">
        <f t="shared" si="4"/>
        <v>357</v>
      </c>
    </row>
    <row r="39" spans="1:7" ht="15" x14ac:dyDescent="0.25">
      <c r="A39" s="56" t="s">
        <v>54</v>
      </c>
      <c r="B39" s="9"/>
      <c r="C39" s="42">
        <f>25*8*12</f>
        <v>2400</v>
      </c>
      <c r="D39" s="20">
        <v>1</v>
      </c>
      <c r="E39" s="38">
        <f t="shared" si="3"/>
        <v>2400</v>
      </c>
      <c r="F39" s="9"/>
      <c r="G39" s="14">
        <f t="shared" si="4"/>
        <v>2400</v>
      </c>
    </row>
    <row r="40" spans="1:7" ht="15" x14ac:dyDescent="0.25">
      <c r="A40" s="55" t="s">
        <v>48</v>
      </c>
      <c r="B40" s="9"/>
      <c r="C40" s="42">
        <f>(130+220+277.19+240.71+240.71+240.71)+(66.67*10)+(259.23*10)+(1.9*10)+(1.9*10)+(21.85*3)</f>
        <v>4711.8700000000008</v>
      </c>
      <c r="D40" s="20">
        <v>1</v>
      </c>
      <c r="E40" s="38">
        <f t="shared" si="3"/>
        <v>4711.8700000000008</v>
      </c>
      <c r="F40" s="9"/>
      <c r="G40" s="14">
        <f t="shared" si="4"/>
        <v>4711.8700000000008</v>
      </c>
    </row>
    <row r="41" spans="1:7" ht="15" x14ac:dyDescent="0.25">
      <c r="A41" s="55" t="s">
        <v>21</v>
      </c>
      <c r="B41" s="9"/>
      <c r="C41" s="42">
        <f>(17.52*5)+(11.5*4)+35.4+419.88+40.71+20.91+19.8+(38*2)+40+(36*3)+395.5+88.48+105.13+100.88</f>
        <v>1584.29</v>
      </c>
      <c r="D41" s="20">
        <v>1</v>
      </c>
      <c r="E41" s="38">
        <f t="shared" si="3"/>
        <v>1584.29</v>
      </c>
      <c r="F41" s="9"/>
      <c r="G41" s="14">
        <f t="shared" si="4"/>
        <v>1584.29</v>
      </c>
    </row>
    <row r="42" spans="1:7" ht="15" x14ac:dyDescent="0.25">
      <c r="A42" s="55" t="s">
        <v>22</v>
      </c>
      <c r="B42" s="9"/>
      <c r="C42" s="42">
        <f>1000*12</f>
        <v>12000</v>
      </c>
      <c r="D42" s="20">
        <v>0.3</v>
      </c>
      <c r="E42" s="38">
        <f t="shared" si="3"/>
        <v>3600</v>
      </c>
      <c r="F42" s="9"/>
      <c r="G42" s="14">
        <f t="shared" si="4"/>
        <v>3600</v>
      </c>
    </row>
    <row r="43" spans="1:7" ht="15" x14ac:dyDescent="0.25">
      <c r="A43" s="55" t="s">
        <v>23</v>
      </c>
      <c r="B43" s="9"/>
      <c r="C43" s="42">
        <f>33.9*12</f>
        <v>406.79999999999995</v>
      </c>
      <c r="D43" s="20">
        <v>0.35</v>
      </c>
      <c r="E43" s="14">
        <f t="shared" si="3"/>
        <v>142.37999999999997</v>
      </c>
      <c r="F43" s="9"/>
      <c r="G43" s="14">
        <f t="shared" si="4"/>
        <v>142.37999999999997</v>
      </c>
    </row>
    <row r="44" spans="1:7" ht="15" x14ac:dyDescent="0.25">
      <c r="A44" s="55" t="s">
        <v>24</v>
      </c>
      <c r="B44" s="9"/>
      <c r="C44" s="42">
        <f>500*12</f>
        <v>6000</v>
      </c>
      <c r="D44" s="20">
        <v>0.35</v>
      </c>
      <c r="E44" s="14">
        <f t="shared" si="3"/>
        <v>2100</v>
      </c>
      <c r="F44" s="9"/>
      <c r="G44" s="14">
        <f t="shared" si="4"/>
        <v>2100</v>
      </c>
    </row>
    <row r="45" spans="1:7" ht="15" x14ac:dyDescent="0.25">
      <c r="A45" s="55" t="s">
        <v>25</v>
      </c>
      <c r="B45" s="9"/>
      <c r="C45" s="42">
        <f>2743.47*12</f>
        <v>32921.64</v>
      </c>
      <c r="D45" s="20">
        <v>0.35</v>
      </c>
      <c r="E45" s="14">
        <f t="shared" si="3"/>
        <v>11522.573999999999</v>
      </c>
      <c r="F45" s="9"/>
      <c r="G45" s="14">
        <f t="shared" si="4"/>
        <v>11522.573999999999</v>
      </c>
    </row>
    <row r="46" spans="1:7" ht="30" x14ac:dyDescent="0.25">
      <c r="A46" s="56" t="s">
        <v>76</v>
      </c>
      <c r="B46" s="9"/>
      <c r="C46" s="42">
        <f>(1.6*350)*10+500</f>
        <v>6100</v>
      </c>
      <c r="D46" s="20">
        <v>0.4</v>
      </c>
      <c r="E46" s="14">
        <f t="shared" si="3"/>
        <v>2440</v>
      </c>
      <c r="F46" s="9"/>
      <c r="G46" s="14">
        <f t="shared" si="4"/>
        <v>2440</v>
      </c>
    </row>
    <row r="47" spans="1:7" ht="15" x14ac:dyDescent="0.25">
      <c r="A47" s="55" t="s">
        <v>49</v>
      </c>
      <c r="B47" s="9"/>
      <c r="C47" s="42">
        <f>250*12</f>
        <v>3000</v>
      </c>
      <c r="D47" s="20">
        <v>0.1</v>
      </c>
      <c r="E47" s="14">
        <f t="shared" si="3"/>
        <v>300</v>
      </c>
      <c r="F47" s="9"/>
      <c r="G47" s="14">
        <f t="shared" si="4"/>
        <v>300</v>
      </c>
    </row>
    <row r="48" spans="1:7" ht="50.25" customHeight="1" thickBot="1" x14ac:dyDescent="0.3">
      <c r="A48" s="57" t="s">
        <v>55</v>
      </c>
      <c r="B48" s="9"/>
      <c r="C48" s="42">
        <f>(50*21)+1600+80+300</f>
        <v>3030</v>
      </c>
      <c r="D48" s="20">
        <v>1</v>
      </c>
      <c r="E48" s="14">
        <f t="shared" si="3"/>
        <v>3030</v>
      </c>
      <c r="F48" s="9"/>
      <c r="G48" s="14">
        <f t="shared" si="4"/>
        <v>3030</v>
      </c>
    </row>
    <row r="49" spans="1:9" ht="16.2" thickBot="1" x14ac:dyDescent="0.35">
      <c r="A49" s="58" t="s">
        <v>26</v>
      </c>
      <c r="B49" s="6">
        <f>SUM(B31:B48)</f>
        <v>0</v>
      </c>
      <c r="C49" s="16">
        <f>+SUM(C31:C48)</f>
        <v>146621.26</v>
      </c>
      <c r="D49" s="21"/>
      <c r="E49" s="16">
        <f>+SUM(E31:E48)</f>
        <v>96142.315999999977</v>
      </c>
      <c r="F49" s="7"/>
      <c r="G49" s="17">
        <f>+SUM(G31:G48)</f>
        <v>96142.315999999977</v>
      </c>
      <c r="H49" s="3"/>
    </row>
    <row r="50" spans="1:9" ht="15.6" x14ac:dyDescent="0.3">
      <c r="A50" s="59" t="s">
        <v>6</v>
      </c>
      <c r="B50" s="8"/>
      <c r="C50" s="10"/>
      <c r="D50" s="22"/>
      <c r="E50" s="10"/>
      <c r="F50" s="10"/>
      <c r="G50" s="10"/>
      <c r="I50" s="28"/>
    </row>
    <row r="51" spans="1:9" ht="15" x14ac:dyDescent="0.25">
      <c r="A51" s="55" t="s">
        <v>56</v>
      </c>
      <c r="B51" s="4"/>
      <c r="C51" s="14">
        <f>240*25</f>
        <v>6000</v>
      </c>
      <c r="D51" s="20">
        <v>1</v>
      </c>
      <c r="E51" s="14">
        <f t="shared" ref="E51:E65" si="5">+C51*D51</f>
        <v>6000</v>
      </c>
      <c r="F51" s="12"/>
      <c r="G51" s="14">
        <f t="shared" ref="G51:G65" si="6">+B51+E51+F51</f>
        <v>6000</v>
      </c>
      <c r="H51" t="s">
        <v>87</v>
      </c>
      <c r="I51" t="s">
        <v>74</v>
      </c>
    </row>
    <row r="52" spans="1:9" ht="15" x14ac:dyDescent="0.25">
      <c r="A52" s="55" t="s">
        <v>58</v>
      </c>
      <c r="B52" s="4"/>
      <c r="C52" s="38">
        <f>240*70</f>
        <v>16800</v>
      </c>
      <c r="D52" s="20">
        <v>1</v>
      </c>
      <c r="E52" s="14">
        <f t="shared" si="5"/>
        <v>16800</v>
      </c>
      <c r="F52" s="5"/>
      <c r="G52" s="14">
        <f t="shared" si="6"/>
        <v>16800</v>
      </c>
      <c r="H52" t="s">
        <v>88</v>
      </c>
    </row>
    <row r="53" spans="1:9" ht="30" x14ac:dyDescent="0.25">
      <c r="A53" s="56" t="s">
        <v>78</v>
      </c>
      <c r="B53" s="4"/>
      <c r="C53" s="38">
        <f>240*6</f>
        <v>1440</v>
      </c>
      <c r="D53" s="20">
        <v>1</v>
      </c>
      <c r="E53" s="14">
        <f t="shared" si="5"/>
        <v>1440</v>
      </c>
      <c r="F53" s="5"/>
      <c r="G53" s="14">
        <f t="shared" si="6"/>
        <v>1440</v>
      </c>
      <c r="H53" t="s">
        <v>89</v>
      </c>
    </row>
    <row r="54" spans="1:9" ht="28.5" customHeight="1" x14ac:dyDescent="0.25">
      <c r="A54" s="56" t="s">
        <v>57</v>
      </c>
      <c r="B54" s="4"/>
      <c r="C54" s="38">
        <f>(120*90)</f>
        <v>10800</v>
      </c>
      <c r="D54" s="20">
        <v>1</v>
      </c>
      <c r="E54" s="14">
        <f t="shared" si="5"/>
        <v>10800</v>
      </c>
      <c r="F54" s="5"/>
      <c r="G54" s="14">
        <f t="shared" si="6"/>
        <v>10800</v>
      </c>
      <c r="H54" t="s">
        <v>94</v>
      </c>
    </row>
    <row r="55" spans="1:9" ht="28.5" customHeight="1" x14ac:dyDescent="0.25">
      <c r="A55" s="56" t="s">
        <v>59</v>
      </c>
      <c r="B55" s="4"/>
      <c r="C55" s="38">
        <f>240*12</f>
        <v>2880</v>
      </c>
      <c r="D55" s="20">
        <v>1</v>
      </c>
      <c r="E55" s="14">
        <f t="shared" ref="E55:E61" si="7">+C55*D55</f>
        <v>2880</v>
      </c>
      <c r="F55" s="5"/>
      <c r="G55" s="14">
        <f t="shared" ref="G55:G61" si="8">+B55+E55+F55</f>
        <v>2880</v>
      </c>
      <c r="H55" t="s">
        <v>90</v>
      </c>
    </row>
    <row r="56" spans="1:9" ht="19.5" customHeight="1" x14ac:dyDescent="0.25">
      <c r="A56" s="56" t="s">
        <v>60</v>
      </c>
      <c r="B56" s="4"/>
      <c r="C56" s="38">
        <f>50*20</f>
        <v>1000</v>
      </c>
      <c r="D56" s="20">
        <v>1</v>
      </c>
      <c r="E56" s="14">
        <f t="shared" si="7"/>
        <v>1000</v>
      </c>
      <c r="F56" s="5"/>
      <c r="G56" s="14">
        <f t="shared" si="8"/>
        <v>1000</v>
      </c>
      <c r="H56" t="s">
        <v>90</v>
      </c>
    </row>
    <row r="57" spans="1:9" ht="31.5" customHeight="1" x14ac:dyDescent="0.25">
      <c r="A57" s="56" t="s">
        <v>61</v>
      </c>
      <c r="B57" s="4"/>
      <c r="C57" s="38">
        <f>250*10</f>
        <v>2500</v>
      </c>
      <c r="D57" s="20">
        <v>1</v>
      </c>
      <c r="E57" s="14">
        <f t="shared" si="7"/>
        <v>2500</v>
      </c>
      <c r="F57" s="5"/>
      <c r="G57" s="14">
        <f t="shared" si="8"/>
        <v>2500</v>
      </c>
      <c r="H57" t="s">
        <v>90</v>
      </c>
    </row>
    <row r="58" spans="1:9" ht="15" x14ac:dyDescent="0.25">
      <c r="A58" s="55" t="s">
        <v>62</v>
      </c>
      <c r="B58" s="4"/>
      <c r="C58" s="38">
        <f>800*6</f>
        <v>4800</v>
      </c>
      <c r="D58" s="20">
        <v>1</v>
      </c>
      <c r="E58" s="14">
        <f t="shared" si="7"/>
        <v>4800</v>
      </c>
      <c r="F58" s="5"/>
      <c r="G58" s="14">
        <f t="shared" si="8"/>
        <v>4800</v>
      </c>
      <c r="H58" t="s">
        <v>91</v>
      </c>
    </row>
    <row r="59" spans="1:9" ht="30" x14ac:dyDescent="0.25">
      <c r="A59" s="56" t="s">
        <v>77</v>
      </c>
      <c r="B59" s="4"/>
      <c r="C59" s="38">
        <f>131.51*90</f>
        <v>11835.9</v>
      </c>
      <c r="D59" s="20">
        <v>1</v>
      </c>
      <c r="E59" s="14">
        <f t="shared" si="7"/>
        <v>11835.9</v>
      </c>
      <c r="F59" s="5"/>
      <c r="G59" s="14">
        <f t="shared" si="8"/>
        <v>11835.9</v>
      </c>
      <c r="H59" t="s">
        <v>92</v>
      </c>
    </row>
    <row r="60" spans="1:9" ht="15" x14ac:dyDescent="0.25">
      <c r="A60" s="55" t="s">
        <v>63</v>
      </c>
      <c r="B60" s="4"/>
      <c r="C60" s="14">
        <f>150*10</f>
        <v>1500</v>
      </c>
      <c r="D60" s="20">
        <v>1</v>
      </c>
      <c r="E60" s="14">
        <f t="shared" si="7"/>
        <v>1500</v>
      </c>
      <c r="F60" s="13"/>
      <c r="G60" s="14">
        <f t="shared" si="8"/>
        <v>1500</v>
      </c>
      <c r="H60" t="s">
        <v>92</v>
      </c>
    </row>
    <row r="61" spans="1:9" ht="15" x14ac:dyDescent="0.25">
      <c r="A61" s="55" t="s">
        <v>64</v>
      </c>
      <c r="B61" s="4"/>
      <c r="C61" s="14">
        <f>1*24*4*32</f>
        <v>3072</v>
      </c>
      <c r="D61" s="20">
        <v>1</v>
      </c>
      <c r="E61" s="14">
        <f t="shared" si="7"/>
        <v>3072</v>
      </c>
      <c r="F61" s="36"/>
      <c r="G61" s="14">
        <f t="shared" si="8"/>
        <v>3072</v>
      </c>
      <c r="H61" t="s">
        <v>93</v>
      </c>
    </row>
    <row r="62" spans="1:9" ht="15" x14ac:dyDescent="0.25">
      <c r="A62" s="55" t="s">
        <v>27</v>
      </c>
      <c r="B62" s="4"/>
      <c r="C62" s="14">
        <f>16*30*12</f>
        <v>5760</v>
      </c>
      <c r="D62" s="20">
        <v>1</v>
      </c>
      <c r="E62" s="38">
        <f t="shared" si="5"/>
        <v>5760</v>
      </c>
      <c r="F62" s="5"/>
      <c r="G62" s="14">
        <f t="shared" si="6"/>
        <v>5760</v>
      </c>
    </row>
    <row r="63" spans="1:9" ht="15" x14ac:dyDescent="0.25">
      <c r="A63" s="55" t="s">
        <v>28</v>
      </c>
      <c r="B63" s="4"/>
      <c r="C63" s="14">
        <f>350*12</f>
        <v>4200</v>
      </c>
      <c r="D63" s="20">
        <v>0.4</v>
      </c>
      <c r="E63" s="38">
        <f t="shared" si="5"/>
        <v>1680</v>
      </c>
      <c r="F63" s="13"/>
      <c r="G63" s="14">
        <f t="shared" si="6"/>
        <v>1680</v>
      </c>
    </row>
    <row r="64" spans="1:9" ht="15" x14ac:dyDescent="0.25">
      <c r="A64" s="55" t="s">
        <v>30</v>
      </c>
      <c r="B64" s="4"/>
      <c r="C64" s="14">
        <f>4083.2234*12</f>
        <v>48998.680800000002</v>
      </c>
      <c r="D64" s="20">
        <v>0.35</v>
      </c>
      <c r="E64" s="38">
        <f t="shared" si="5"/>
        <v>17149.538280000001</v>
      </c>
      <c r="F64" s="13"/>
      <c r="G64" s="14">
        <f t="shared" si="6"/>
        <v>17149.538280000001</v>
      </c>
    </row>
    <row r="65" spans="1:8" ht="15" x14ac:dyDescent="0.25">
      <c r="A65" s="55" t="s">
        <v>29</v>
      </c>
      <c r="B65" s="4"/>
      <c r="C65" s="14">
        <f>16*45.68*12</f>
        <v>8770.56</v>
      </c>
      <c r="D65" s="20">
        <v>1</v>
      </c>
      <c r="E65" s="38">
        <f t="shared" si="5"/>
        <v>8770.56</v>
      </c>
      <c r="F65" s="13"/>
      <c r="G65" s="14">
        <f t="shared" si="6"/>
        <v>8770.56</v>
      </c>
    </row>
    <row r="66" spans="1:8" ht="15" x14ac:dyDescent="0.25">
      <c r="A66" s="51" t="s">
        <v>13</v>
      </c>
      <c r="B66" s="29"/>
      <c r="C66" s="14">
        <f>+(1000*12+350+466.67)+(51.43+6.86)*12+(12350*0.0675)</f>
        <v>14349.775</v>
      </c>
      <c r="D66" s="30">
        <v>0.08</v>
      </c>
      <c r="E66" s="14">
        <f>+C66*D66</f>
        <v>1147.982</v>
      </c>
      <c r="F66" s="34"/>
      <c r="G66" s="14">
        <f>+B66+E66+F66</f>
        <v>1147.982</v>
      </c>
      <c r="H66" s="28" t="s">
        <v>92</v>
      </c>
    </row>
    <row r="67" spans="1:8" ht="15.6" thickBot="1" x14ac:dyDescent="0.3">
      <c r="A67" s="51" t="s">
        <v>14</v>
      </c>
      <c r="B67" s="29"/>
      <c r="C67" s="41">
        <f>15*15*84</f>
        <v>18900</v>
      </c>
      <c r="D67" s="30">
        <v>1</v>
      </c>
      <c r="E67" s="15">
        <f>+C67*D67</f>
        <v>18900</v>
      </c>
      <c r="F67" s="35"/>
      <c r="G67" s="15">
        <f>+B67+E67+F67</f>
        <v>18900</v>
      </c>
      <c r="H67" s="28" t="s">
        <v>92</v>
      </c>
    </row>
    <row r="68" spans="1:8" ht="16.2" thickBot="1" x14ac:dyDescent="0.35">
      <c r="A68" s="60" t="s">
        <v>39</v>
      </c>
      <c r="B68" s="6">
        <f>SUM(B51:B67)</f>
        <v>0</v>
      </c>
      <c r="C68" s="16">
        <f>+SUM(C51:C67)</f>
        <v>163606.91579999999</v>
      </c>
      <c r="D68" s="21"/>
      <c r="E68" s="16">
        <f>+SUM(E51:E67)</f>
        <v>116035.98028</v>
      </c>
      <c r="F68" s="7">
        <f>SUM(F51:F62)</f>
        <v>0</v>
      </c>
      <c r="G68" s="16">
        <f>SUM(G51:G67)</f>
        <v>116035.98028</v>
      </c>
      <c r="H68" s="3"/>
    </row>
    <row r="69" spans="1:8" ht="15.6" x14ac:dyDescent="0.3">
      <c r="A69" s="59" t="s">
        <v>38</v>
      </c>
      <c r="B69" s="14"/>
      <c r="C69" s="52"/>
      <c r="D69" s="52"/>
      <c r="E69" s="52"/>
      <c r="F69" s="52"/>
      <c r="G69" s="52"/>
    </row>
    <row r="70" spans="1:8" ht="15" x14ac:dyDescent="0.25">
      <c r="A70" s="61" t="s">
        <v>33</v>
      </c>
      <c r="B70" s="38">
        <v>42400</v>
      </c>
      <c r="C70" s="52"/>
      <c r="D70" s="52"/>
      <c r="E70" s="52"/>
      <c r="F70" s="52"/>
      <c r="G70" s="62"/>
    </row>
    <row r="71" spans="1:8" ht="15" x14ac:dyDescent="0.25">
      <c r="A71" s="61" t="s">
        <v>34</v>
      </c>
      <c r="B71" s="38">
        <v>3870</v>
      </c>
      <c r="C71" s="52"/>
      <c r="D71" s="52"/>
      <c r="E71" s="52"/>
      <c r="F71" s="52"/>
      <c r="G71" s="52"/>
    </row>
    <row r="72" spans="1:8" ht="15" x14ac:dyDescent="0.25">
      <c r="A72" s="61" t="s">
        <v>70</v>
      </c>
      <c r="B72" s="38">
        <v>8000</v>
      </c>
      <c r="C72" s="52"/>
      <c r="D72" s="52"/>
      <c r="E72" s="52"/>
      <c r="F72" s="52"/>
      <c r="G72" s="52"/>
    </row>
    <row r="73" spans="1:8" ht="15" x14ac:dyDescent="0.25">
      <c r="A73" s="61" t="s">
        <v>71</v>
      </c>
      <c r="B73" s="38">
        <v>12000</v>
      </c>
      <c r="C73" s="52"/>
      <c r="D73" s="52"/>
      <c r="E73" s="52"/>
      <c r="F73" s="52"/>
      <c r="G73" s="52"/>
    </row>
    <row r="74" spans="1:8" ht="15" x14ac:dyDescent="0.25">
      <c r="A74" s="61" t="s">
        <v>72</v>
      </c>
      <c r="B74" s="38">
        <v>3440</v>
      </c>
      <c r="C74" s="52"/>
      <c r="D74" s="52" t="s">
        <v>74</v>
      </c>
      <c r="E74" s="52"/>
      <c r="F74" s="52"/>
      <c r="G74" s="52"/>
    </row>
    <row r="75" spans="1:8" ht="15.6" thickBot="1" x14ac:dyDescent="0.3">
      <c r="A75" s="66" t="s">
        <v>73</v>
      </c>
      <c r="B75" s="38">
        <v>3440</v>
      </c>
      <c r="C75" s="52"/>
      <c r="D75" s="52"/>
      <c r="E75" s="52"/>
      <c r="F75" s="52"/>
      <c r="G75" s="52"/>
    </row>
    <row r="76" spans="1:8" ht="16.2" thickBot="1" x14ac:dyDescent="0.35">
      <c r="A76" s="53" t="s">
        <v>35</v>
      </c>
      <c r="B76" s="16">
        <f>SUM(B70:B75)</f>
        <v>73150</v>
      </c>
      <c r="C76" s="63"/>
      <c r="D76" s="63"/>
      <c r="E76" s="63"/>
      <c r="F76" s="63"/>
      <c r="G76" s="63"/>
    </row>
    <row r="77" spans="1:8" s="27" customFormat="1" ht="18" customHeight="1" x14ac:dyDescent="0.3">
      <c r="A77" s="54" t="s">
        <v>31</v>
      </c>
      <c r="B77" s="39">
        <f>+B29+B49+B68+B76</f>
        <v>226750</v>
      </c>
      <c r="C77" s="40"/>
      <c r="D77" s="40"/>
      <c r="E77" s="39">
        <f>+E29+E49+E68</f>
        <v>237609.99565159497</v>
      </c>
      <c r="F77" s="40"/>
      <c r="G77" s="40"/>
    </row>
    <row r="78" spans="1:8" ht="15.6" thickBot="1" x14ac:dyDescent="0.3">
      <c r="A78" s="64" t="s">
        <v>36</v>
      </c>
      <c r="B78" s="15">
        <v>10860</v>
      </c>
      <c r="C78" s="15"/>
      <c r="D78" s="24"/>
      <c r="E78" s="24"/>
      <c r="F78" s="15"/>
      <c r="G78" s="15">
        <f>+B78+E78+F78</f>
        <v>10860</v>
      </c>
    </row>
    <row r="79" spans="1:8" s="27" customFormat="1" ht="16.2" thickBot="1" x14ac:dyDescent="0.35">
      <c r="A79" s="65" t="s">
        <v>37</v>
      </c>
      <c r="B79" s="31">
        <f>B77+B78</f>
        <v>237610</v>
      </c>
      <c r="C79" s="26"/>
      <c r="D79" s="26"/>
      <c r="E79" s="25">
        <f>+E77+E21+E78</f>
        <v>237609.99565159497</v>
      </c>
      <c r="F79" s="26"/>
      <c r="G79" s="25">
        <f>+B79+E79</f>
        <v>475219.99565159495</v>
      </c>
    </row>
    <row r="81" spans="2:5" x14ac:dyDescent="0.25">
      <c r="E81" s="28"/>
    </row>
    <row r="82" spans="2:5" x14ac:dyDescent="0.25">
      <c r="C82" s="28"/>
      <c r="E82" s="28"/>
    </row>
    <row r="83" spans="2:5" x14ac:dyDescent="0.25">
      <c r="E83" s="28"/>
    </row>
    <row r="85" spans="2:5" x14ac:dyDescent="0.25">
      <c r="C85" s="28"/>
    </row>
    <row r="86" spans="2:5" x14ac:dyDescent="0.25">
      <c r="B86" s="28"/>
    </row>
    <row r="87" spans="2:5" ht="15" x14ac:dyDescent="0.25">
      <c r="C87" s="33"/>
    </row>
  </sheetData>
  <mergeCells count="9">
    <mergeCell ref="A1:G1"/>
    <mergeCell ref="A2:G2"/>
    <mergeCell ref="A3:G3"/>
    <mergeCell ref="B4:B6"/>
    <mergeCell ref="C4:C6"/>
    <mergeCell ref="D4:D6"/>
    <mergeCell ref="E4:E6"/>
    <mergeCell ref="F4:F6"/>
    <mergeCell ref="G4:G6"/>
  </mergeCells>
  <phoneticPr fontId="0" type="noConversion"/>
  <pageMargins left="0.94488188976377963" right="0.55118110236220474" top="0.39370078740157483" bottom="0.39370078740157483" header="0.51181102362204722" footer="0.51181102362204722"/>
  <pageSetup scale="5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80" zoomScaleNormal="80" workbookViewId="0">
      <selection activeCell="F8" sqref="F8"/>
    </sheetView>
  </sheetViews>
  <sheetFormatPr baseColWidth="10" defaultRowHeight="13.2" x14ac:dyDescent="0.25"/>
  <cols>
    <col min="1" max="1" width="5.44140625" customWidth="1"/>
    <col min="2" max="2" width="33.77734375" customWidth="1"/>
    <col min="3" max="3" width="12.5546875" customWidth="1"/>
    <col min="5" max="5" width="28.5546875" customWidth="1"/>
    <col min="6" max="6" width="20.88671875" customWidth="1"/>
    <col min="7" max="7" width="17.109375" customWidth="1"/>
  </cols>
  <sheetData>
    <row r="1" spans="1:7" x14ac:dyDescent="0.25">
      <c r="B1" s="69"/>
    </row>
    <row r="2" spans="1:7" ht="15.6" x14ac:dyDescent="0.3">
      <c r="B2" s="87"/>
      <c r="C2" s="88" t="s">
        <v>86</v>
      </c>
      <c r="D2" s="88"/>
      <c r="E2" s="88"/>
      <c r="F2" s="88"/>
      <c r="G2" s="74"/>
    </row>
    <row r="3" spans="1:7" ht="15.6" x14ac:dyDescent="0.3">
      <c r="B3" s="87"/>
      <c r="C3" s="88"/>
      <c r="D3" s="88"/>
      <c r="E3" s="88"/>
      <c r="F3" s="88"/>
      <c r="G3" s="74"/>
    </row>
    <row r="4" spans="1:7" ht="15.6" x14ac:dyDescent="0.25">
      <c r="B4" s="106" t="s">
        <v>97</v>
      </c>
      <c r="C4" s="106"/>
      <c r="D4" s="106"/>
      <c r="E4" s="106"/>
      <c r="F4" s="106"/>
      <c r="G4" s="74"/>
    </row>
    <row r="5" spans="1:7" ht="15.6" x14ac:dyDescent="0.3">
      <c r="B5" s="107" t="s">
        <v>96</v>
      </c>
      <c r="C5" s="107"/>
      <c r="D5" s="107"/>
      <c r="E5" s="107"/>
      <c r="F5" s="107"/>
      <c r="G5" s="74"/>
    </row>
    <row r="6" spans="1:7" ht="15" x14ac:dyDescent="0.25">
      <c r="B6" s="73"/>
      <c r="C6" s="74"/>
      <c r="D6" s="74"/>
      <c r="E6" s="74"/>
      <c r="F6" s="74"/>
      <c r="G6" s="74"/>
    </row>
    <row r="7" spans="1:7" ht="26.25" customHeight="1" x14ac:dyDescent="0.3">
      <c r="A7" s="82" t="s">
        <v>95</v>
      </c>
      <c r="B7" s="83" t="s">
        <v>80</v>
      </c>
      <c r="C7" s="84" t="s">
        <v>81</v>
      </c>
      <c r="D7" s="84" t="s">
        <v>82</v>
      </c>
      <c r="E7" s="85" t="s">
        <v>83</v>
      </c>
      <c r="F7" s="84" t="s">
        <v>84</v>
      </c>
      <c r="G7" s="84" t="s">
        <v>85</v>
      </c>
    </row>
    <row r="8" spans="1:7" ht="42.6" customHeight="1" x14ac:dyDescent="0.25">
      <c r="A8" s="68"/>
      <c r="B8" s="90"/>
      <c r="C8" s="76"/>
      <c r="D8" s="75"/>
      <c r="E8" s="77"/>
      <c r="F8" s="78"/>
      <c r="G8" s="78"/>
    </row>
    <row r="9" spans="1:7" ht="51.6" customHeight="1" x14ac:dyDescent="0.25">
      <c r="A9" s="68"/>
      <c r="B9" s="90"/>
      <c r="C9" s="76"/>
      <c r="D9" s="75"/>
      <c r="E9" s="77"/>
      <c r="F9" s="78"/>
      <c r="G9" s="78"/>
    </row>
    <row r="10" spans="1:7" ht="56.4" customHeight="1" x14ac:dyDescent="0.25">
      <c r="A10" s="68"/>
      <c r="B10" s="90"/>
      <c r="C10" s="76"/>
      <c r="D10" s="75"/>
      <c r="E10" s="77"/>
      <c r="F10" s="78"/>
      <c r="G10" s="78"/>
    </row>
    <row r="11" spans="1:7" ht="58.2" customHeight="1" x14ac:dyDescent="0.25">
      <c r="A11" s="68"/>
      <c r="B11" s="90"/>
      <c r="C11" s="76"/>
      <c r="D11" s="75"/>
      <c r="E11" s="77"/>
      <c r="F11" s="78"/>
      <c r="G11" s="78"/>
    </row>
    <row r="12" spans="1:7" ht="36.6" customHeight="1" x14ac:dyDescent="0.25">
      <c r="A12" s="68"/>
      <c r="B12" s="90"/>
      <c r="C12" s="76"/>
      <c r="D12" s="75"/>
      <c r="E12" s="77"/>
      <c r="F12" s="78"/>
      <c r="G12" s="78"/>
    </row>
    <row r="13" spans="1:7" ht="44.4" customHeight="1" x14ac:dyDescent="0.25">
      <c r="A13" s="68"/>
      <c r="B13" s="90"/>
      <c r="C13" s="76"/>
      <c r="D13" s="75"/>
      <c r="E13" s="77"/>
      <c r="F13" s="78"/>
      <c r="G13" s="78"/>
    </row>
    <row r="14" spans="1:7" ht="36" customHeight="1" x14ac:dyDescent="0.25">
      <c r="A14" s="68"/>
      <c r="B14" s="90"/>
      <c r="C14" s="76"/>
      <c r="D14" s="75"/>
      <c r="E14" s="77"/>
      <c r="F14" s="78"/>
      <c r="G14" s="78"/>
    </row>
    <row r="15" spans="1:7" ht="33" customHeight="1" x14ac:dyDescent="0.25">
      <c r="A15" s="68"/>
      <c r="B15" s="90"/>
      <c r="C15" s="76"/>
      <c r="D15" s="75"/>
      <c r="E15" s="77"/>
      <c r="F15" s="78"/>
      <c r="G15" s="78"/>
    </row>
    <row r="16" spans="1:7" ht="42.6" customHeight="1" x14ac:dyDescent="0.25">
      <c r="A16" s="68"/>
      <c r="B16" s="90"/>
      <c r="C16" s="76"/>
      <c r="D16" s="75"/>
      <c r="E16" s="77"/>
      <c r="F16" s="78"/>
      <c r="G16" s="78"/>
    </row>
    <row r="17" spans="1:7" ht="39.6" customHeight="1" x14ac:dyDescent="0.25">
      <c r="A17" s="68"/>
      <c r="B17" s="90"/>
      <c r="C17" s="76"/>
      <c r="D17" s="75"/>
      <c r="E17" s="77"/>
      <c r="F17" s="78"/>
      <c r="G17" s="78"/>
    </row>
    <row r="18" spans="1:7" ht="32.4" customHeight="1" x14ac:dyDescent="0.25">
      <c r="A18" s="72"/>
      <c r="B18" s="79"/>
      <c r="C18" s="80"/>
      <c r="D18" s="80"/>
      <c r="E18" s="80"/>
      <c r="F18" s="81"/>
      <c r="G18" s="78"/>
    </row>
    <row r="19" spans="1:7" x14ac:dyDescent="0.25">
      <c r="B19" s="70"/>
      <c r="C19" s="71"/>
      <c r="D19" s="71"/>
      <c r="E19" s="71"/>
      <c r="F19" s="71"/>
      <c r="G19" s="71"/>
    </row>
    <row r="20" spans="1:7" x14ac:dyDescent="0.25">
      <c r="B20" s="70"/>
      <c r="C20" s="71"/>
      <c r="D20" s="71"/>
      <c r="E20" s="71"/>
      <c r="F20" s="71"/>
      <c r="G20" s="71"/>
    </row>
    <row r="21" spans="1:7" x14ac:dyDescent="0.25">
      <c r="B21" s="70"/>
      <c r="C21" s="71"/>
      <c r="D21" s="71"/>
      <c r="E21" s="71"/>
      <c r="F21" s="71"/>
      <c r="G21" s="71"/>
    </row>
    <row r="22" spans="1:7" x14ac:dyDescent="0.25">
      <c r="B22" s="86"/>
      <c r="C22" s="71"/>
      <c r="D22" s="71"/>
      <c r="E22" s="71"/>
      <c r="F22" s="86"/>
      <c r="G22" s="71"/>
    </row>
    <row r="23" spans="1:7" x14ac:dyDescent="0.25">
      <c r="B23" s="86"/>
      <c r="C23" s="71"/>
      <c r="D23" s="71"/>
      <c r="E23" s="71"/>
      <c r="F23" s="32" t="s">
        <v>99</v>
      </c>
    </row>
    <row r="24" spans="1:7" x14ac:dyDescent="0.25">
      <c r="B24" s="32" t="s">
        <v>98</v>
      </c>
      <c r="F24" s="89" t="s">
        <v>100</v>
      </c>
    </row>
    <row r="25" spans="1:7" x14ac:dyDescent="0.25">
      <c r="B25" s="32" t="s">
        <v>102</v>
      </c>
      <c r="F25" s="32" t="s">
        <v>101</v>
      </c>
    </row>
    <row r="26" spans="1:7" x14ac:dyDescent="0.25">
      <c r="B26" s="32" t="s">
        <v>103</v>
      </c>
      <c r="F26" s="32"/>
    </row>
  </sheetData>
  <mergeCells count="2">
    <mergeCell ref="B4:F4"/>
    <mergeCell ref="B5:F5"/>
  </mergeCells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 CDMYPE</vt:lpstr>
      <vt:lpstr>uso de local para capacitacione</vt:lpstr>
    </vt:vector>
  </TitlesOfParts>
  <Company>Universidad Veracruzana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u</cp:lastModifiedBy>
  <cp:lastPrinted>2014-10-10T23:02:01Z</cp:lastPrinted>
  <dcterms:created xsi:type="dcterms:W3CDTF">2007-09-24T20:08:43Z</dcterms:created>
  <dcterms:modified xsi:type="dcterms:W3CDTF">2015-02-10T17:51:42Z</dcterms:modified>
</cp:coreProperties>
</file>