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slicers/slicer3.xml" ContentType="application/vnd.ms-excel.slicer+xml"/>
  <Override PartName="/xl/timelines/timeline2.xml" ContentType="application/vnd.ms-excel.timelin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ml.chartshapes+xml"/>
  <Override PartName="/xl/charts/chart18.xml" ContentType="application/vnd.openxmlformats-officedocument.drawingml.chart+xml"/>
  <Override PartName="/xl/drawings/drawing8.xml" ContentType="application/vnd.openxmlformats-officedocument.drawing+xml"/>
  <Override PartName="/xl/slicers/slicer4.xml" ContentType="application/vnd.ms-excel.slicer+xml"/>
  <Override PartName="/xl/timelines/timeline3.xml" ContentType="application/vnd.ms-excel.timelin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9.xml" ContentType="application/vnd.openxmlformats-officedocument.drawing+xml"/>
  <Override PartName="/xl/slicers/slicer5.xml" ContentType="application/vnd.ms-excel.slicer+xml"/>
  <Override PartName="/xl/timelines/timeline4.xml" ContentType="application/vnd.ms-excel.timeline+xml"/>
  <Override PartName="/xl/charts/chart22.xml" ContentType="application/vnd.openxmlformats-officedocument.drawingml.chart+xml"/>
  <Override PartName="/xl/charts/style20.xml" ContentType="application/vnd.ms-office.chartstyle+xml"/>
  <Override PartName="/xl/charts/colors20.xml" ContentType="application/vnd.ms-office.chartcolorstyle+xml"/>
  <Override PartName="/xl/charts/chart23.xml" ContentType="application/vnd.openxmlformats-officedocument.drawingml.chart+xml"/>
  <Override PartName="/xl/charts/style21.xml" ContentType="application/vnd.ms-office.chartstyle+xml"/>
  <Override PartName="/xl/charts/colors21.xml" ContentType="application/vnd.ms-office.chartcolorstyle+xml"/>
  <Override PartName="/xl/charts/chart24.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0.xml" ContentType="application/vnd.openxmlformats-officedocument.drawing+xml"/>
  <Override PartName="/xl/slicers/slicer6.xml" ContentType="application/vnd.ms-excel.slicer+xml"/>
  <Override PartName="/xl/timelines/timeline5.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JAIMIN\Data Analysis\Advance Excel\"/>
    </mc:Choice>
  </mc:AlternateContent>
  <xr:revisionPtr revIDLastSave="0" documentId="13_ncr:1_{9D4AAD5D-ED65-4BFB-968D-3F24730E90C6}" xr6:coauthVersionLast="47" xr6:coauthVersionMax="47" xr10:uidLastSave="{00000000-0000-0000-0000-000000000000}"/>
  <bookViews>
    <workbookView xWindow="-108" yWindow="-108" windowWidth="23256" windowHeight="12456" xr2:uid="{00000000-000D-0000-FFFF-FFFF00000000}"/>
  </bookViews>
  <sheets>
    <sheet name="Lecture 1A" sheetId="1" r:id="rId1"/>
    <sheet name="Lecture 2A" sheetId="2" r:id="rId2"/>
    <sheet name="Lecture 2B" sheetId="3" r:id="rId3"/>
    <sheet name="Lecture 2C" sheetId="4" r:id="rId4"/>
    <sheet name="Lecture 2D" sheetId="5" r:id="rId5"/>
    <sheet name="Lecture 2E" sheetId="6" r:id="rId6"/>
    <sheet name="Lecture 3A" sheetId="7" r:id="rId7"/>
    <sheet name="Lecture 3B" sheetId="8" r:id="rId8"/>
    <sheet name="Lecture 3C" sheetId="9" r:id="rId9"/>
    <sheet name="Lecture 3D" sheetId="10" r:id="rId10"/>
    <sheet name="Lecture 4A" sheetId="11" r:id="rId11"/>
    <sheet name="Lecture 4B" sheetId="12" r:id="rId12"/>
    <sheet name="Lecture 5A" sheetId="13" r:id="rId13"/>
    <sheet name="Lecture 5B" sheetId="14" r:id="rId14"/>
    <sheet name="Lecture 6A" sheetId="15" r:id="rId15"/>
    <sheet name="Lecture 6B" sheetId="16" r:id="rId16"/>
    <sheet name="Lecture 6C" sheetId="17" r:id="rId17"/>
    <sheet name="Lecture 7A" sheetId="18" r:id="rId18"/>
    <sheet name="Pivot Homework" sheetId="23" r:id="rId19"/>
    <sheet name="Pivot Table" sheetId="19" r:id="rId20"/>
    <sheet name="Pivot Charts &amp; Tables" sheetId="21" r:id="rId21"/>
    <sheet name="Lecture 7B" sheetId="22" r:id="rId22"/>
    <sheet name="Lecture 8A" sheetId="24" r:id="rId23"/>
    <sheet name="Scenario Summary" sheetId="25" r:id="rId24"/>
    <sheet name="Scenario Summary 3" sheetId="29" r:id="rId25"/>
    <sheet name="Lecture 8B" sheetId="26" r:id="rId26"/>
    <sheet name="Lecture 9A" sheetId="27" r:id="rId27"/>
    <sheet name="Lecture 9B" sheetId="30" r:id="rId28"/>
    <sheet name="Lecture 9C" sheetId="31" r:id="rId29"/>
    <sheet name="Jan" sheetId="32" r:id="rId30"/>
    <sheet name="Feb" sheetId="33" r:id="rId31"/>
    <sheet name="Mar" sheetId="34" r:id="rId32"/>
    <sheet name="Apr" sheetId="35" r:id="rId33"/>
    <sheet name="10AMaster" sheetId="36" r:id="rId34"/>
    <sheet name="Sheet7" sheetId="38" r:id="rId35"/>
    <sheet name="Lecture 10B" sheetId="39" r:id="rId36"/>
    <sheet name="Weeka" sheetId="40" r:id="rId37"/>
    <sheet name="Weekb" sheetId="41" r:id="rId38"/>
    <sheet name="Weekc" sheetId="42" r:id="rId39"/>
    <sheet name="Weekd" sheetId="43" r:id="rId40"/>
    <sheet name="MasterWeek" sheetId="44" r:id="rId41"/>
    <sheet name="Data Validation HW" sheetId="45" r:id="rId42"/>
    <sheet name="Lecture 11A" sheetId="46" r:id="rId43"/>
    <sheet name="Lecture 11B" sheetId="47" r:id="rId44"/>
    <sheet name="Lecture 11C" sheetId="48" r:id="rId45"/>
    <sheet name="Histogram Chart (Data Analysis)" sheetId="49" r:id="rId46"/>
    <sheet name="Maths &amp; Statistical HW" sheetId="50" r:id="rId47"/>
    <sheet name="Lecture 12A" sheetId="51" r:id="rId48"/>
    <sheet name="Lecture 12B" sheetId="52" r:id="rId49"/>
    <sheet name="Lecture 13A" sheetId="53" r:id="rId50"/>
    <sheet name="Pivot" sheetId="54" r:id="rId51"/>
    <sheet name="Dashboard" sheetId="55" r:id="rId52"/>
    <sheet name="Products" sheetId="56" r:id="rId53"/>
    <sheet name="Salesmans" sheetId="57" r:id="rId54"/>
    <sheet name="About" sheetId="58" r:id="rId55"/>
    <sheet name="Lecture 14A" sheetId="59" r:id="rId56"/>
  </sheets>
  <definedNames>
    <definedName name="_xlnm._FilterDatabase" localSheetId="26" hidden="1">'Lecture 9A'!$A$2:$D$20</definedName>
    <definedName name="_xlnm._FilterDatabase" localSheetId="46" hidden="1">'Maths &amp; Statistical HW'!$A$2:$G$26</definedName>
    <definedName name="Bonus">'Lecture 4A'!$H$23:$I$29</definedName>
    <definedName name="Capital">'Lecture 9B'!$B$8:$D$8</definedName>
    <definedName name="_xlnm.Criteria" localSheetId="26">'Lecture 9A'!$B$25:$B$26</definedName>
    <definedName name="_xlnm.Extract" localSheetId="26">'Lecture 9A'!$D$25:$G$25</definedName>
    <definedName name="Label">'Lecture 4A'!$I$15:$J$20</definedName>
    <definedName name="Mydata">'Lecture 4B'!$A$2:$G$15</definedName>
    <definedName name="NativeTimeline_Date">#N/A</definedName>
    <definedName name="OrderSize">'Lecture 9B'!$B$12:$D$12</definedName>
    <definedName name="Profits">'Lecture 9B'!$B$21:$D$21</definedName>
    <definedName name="ResourceAvl">'Lecture 9B'!$I$23:$I$24</definedName>
    <definedName name="ResourcesAvailable">'Lecture 9B'!$I$9:$I$10</definedName>
    <definedName name="ResourcesUsed">'Lecture 9B'!$G$9:$G$10</definedName>
    <definedName name="ResourceUSed">'Lecture 9B'!$G$23:$G$24</definedName>
    <definedName name="Slicer_Amount">#N/A</definedName>
    <definedName name="Slicer_Category">#N/A</definedName>
    <definedName name="Slicer_Country">#N/A</definedName>
    <definedName name="Slicer_Item">#N/A</definedName>
    <definedName name="Slicer_Order_ID">#N/A</definedName>
    <definedName name="Slicer_Product">#N/A</definedName>
    <definedName name="Slicer_Region">#N/A</definedName>
    <definedName name="solver_adj" localSheetId="27" hidden="1">'Lecture 9B'!$B$12:$D$12</definedName>
    <definedName name="solver_cvg" localSheetId="27" hidden="1">0.0001</definedName>
    <definedName name="solver_drv" localSheetId="27" hidden="1">1</definedName>
    <definedName name="solver_eng" localSheetId="44" hidden="1">1</definedName>
    <definedName name="solver_eng" localSheetId="27" hidden="1">2</definedName>
    <definedName name="solver_est" localSheetId="27" hidden="1">1</definedName>
    <definedName name="solver_itr" localSheetId="27" hidden="1">2147483647</definedName>
    <definedName name="solver_lhs1" localSheetId="27" hidden="1">'Lecture 9B'!$G$9:$G$10</definedName>
    <definedName name="solver_lhs2" localSheetId="27" hidden="1">'Lecture 9B'!$G$22:$G$24</definedName>
    <definedName name="solver_mip" localSheetId="27" hidden="1">2147483647</definedName>
    <definedName name="solver_mni" localSheetId="27" hidden="1">30</definedName>
    <definedName name="solver_mrt" localSheetId="27" hidden="1">0.075</definedName>
    <definedName name="solver_msl" localSheetId="27" hidden="1">2</definedName>
    <definedName name="solver_neg" localSheetId="44" hidden="1">1</definedName>
    <definedName name="solver_neg" localSheetId="27" hidden="1">1</definedName>
    <definedName name="solver_nod" localSheetId="27" hidden="1">2147483647</definedName>
    <definedName name="solver_num" localSheetId="44" hidden="1">0</definedName>
    <definedName name="solver_num" localSheetId="27" hidden="1">1</definedName>
    <definedName name="solver_nwt" localSheetId="27" hidden="1">1</definedName>
    <definedName name="solver_opt" localSheetId="44" hidden="1">'Lecture 11C'!$X$30</definedName>
    <definedName name="solver_opt" localSheetId="27" hidden="1">'Lecture 9B'!$I$13</definedName>
    <definedName name="solver_pre" localSheetId="27" hidden="1">0.000001</definedName>
    <definedName name="solver_rbv" localSheetId="27" hidden="1">1</definedName>
    <definedName name="solver_rel1" localSheetId="27" hidden="1">1</definedName>
    <definedName name="solver_rel2" localSheetId="27" hidden="1">1</definedName>
    <definedName name="solver_rhs1" localSheetId="27" hidden="1">ResourcesAvailable</definedName>
    <definedName name="solver_rhs2" localSheetId="27" hidden="1">'Lecture 9B'!$I$22:$I$24</definedName>
    <definedName name="solver_rlx" localSheetId="27" hidden="1">2</definedName>
    <definedName name="solver_rsd" localSheetId="27" hidden="1">0</definedName>
    <definedName name="solver_scl" localSheetId="27" hidden="1">1</definedName>
    <definedName name="solver_sho" localSheetId="27" hidden="1">2</definedName>
    <definedName name="solver_ssz" localSheetId="27" hidden="1">100</definedName>
    <definedName name="solver_tim" localSheetId="27" hidden="1">2147483647</definedName>
    <definedName name="solver_tol" localSheetId="27" hidden="1">0.01</definedName>
    <definedName name="solver_typ" localSheetId="44" hidden="1">1</definedName>
    <definedName name="solver_typ" localSheetId="27" hidden="1">1</definedName>
    <definedName name="solver_val" localSheetId="44" hidden="1">0</definedName>
    <definedName name="solver_val" localSheetId="27" hidden="1">0</definedName>
    <definedName name="solver_ver" localSheetId="44" hidden="1">3</definedName>
    <definedName name="solver_ver" localSheetId="27" hidden="1">3</definedName>
    <definedName name="Storage">'Lecture 9B'!$B$9:$D$9</definedName>
    <definedName name="TotalProfit">'Lecture 9B'!$I$13</definedName>
    <definedName name="TotalProfits">'Lecture 9B'!$I$27</definedName>
    <definedName name="UnitProfit">'Lecture 9B'!$B$6:$D$6</definedName>
  </definedNames>
  <calcPr calcId="191029"/>
  <pivotCaches>
    <pivotCache cacheId="0" r:id="rId57"/>
    <pivotCache cacheId="1" r:id="rId58"/>
    <pivotCache cacheId="2" r:id="rId59"/>
  </pivotCaches>
  <extLst>
    <ext xmlns:x14="http://schemas.microsoft.com/office/spreadsheetml/2009/9/main" uri="{BBE1A952-AA13-448e-AADC-164F8A28A991}">
      <x14:slicerCaches>
        <x14:slicerCache r:id="rId60"/>
        <x14:slicerCache r:id="rId61"/>
        <x14:slicerCache r:id="rId62"/>
        <x14:slicerCache r:id="rId63"/>
        <x14:slicerCache r:id="rId64"/>
        <x14:slicerCache r:id="rId65"/>
        <x14:slicerCache r:id="rId6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52" l="1"/>
  <c r="E5" i="52"/>
  <c r="N18" i="50"/>
  <c r="P17" i="50"/>
  <c r="N16" i="50"/>
  <c r="N14" i="50"/>
  <c r="N13" i="50"/>
  <c r="N12" i="50"/>
  <c r="N11" i="50"/>
  <c r="N10" i="50"/>
  <c r="N7" i="50"/>
  <c r="N4" i="50"/>
  <c r="F6" i="48"/>
  <c r="E6" i="48"/>
  <c r="E17" i="46"/>
  <c r="C22" i="31"/>
  <c r="C21" i="31"/>
  <c r="C20" i="31"/>
  <c r="C19" i="31"/>
  <c r="C18" i="31"/>
  <c r="C17" i="31"/>
  <c r="C16" i="31"/>
  <c r="I13" i="30"/>
  <c r="I19" i="17"/>
  <c r="I13" i="17"/>
  <c r="I8" i="17"/>
  <c r="F15" i="17"/>
  <c r="B23" i="17"/>
  <c r="B15" i="17"/>
  <c r="B14" i="17"/>
  <c r="B8" i="17"/>
  <c r="B7" i="17"/>
  <c r="H17" i="14" a="1"/>
  <c r="H17" i="14" s="1"/>
  <c r="H16" i="14"/>
  <c r="G17" i="14"/>
  <c r="F19" i="14"/>
  <c r="H13" i="14" a="1"/>
  <c r="H13" i="14" s="1"/>
  <c r="H12" i="14"/>
  <c r="H10" i="14" a="1"/>
  <c r="H10" i="14"/>
  <c r="H9" i="14"/>
  <c r="H7" i="14"/>
  <c r="H4" i="14"/>
  <c r="C6" i="13"/>
  <c r="E24" i="11"/>
  <c r="K3" i="11"/>
  <c r="D17" i="11"/>
  <c r="C17" i="11"/>
  <c r="A15" i="10"/>
  <c r="A13" i="10"/>
  <c r="A9" i="10"/>
  <c r="I3" i="9"/>
  <c r="F3" i="4"/>
  <c r="C3" i="4"/>
  <c r="F2" i="3"/>
  <c r="E2" i="3"/>
  <c r="I2" i="1"/>
  <c r="C7" i="26"/>
  <c r="K13" i="12"/>
  <c r="L13" i="12"/>
  <c r="M13" i="12"/>
  <c r="N13" i="12"/>
  <c r="O13" i="12"/>
  <c r="P13" i="12"/>
  <c r="J13" i="12"/>
  <c r="K5" i="12"/>
  <c r="L5" i="12"/>
  <c r="M5" i="12"/>
  <c r="N5" i="12"/>
  <c r="O5" i="12"/>
  <c r="P5" i="12"/>
  <c r="J5" i="12"/>
  <c r="J4" i="12"/>
  <c r="D20" i="2"/>
  <c r="C14" i="1"/>
  <c r="N17" i="50"/>
  <c r="G3" i="47"/>
  <c r="F3" i="47"/>
  <c r="E3" i="47"/>
  <c r="D3" i="47"/>
  <c r="B3" i="36"/>
  <c r="I27" i="30"/>
  <c r="G24" i="30"/>
  <c r="G23" i="30"/>
  <c r="C26" i="24"/>
  <c r="F8" i="17"/>
  <c r="K12" i="12"/>
  <c r="L12" i="12"/>
  <c r="M12" i="12"/>
  <c r="N12" i="12"/>
  <c r="O12" i="12"/>
  <c r="P12" i="12"/>
  <c r="J12" i="12"/>
  <c r="K11" i="12"/>
  <c r="L11" i="12"/>
  <c r="M11" i="12"/>
  <c r="N11" i="12"/>
  <c r="O11" i="12"/>
  <c r="P11" i="12"/>
  <c r="J11" i="12"/>
  <c r="K4" i="12"/>
  <c r="L4" i="12"/>
  <c r="M4" i="12"/>
  <c r="N4" i="12"/>
  <c r="O4" i="12"/>
  <c r="P4" i="12"/>
  <c r="C46" i="54"/>
  <c r="G3" i="4" l="1"/>
  <c r="D5" i="5"/>
  <c r="D6" i="5"/>
  <c r="D7" i="5"/>
  <c r="D8" i="5"/>
  <c r="D9" i="5"/>
  <c r="D10" i="5"/>
  <c r="D11" i="5"/>
  <c r="D12" i="5"/>
  <c r="D13" i="5"/>
  <c r="D14" i="5"/>
  <c r="D4" i="5"/>
  <c r="C4" i="4"/>
  <c r="C5" i="4"/>
  <c r="C6" i="4"/>
  <c r="C7" i="4"/>
  <c r="E3" i="3"/>
  <c r="E4" i="3"/>
  <c r="E5" i="3"/>
  <c r="E6" i="3"/>
  <c r="E7" i="3"/>
  <c r="E8" i="3"/>
  <c r="E9" i="3"/>
  <c r="E10" i="3"/>
  <c r="C10" i="1"/>
  <c r="C16" i="1"/>
  <c r="C15" i="1"/>
  <c r="C13" i="1"/>
  <c r="C12" i="1"/>
  <c r="C11" i="1"/>
  <c r="F7" i="1"/>
  <c r="H2" i="1"/>
  <c r="N15" i="50"/>
  <c r="N6" i="50"/>
  <c r="N5" i="50"/>
  <c r="T28" i="48" l="1"/>
  <c r="O29" i="48"/>
  <c r="I28" i="48"/>
  <c r="C30" i="48"/>
  <c r="E19" i="46"/>
  <c r="E20" i="46"/>
  <c r="E21" i="46"/>
  <c r="E22" i="46"/>
  <c r="E23" i="46"/>
  <c r="E24" i="46"/>
  <c r="E25" i="46"/>
  <c r="E26" i="46"/>
  <c r="G10" i="30"/>
  <c r="G9" i="30"/>
  <c r="C18" i="22"/>
  <c r="C23" i="13"/>
  <c r="K10" i="12"/>
  <c r="L10" i="12"/>
  <c r="M10" i="12"/>
  <c r="N10" i="12"/>
  <c r="O10" i="12"/>
  <c r="P10" i="12"/>
  <c r="J10" i="12"/>
  <c r="J9" i="12"/>
  <c r="L9" i="12"/>
  <c r="M9" i="12"/>
  <c r="N9" i="12"/>
  <c r="O9" i="12"/>
  <c r="P9" i="12"/>
  <c r="K9" i="12"/>
  <c r="K3" i="12"/>
  <c r="J3" i="12"/>
  <c r="E3" i="4"/>
  <c r="D19" i="2"/>
  <c r="G9" i="59"/>
  <c r="F9" i="59"/>
  <c r="E9" i="59"/>
  <c r="D9" i="59"/>
  <c r="G8" i="59"/>
  <c r="F8" i="59"/>
  <c r="E8" i="59"/>
  <c r="D8" i="59"/>
  <c r="G7" i="59"/>
  <c r="F7" i="59"/>
  <c r="E7" i="59"/>
  <c r="D7" i="59"/>
  <c r="G6" i="59"/>
  <c r="F6" i="59"/>
  <c r="E6" i="59"/>
  <c r="D6" i="59"/>
  <c r="G5" i="59"/>
  <c r="F5" i="59"/>
  <c r="E5" i="59"/>
  <c r="D5" i="59"/>
  <c r="G4" i="59"/>
  <c r="F4" i="59"/>
  <c r="E4" i="59"/>
  <c r="D4" i="59"/>
  <c r="G3" i="59"/>
  <c r="F3" i="59"/>
  <c r="E3" i="59"/>
  <c r="D3" i="59"/>
  <c r="G6" i="52"/>
  <c r="G8" i="52"/>
  <c r="G9" i="52"/>
  <c r="F6" i="52"/>
  <c r="F7" i="52"/>
  <c r="F8" i="52"/>
  <c r="F9" i="52"/>
  <c r="F5" i="52"/>
  <c r="G5" i="52" s="1"/>
  <c r="E6" i="52"/>
  <c r="E7" i="52"/>
  <c r="E8" i="52"/>
  <c r="E9" i="52"/>
  <c r="G26" i="51"/>
  <c r="G24" i="51"/>
  <c r="G23" i="51"/>
  <c r="G22" i="51"/>
  <c r="G20" i="51"/>
  <c r="G18" i="51"/>
  <c r="G16" i="51"/>
  <c r="G15" i="51"/>
  <c r="N9" i="50"/>
  <c r="N8" i="50"/>
  <c r="C74" i="54"/>
  <c r="T26" i="48" l="1"/>
  <c r="O27" i="48"/>
  <c r="I26" i="48"/>
  <c r="C28" i="48"/>
  <c r="F7" i="48"/>
  <c r="F8" i="48"/>
  <c r="F9" i="48"/>
  <c r="F10" i="48"/>
  <c r="F11" i="48"/>
  <c r="E7" i="48"/>
  <c r="E8" i="48"/>
  <c r="E9" i="48"/>
  <c r="E10" i="48"/>
  <c r="E11" i="48"/>
  <c r="G4" i="47"/>
  <c r="G5" i="47"/>
  <c r="G6" i="47"/>
  <c r="G7" i="47"/>
  <c r="G8" i="47"/>
  <c r="G9" i="47"/>
  <c r="G10" i="47"/>
  <c r="G11" i="47"/>
  <c r="G12" i="47"/>
  <c r="G13" i="47"/>
  <c r="G14" i="47"/>
  <c r="G15" i="47"/>
  <c r="G16" i="47"/>
  <c r="G17" i="47"/>
  <c r="G18" i="47"/>
  <c r="G19" i="47"/>
  <c r="G20" i="47"/>
  <c r="G21" i="47"/>
  <c r="G22" i="47"/>
  <c r="G23" i="47"/>
  <c r="G24" i="47"/>
  <c r="G25" i="47"/>
  <c r="G26" i="47"/>
  <c r="G27" i="47"/>
  <c r="G28" i="47"/>
  <c r="G29" i="47"/>
  <c r="G30" i="47"/>
  <c r="G31" i="47"/>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E4" i="47"/>
  <c r="E5" i="47"/>
  <c r="E6" i="47"/>
  <c r="E7" i="47"/>
  <c r="E8" i="47"/>
  <c r="E9" i="47"/>
  <c r="E10" i="47"/>
  <c r="E11" i="47"/>
  <c r="E12" i="47"/>
  <c r="E13" i="47"/>
  <c r="E14" i="47"/>
  <c r="E15" i="47"/>
  <c r="E16" i="47"/>
  <c r="E17" i="47"/>
  <c r="E18" i="47"/>
  <c r="E19" i="47"/>
  <c r="E20" i="47"/>
  <c r="E21" i="47"/>
  <c r="E22" i="47"/>
  <c r="E23" i="47"/>
  <c r="E24" i="47"/>
  <c r="E25" i="47"/>
  <c r="E26" i="47"/>
  <c r="E27" i="47"/>
  <c r="E28" i="47"/>
  <c r="E29" i="47"/>
  <c r="E30" i="47"/>
  <c r="E31" i="47"/>
  <c r="D4" i="47"/>
  <c r="D5" i="47"/>
  <c r="D6" i="47"/>
  <c r="D7" i="47"/>
  <c r="D8" i="47"/>
  <c r="D9" i="47"/>
  <c r="D10" i="47"/>
  <c r="D11" i="47"/>
  <c r="D12" i="47"/>
  <c r="D13" i="47"/>
  <c r="D14" i="47"/>
  <c r="D15" i="47"/>
  <c r="D16" i="47"/>
  <c r="D17" i="47"/>
  <c r="D18" i="47"/>
  <c r="D19" i="47"/>
  <c r="D20" i="47"/>
  <c r="D21" i="47"/>
  <c r="D22" i="47"/>
  <c r="D23" i="47"/>
  <c r="D24" i="47"/>
  <c r="D25" i="47"/>
  <c r="D26" i="47"/>
  <c r="D27" i="47"/>
  <c r="D28" i="47"/>
  <c r="D29" i="47"/>
  <c r="D30" i="47"/>
  <c r="D31" i="47"/>
  <c r="E18" i="46"/>
  <c r="D10" i="46"/>
  <c r="D13" i="46" s="1"/>
  <c r="G4" i="44"/>
  <c r="G5" i="44"/>
  <c r="G6" i="44"/>
  <c r="G7" i="44"/>
  <c r="G8" i="44"/>
  <c r="G9" i="44"/>
  <c r="G3" i="44"/>
  <c r="F4" i="44"/>
  <c r="F5" i="44"/>
  <c r="F6" i="44"/>
  <c r="F7" i="44"/>
  <c r="F8" i="44"/>
  <c r="F9" i="44"/>
  <c r="F3" i="44"/>
  <c r="E4" i="44"/>
  <c r="E5" i="44"/>
  <c r="E6" i="44"/>
  <c r="E7" i="44"/>
  <c r="E8" i="44"/>
  <c r="E9" i="44"/>
  <c r="E3" i="44"/>
  <c r="D4" i="44"/>
  <c r="D5" i="44"/>
  <c r="D6" i="44"/>
  <c r="D7" i="44"/>
  <c r="D8" i="44"/>
  <c r="D9" i="44"/>
  <c r="D3" i="44"/>
  <c r="C4" i="38"/>
  <c r="C5" i="38"/>
  <c r="C6" i="38"/>
  <c r="C7" i="38"/>
  <c r="C8" i="38"/>
  <c r="C12" i="38" s="1"/>
  <c r="C9" i="38"/>
  <c r="C10" i="38"/>
  <c r="C11" i="38"/>
  <c r="C13" i="38"/>
  <c r="C14" i="38"/>
  <c r="C15" i="38"/>
  <c r="C16" i="38"/>
  <c r="C17" i="38"/>
  <c r="C18" i="38"/>
  <c r="C19" i="38"/>
  <c r="C20" i="38"/>
  <c r="C21" i="38"/>
  <c r="C22" i="38"/>
  <c r="C23" i="38"/>
  <c r="C24" i="38"/>
  <c r="C25" i="38"/>
  <c r="C26" i="38"/>
  <c r="C27" i="38"/>
  <c r="D4" i="36"/>
  <c r="D5" i="36"/>
  <c r="D6" i="36"/>
  <c r="D7" i="36"/>
  <c r="C4" i="36"/>
  <c r="C5" i="36"/>
  <c r="C6" i="36"/>
  <c r="C7" i="36"/>
  <c r="D3" i="36"/>
  <c r="C3" i="36"/>
  <c r="B4" i="36"/>
  <c r="B5" i="36"/>
  <c r="B6" i="36"/>
  <c r="B7" i="36"/>
  <c r="H20" i="22"/>
  <c r="C25" i="26"/>
  <c r="K15" i="26"/>
  <c r="C23" i="22"/>
  <c r="C12" i="22"/>
  <c r="C6" i="22"/>
  <c r="H48" i="15"/>
  <c r="H46" i="15"/>
  <c r="H44" i="15"/>
  <c r="H42" i="15"/>
  <c r="H40" i="15"/>
  <c r="H38" i="15"/>
  <c r="H36" i="15"/>
  <c r="H33" i="15"/>
  <c r="D51" i="15"/>
  <c r="D39" i="15"/>
  <c r="L8" i="12"/>
  <c r="M8" i="12"/>
  <c r="N8" i="12"/>
  <c r="O8" i="12"/>
  <c r="P8" i="12"/>
  <c r="K8" i="12"/>
  <c r="C24" i="13"/>
  <c r="B24" i="13"/>
  <c r="B23" i="13"/>
  <c r="C7" i="13"/>
  <c r="C8" i="13"/>
  <c r="C9" i="13"/>
  <c r="C10" i="13"/>
  <c r="C11" i="13"/>
  <c r="E25" i="11"/>
  <c r="E26" i="11"/>
  <c r="E27" i="11"/>
  <c r="E28" i="11"/>
  <c r="E29" i="11"/>
  <c r="E30" i="11"/>
  <c r="E31" i="11"/>
  <c r="E32" i="11"/>
  <c r="E33" i="11"/>
  <c r="L3" i="12"/>
  <c r="M3" i="12"/>
  <c r="N3" i="12"/>
  <c r="O3" i="12"/>
  <c r="P3" i="12"/>
  <c r="K4" i="11"/>
  <c r="K5" i="11"/>
  <c r="K6" i="11"/>
  <c r="K7" i="11"/>
  <c r="K8" i="11"/>
  <c r="K9" i="11"/>
  <c r="K10" i="11"/>
  <c r="K11" i="11"/>
  <c r="K12" i="11"/>
  <c r="A6" i="10"/>
  <c r="I3" i="4"/>
  <c r="H3" i="4"/>
  <c r="B3" i="10"/>
  <c r="D14" i="9"/>
  <c r="I4" i="9"/>
  <c r="I5" i="9"/>
  <c r="I6" i="9"/>
  <c r="I7" i="9"/>
  <c r="I8" i="9"/>
  <c r="H4" i="9"/>
  <c r="H5" i="9"/>
  <c r="H6" i="9"/>
  <c r="H7" i="9"/>
  <c r="H8" i="9"/>
  <c r="H3" i="9"/>
  <c r="G4" i="9"/>
  <c r="G5" i="9"/>
  <c r="G6" i="9"/>
  <c r="G7" i="9"/>
  <c r="G8" i="9"/>
  <c r="G3" i="9"/>
  <c r="F4" i="9"/>
  <c r="F5" i="9"/>
  <c r="F6" i="9"/>
  <c r="F7" i="9"/>
  <c r="F8" i="9"/>
  <c r="F3" i="9"/>
  <c r="E4" i="9"/>
  <c r="E5" i="9"/>
  <c r="E6" i="9"/>
  <c r="E7" i="9"/>
  <c r="E8" i="9"/>
  <c r="E3" i="9"/>
  <c r="D4" i="9"/>
  <c r="D5" i="9"/>
  <c r="D6" i="9"/>
  <c r="D7" i="9"/>
  <c r="D8" i="9"/>
  <c r="D3" i="9"/>
  <c r="C4" i="9"/>
  <c r="C5" i="9"/>
  <c r="C6" i="9"/>
  <c r="C7" i="9"/>
  <c r="C8" i="9"/>
  <c r="C3" i="9"/>
  <c r="D4" i="8"/>
  <c r="D5" i="8"/>
  <c r="D6" i="8"/>
  <c r="D7" i="8"/>
  <c r="D8" i="8"/>
  <c r="D3" i="8"/>
  <c r="E3" i="8"/>
  <c r="E8" i="7"/>
  <c r="E7" i="7"/>
  <c r="E6" i="7"/>
  <c r="E5" i="7"/>
  <c r="E4" i="7"/>
  <c r="E4" i="8"/>
  <c r="E5" i="8"/>
  <c r="E6" i="8"/>
  <c r="E7" i="8"/>
  <c r="E8" i="8"/>
  <c r="B4" i="8"/>
  <c r="B5" i="8"/>
  <c r="B6" i="8"/>
  <c r="B7" i="8"/>
  <c r="B8" i="8"/>
  <c r="B3" i="8"/>
  <c r="E3" i="7"/>
  <c r="D4" i="7"/>
  <c r="D5" i="7"/>
  <c r="D6" i="7"/>
  <c r="D7" i="7"/>
  <c r="D8" i="7"/>
  <c r="D3" i="7"/>
  <c r="C8" i="7"/>
  <c r="C7" i="7"/>
  <c r="C6" i="7"/>
  <c r="C5" i="7"/>
  <c r="C4" i="7"/>
  <c r="C3" i="7"/>
  <c r="B8" i="7"/>
  <c r="B7" i="7"/>
  <c r="B6" i="7"/>
  <c r="B5" i="7"/>
  <c r="B4" i="7"/>
  <c r="B3" i="7"/>
  <c r="G4" i="6"/>
  <c r="G5" i="6"/>
  <c r="G6" i="6"/>
  <c r="G7" i="6"/>
  <c r="G8" i="6"/>
  <c r="G3" i="6"/>
  <c r="D4" i="6"/>
  <c r="D5" i="6"/>
  <c r="D6" i="6"/>
  <c r="D7" i="6"/>
  <c r="D8" i="6"/>
  <c r="D3" i="6"/>
  <c r="C4" i="6"/>
  <c r="C5" i="6"/>
  <c r="C6" i="6"/>
  <c r="C7" i="6"/>
  <c r="C8" i="6"/>
  <c r="C3" i="6"/>
  <c r="I4" i="4"/>
  <c r="I5" i="4"/>
  <c r="I6" i="4"/>
  <c r="I7" i="4"/>
  <c r="E4" i="4"/>
  <c r="E5" i="4"/>
  <c r="E6" i="4"/>
  <c r="E7" i="4"/>
  <c r="G4" i="4"/>
  <c r="G5" i="4"/>
  <c r="G6" i="4"/>
  <c r="G7" i="4"/>
  <c r="F3" i="3"/>
  <c r="F4" i="3"/>
  <c r="F5" i="3"/>
  <c r="F6" i="3"/>
  <c r="F7" i="3"/>
  <c r="F8" i="3"/>
  <c r="F9" i="3"/>
  <c r="F10" i="3"/>
  <c r="J7" i="1"/>
  <c r="D3" i="3"/>
  <c r="D4" i="3"/>
  <c r="D5" i="3"/>
  <c r="D6" i="3"/>
  <c r="D7" i="3"/>
  <c r="D8" i="3"/>
  <c r="D9" i="3"/>
  <c r="D10" i="3"/>
  <c r="D2" i="3"/>
  <c r="I3" i="1"/>
  <c r="I4" i="1"/>
  <c r="I5" i="1"/>
  <c r="I6" i="1"/>
  <c r="H3" i="1"/>
  <c r="H4" i="1"/>
  <c r="H5" i="1"/>
  <c r="H6" i="1"/>
  <c r="G3" i="1"/>
  <c r="G4" i="1"/>
  <c r="G5" i="1"/>
  <c r="G6" i="1"/>
  <c r="G2" i="1"/>
  <c r="F3" i="1"/>
  <c r="F4" i="1"/>
  <c r="F5" i="1"/>
  <c r="F6" i="1"/>
  <c r="F2" i="1"/>
  <c r="L3" i="26" l="1"/>
  <c r="D52" i="15"/>
  <c r="D32" i="26"/>
  <c r="D43" i="26"/>
  <c r="K24" i="26"/>
  <c r="J34" i="26"/>
  <c r="K14" i="26"/>
  <c r="H49" i="15"/>
  <c r="F7" i="4"/>
  <c r="H7" i="4" s="1"/>
  <c r="J7" i="4" s="1"/>
  <c r="F6" i="4"/>
  <c r="H6" i="4" s="1"/>
  <c r="J6" i="4" s="1"/>
  <c r="F5" i="4"/>
  <c r="H5" i="4" s="1"/>
  <c r="J5" i="4" s="1"/>
  <c r="F4" i="4"/>
  <c r="H4" i="4" s="1"/>
  <c r="J4" i="4" s="1"/>
  <c r="J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<sst xmlns="http://schemas.openxmlformats.org/spreadsheetml/2006/main" count="3203" uniqueCount="1068">
  <si>
    <t>Sr. No.</t>
  </si>
  <si>
    <t>Student Name</t>
  </si>
  <si>
    <t>Nidhi Vaidya</t>
  </si>
  <si>
    <t>Sweta Parmar</t>
  </si>
  <si>
    <t>Dipali Patel</t>
  </si>
  <si>
    <t>Helly Shah</t>
  </si>
  <si>
    <t>Naushin Rathod</t>
  </si>
  <si>
    <t>RDBMS</t>
  </si>
  <si>
    <t>ORACLE</t>
  </si>
  <si>
    <t>System Analysis</t>
  </si>
  <si>
    <t>Total Marks</t>
  </si>
  <si>
    <t>Percentage</t>
  </si>
  <si>
    <t>Pass/Fail</t>
  </si>
  <si>
    <t>Grade</t>
  </si>
  <si>
    <t>Number of Students</t>
  </si>
  <si>
    <t>Maximum Marks</t>
  </si>
  <si>
    <t>Minimum Marks</t>
  </si>
  <si>
    <t>Middle Marks</t>
  </si>
  <si>
    <t>Repetitve Marks</t>
  </si>
  <si>
    <t>2nd Largest</t>
  </si>
  <si>
    <t>3rd Smallest</t>
  </si>
  <si>
    <t>Employee Name</t>
  </si>
  <si>
    <t>Birthday</t>
  </si>
  <si>
    <t>Salary</t>
  </si>
  <si>
    <t>Harry</t>
  </si>
  <si>
    <t>Oliver</t>
  </si>
  <si>
    <t>Jack</t>
  </si>
  <si>
    <t>Alfie</t>
  </si>
  <si>
    <t>Charlie</t>
  </si>
  <si>
    <t>Thomas</t>
  </si>
  <si>
    <t>Jacob</t>
  </si>
  <si>
    <t>James</t>
  </si>
  <si>
    <t>Joshua</t>
  </si>
  <si>
    <t>William</t>
  </si>
  <si>
    <t>Ethan</t>
  </si>
  <si>
    <t>George</t>
  </si>
  <si>
    <t>Riley</t>
  </si>
  <si>
    <t>Daniel</t>
  </si>
  <si>
    <t>Samuel</t>
  </si>
  <si>
    <t>Find the number of employee whose birthday is on "30-Jun-91"</t>
  </si>
  <si>
    <t>Product</t>
  </si>
  <si>
    <t>Qty</t>
  </si>
  <si>
    <t>Rate</t>
  </si>
  <si>
    <t>Amount</t>
  </si>
  <si>
    <t>Discount:1(AND)</t>
  </si>
  <si>
    <t>Discount: 2(OR)</t>
  </si>
  <si>
    <t>CD</t>
  </si>
  <si>
    <t>DVD</t>
  </si>
  <si>
    <t>Pendrive</t>
  </si>
  <si>
    <t>Keyboard</t>
  </si>
  <si>
    <t>Mouse</t>
  </si>
  <si>
    <t>If Product is Pendrive and Qty&gt;20 then discount will be 250</t>
  </si>
  <si>
    <t>if Product is DVD or CD then discount will be 200</t>
  </si>
  <si>
    <t>Salary Slip</t>
  </si>
  <si>
    <t>E_Code</t>
  </si>
  <si>
    <t>E_001</t>
  </si>
  <si>
    <t>E_002</t>
  </si>
  <si>
    <t>E_003</t>
  </si>
  <si>
    <t>E_004</t>
  </si>
  <si>
    <t>E_005</t>
  </si>
  <si>
    <t>E_Name</t>
  </si>
  <si>
    <t>Anil</t>
  </si>
  <si>
    <t>Vijay</t>
  </si>
  <si>
    <t>Mukesh</t>
  </si>
  <si>
    <t>Dinesh</t>
  </si>
  <si>
    <t>Suresh</t>
  </si>
  <si>
    <t>Designation</t>
  </si>
  <si>
    <t>Basic</t>
  </si>
  <si>
    <t>DA</t>
  </si>
  <si>
    <t>HRA</t>
  </si>
  <si>
    <t>TA</t>
  </si>
  <si>
    <t>Gross Salary</t>
  </si>
  <si>
    <t>PF</t>
  </si>
  <si>
    <t>Net:Salary</t>
  </si>
  <si>
    <t>Designation: Basic Salary &gt;=20000 Manager</t>
  </si>
  <si>
    <t>&gt;=10000, Officer</t>
  </si>
  <si>
    <t>Below 10000 Clerk</t>
  </si>
  <si>
    <t>TA is 10% of Basic for clerk and 5% for Others</t>
  </si>
  <si>
    <t>Calculate DA as 5% of Basic Salary</t>
  </si>
  <si>
    <t>Calculate Gross Salary = Basic+DA+HRA+TA</t>
  </si>
  <si>
    <t>PF is calculated as 12% of Basic Salary</t>
  </si>
  <si>
    <t>Calculate Net Salary = Gross - PF</t>
  </si>
  <si>
    <t>Gender</t>
  </si>
  <si>
    <t>F</t>
  </si>
  <si>
    <t>M</t>
  </si>
  <si>
    <t>SUMIF</t>
  </si>
  <si>
    <t>COUNT</t>
  </si>
  <si>
    <t>MAX</t>
  </si>
  <si>
    <t>MIN</t>
  </si>
  <si>
    <t>MEDIAN</t>
  </si>
  <si>
    <t>MODE.SGNL</t>
  </si>
  <si>
    <t>LARGE</t>
  </si>
  <si>
    <t>SMALL</t>
  </si>
  <si>
    <t>Saturday</t>
  </si>
  <si>
    <t>Sunday</t>
  </si>
  <si>
    <t>Monday</t>
  </si>
  <si>
    <t>Tuesday</t>
  </si>
  <si>
    <t>Wednesday</t>
  </si>
  <si>
    <t>Thursday</t>
  </si>
  <si>
    <t>Friday</t>
  </si>
  <si>
    <t>January</t>
  </si>
  <si>
    <t>February</t>
  </si>
  <si>
    <t>March</t>
  </si>
  <si>
    <t>April</t>
  </si>
  <si>
    <t>May</t>
  </si>
  <si>
    <t>June</t>
  </si>
  <si>
    <t>July</t>
  </si>
  <si>
    <t>August</t>
  </si>
  <si>
    <t>September</t>
  </si>
  <si>
    <t>October</t>
  </si>
  <si>
    <t>November</t>
  </si>
  <si>
    <t>Total Sales</t>
  </si>
  <si>
    <t>Unit Price</t>
  </si>
  <si>
    <t>Unit Sold</t>
  </si>
  <si>
    <t>Angelica Root</t>
  </si>
  <si>
    <t>Anise</t>
  </si>
  <si>
    <t>Anise Seeds</t>
  </si>
  <si>
    <t>Asafoetida Powder</t>
  </si>
  <si>
    <t>Basil Leaf (Whole)</t>
  </si>
  <si>
    <t>Basil Leaf (Ground)</t>
  </si>
  <si>
    <t>Caraway Seed (Whole)</t>
  </si>
  <si>
    <t>Cardamom Seed (Ground)</t>
  </si>
  <si>
    <t>Cardomom Seed (Whole)</t>
  </si>
  <si>
    <t>Carob Powder (Raw)</t>
  </si>
  <si>
    <t>Cassia</t>
  </si>
  <si>
    <t>-</t>
  </si>
  <si>
    <t>First Name</t>
  </si>
  <si>
    <t>Last Name</t>
  </si>
  <si>
    <t>Full Name( Use Concatenate)</t>
  </si>
  <si>
    <t>Proper Name (Use Proper)</t>
  </si>
  <si>
    <t>City</t>
  </si>
  <si>
    <t>State</t>
  </si>
  <si>
    <t>City, State (Use Concatenate)</t>
  </si>
  <si>
    <t>bob</t>
  </si>
  <si>
    <t>neil</t>
  </si>
  <si>
    <t>mick</t>
  </si>
  <si>
    <t>john</t>
  </si>
  <si>
    <t>donald</t>
  </si>
  <si>
    <t>marley</t>
  </si>
  <si>
    <t>young</t>
  </si>
  <si>
    <t>jagger</t>
  </si>
  <si>
    <t>dylan</t>
  </si>
  <si>
    <t>lennon</t>
  </si>
  <si>
    <t>fagen</t>
  </si>
  <si>
    <t>Syracuse</t>
  </si>
  <si>
    <t>Chicago</t>
  </si>
  <si>
    <t>New York</t>
  </si>
  <si>
    <t>Philadelphia</t>
  </si>
  <si>
    <t>Los Angeles</t>
  </si>
  <si>
    <t>Phoenix</t>
  </si>
  <si>
    <t>NY</t>
  </si>
  <si>
    <t>IL</t>
  </si>
  <si>
    <t>PA</t>
  </si>
  <si>
    <t>CA</t>
  </si>
  <si>
    <t>AZ</t>
  </si>
  <si>
    <t>Full Name</t>
  </si>
  <si>
    <t>Length</t>
  </si>
  <si>
    <t>Find</t>
  </si>
  <si>
    <t>fred smith</t>
  </si>
  <si>
    <t>tonya landry</t>
  </si>
  <si>
    <t>toby marin</t>
  </si>
  <si>
    <t>cindy brady</t>
  </si>
  <si>
    <t>chance till</t>
  </si>
  <si>
    <t>anne stone</t>
  </si>
  <si>
    <r>
      <t xml:space="preserve">Phone Number </t>
    </r>
    <r>
      <rPr>
        <sz val="11"/>
        <color theme="1"/>
        <rFont val="Calibri"/>
        <family val="2"/>
        <scheme val="minor"/>
      </rPr>
      <t>(First 3 numbers  represent an Area Code)</t>
    </r>
  </si>
  <si>
    <r>
      <rPr>
        <b/>
        <sz val="11"/>
        <color theme="1"/>
        <rFont val="Calibri"/>
        <family val="2"/>
        <scheme val="minor"/>
      </rPr>
      <t>Area Code</t>
    </r>
    <r>
      <rPr>
        <sz val="11"/>
        <color theme="1"/>
        <rFont val="Calibri"/>
        <family val="2"/>
        <scheme val="minor"/>
      </rPr>
      <t xml:space="preserve"> (Hint: Use left Function)</t>
    </r>
  </si>
  <si>
    <r>
      <rPr>
        <b/>
        <sz val="11"/>
        <color theme="1"/>
        <rFont val="Calibri"/>
        <family val="2"/>
        <scheme val="minor"/>
      </rPr>
      <t xml:space="preserve">Store Id </t>
    </r>
    <r>
      <rPr>
        <sz val="11"/>
        <color theme="1"/>
        <rFont val="Calibri"/>
        <family val="2"/>
        <scheme val="minor"/>
      </rPr>
      <t>(Hint: use left function)</t>
    </r>
  </si>
  <si>
    <r>
      <rPr>
        <b/>
        <sz val="11"/>
        <color theme="1"/>
        <rFont val="Calibri"/>
        <family val="2"/>
        <scheme val="minor"/>
      </rPr>
      <t xml:space="preserve">Salesperson ID </t>
    </r>
    <r>
      <rPr>
        <sz val="11"/>
        <color theme="1"/>
        <rFont val="Calibri"/>
        <family val="2"/>
        <scheme val="minor"/>
      </rPr>
      <t>(Hint: Use Right Function)</t>
    </r>
  </si>
  <si>
    <t>315-111-2222</t>
  </si>
  <si>
    <t>201-123-1232</t>
  </si>
  <si>
    <t>214-000-9999</t>
  </si>
  <si>
    <t>323-777-8888</t>
  </si>
  <si>
    <t>617-654-3211</t>
  </si>
  <si>
    <t>623-876-1432</t>
  </si>
  <si>
    <t>123-6911-62</t>
  </si>
  <si>
    <t>451-7632-96</t>
  </si>
  <si>
    <t>671-9528-76</t>
  </si>
  <si>
    <t>546-7456-51</t>
  </si>
  <si>
    <t>123-5009-90</t>
  </si>
  <si>
    <t>123-3762-62</t>
  </si>
  <si>
    <r>
      <rPr>
        <b/>
        <sz val="11"/>
        <color theme="1"/>
        <rFont val="Calibri"/>
        <family val="2"/>
        <scheme val="minor"/>
      </rPr>
      <t xml:space="preserve">Sale Id </t>
    </r>
    <r>
      <rPr>
        <sz val="11"/>
        <color theme="1"/>
        <rFont val="Calibri"/>
        <family val="2"/>
        <scheme val="minor"/>
      </rPr>
      <t>( First 3 numbers represent a store, next 4 represent a product, last 2 represent a last 2 character)</t>
    </r>
  </si>
  <si>
    <t>Drag Saturday</t>
  </si>
  <si>
    <t>Drag January</t>
  </si>
  <si>
    <t>COUNTIF</t>
  </si>
  <si>
    <t>IF &amp; AND</t>
  </si>
  <si>
    <t>IF &amp; OR</t>
  </si>
  <si>
    <t>Multiple IF</t>
  </si>
  <si>
    <t>Formula</t>
  </si>
  <si>
    <t>IF</t>
  </si>
  <si>
    <t>SUM</t>
  </si>
  <si>
    <t>IFERROR</t>
  </si>
  <si>
    <t>CONCAT</t>
  </si>
  <si>
    <t>PROPER</t>
  </si>
  <si>
    <t>LEFT</t>
  </si>
  <si>
    <t>RIGHT</t>
  </si>
  <si>
    <t>LEN</t>
  </si>
  <si>
    <t>FIND</t>
  </si>
  <si>
    <t>fred</t>
  </si>
  <si>
    <t>tonya</t>
  </si>
  <si>
    <t>toby</t>
  </si>
  <si>
    <t>cindy</t>
  </si>
  <si>
    <t>chance</t>
  </si>
  <si>
    <t>anne</t>
  </si>
  <si>
    <t>smith</t>
  </si>
  <si>
    <t>landry</t>
  </si>
  <si>
    <t>marin</t>
  </si>
  <si>
    <t>brady</t>
  </si>
  <si>
    <t>till</t>
  </si>
  <si>
    <t>stone</t>
  </si>
  <si>
    <t>FLASH FILL</t>
  </si>
  <si>
    <r>
      <t xml:space="preserve">FORMULA </t>
    </r>
    <r>
      <rPr>
        <b/>
        <sz val="11"/>
        <color theme="1"/>
        <rFont val="Calibri"/>
        <family val="2"/>
      </rPr>
      <t>→ TEXT</t>
    </r>
  </si>
  <si>
    <r>
      <t xml:space="preserve">DATA </t>
    </r>
    <r>
      <rPr>
        <b/>
        <sz val="11"/>
        <color theme="1"/>
        <rFont val="Calibri"/>
        <family val="2"/>
      </rPr>
      <t>→ FLASH FILL</t>
    </r>
  </si>
  <si>
    <t>MID</t>
  </si>
  <si>
    <t>Start Date</t>
  </si>
  <si>
    <t>End Date</t>
  </si>
  <si>
    <t>Month</t>
  </si>
  <si>
    <t>Day</t>
  </si>
  <si>
    <t>Year</t>
  </si>
  <si>
    <t>Date after 1st week</t>
  </si>
  <si>
    <t>Current Date</t>
  </si>
  <si>
    <t>Current Date &amp; Time</t>
  </si>
  <si>
    <t>Difference Two Dates</t>
  </si>
  <si>
    <t>NOW</t>
  </si>
  <si>
    <t>TODAY</t>
  </si>
  <si>
    <t>ADD 7</t>
  </si>
  <si>
    <t>YEAR</t>
  </si>
  <si>
    <t>DAY</t>
  </si>
  <si>
    <t>MONTH</t>
  </si>
  <si>
    <t xml:space="preserve"> End Date</t>
  </si>
  <si>
    <t>Holday</t>
  </si>
  <si>
    <t>Result</t>
  </si>
  <si>
    <t>NETWORKDAYS</t>
  </si>
  <si>
    <t>WEEKNUMBER</t>
  </si>
  <si>
    <t>WEEKDAY</t>
  </si>
  <si>
    <t>DATEDIF</t>
  </si>
  <si>
    <t>DAYS360 FOR SAME YEAR</t>
  </si>
  <si>
    <t>VLOOKUP</t>
  </si>
  <si>
    <t>ID</t>
  </si>
  <si>
    <t>Brand</t>
  </si>
  <si>
    <t>Dell</t>
  </si>
  <si>
    <t>Logitech</t>
  </si>
  <si>
    <t>I-Ball</t>
  </si>
  <si>
    <t>HP</t>
  </si>
  <si>
    <t>Samsung</t>
  </si>
  <si>
    <t>CPU</t>
  </si>
  <si>
    <t>Printer</t>
  </si>
  <si>
    <t>Monitor</t>
  </si>
  <si>
    <t>RAM</t>
  </si>
  <si>
    <t>Pen-Drive</t>
  </si>
  <si>
    <t>Memory Card</t>
  </si>
  <si>
    <t>Age</t>
  </si>
  <si>
    <t>Label</t>
  </si>
  <si>
    <t>Akash</t>
  </si>
  <si>
    <t>Ajit</t>
  </si>
  <si>
    <t>Ankur</t>
  </si>
  <si>
    <t>Ashwin</t>
  </si>
  <si>
    <t>Nitesh</t>
  </si>
  <si>
    <t>Nilay</t>
  </si>
  <si>
    <t>Ketan</t>
  </si>
  <si>
    <t>Kunal</t>
  </si>
  <si>
    <t>Kartik</t>
  </si>
  <si>
    <t>Pankaj</t>
  </si>
  <si>
    <t>Patel</t>
  </si>
  <si>
    <t>Sharma</t>
  </si>
  <si>
    <t>Verma</t>
  </si>
  <si>
    <t>Shah</t>
  </si>
  <si>
    <t>Jain</t>
  </si>
  <si>
    <t>Bhavsar</t>
  </si>
  <si>
    <t>Gujar</t>
  </si>
  <si>
    <t>Pandya</t>
  </si>
  <si>
    <t>Sinha</t>
  </si>
  <si>
    <t>Jani</t>
  </si>
  <si>
    <t>Student</t>
  </si>
  <si>
    <t>Young</t>
  </si>
  <si>
    <t>Mature</t>
  </si>
  <si>
    <t>Senior</t>
  </si>
  <si>
    <t>Senior Citizen</t>
  </si>
  <si>
    <t>Site Code</t>
  </si>
  <si>
    <t>Site Location</t>
  </si>
  <si>
    <t>Swings</t>
  </si>
  <si>
    <t>Slides</t>
  </si>
  <si>
    <t>Rocker</t>
  </si>
  <si>
    <t>Climbing Frame</t>
  </si>
  <si>
    <t>Overall Result</t>
  </si>
  <si>
    <t>B55/871</t>
  </si>
  <si>
    <t>B92/756</t>
  </si>
  <si>
    <t>B66/997</t>
  </si>
  <si>
    <t>B81/222</t>
  </si>
  <si>
    <t>B54/871</t>
  </si>
  <si>
    <t>B55/993</t>
  </si>
  <si>
    <t>B92/771</t>
  </si>
  <si>
    <t>B11/134</t>
  </si>
  <si>
    <t>B54/889</t>
  </si>
  <si>
    <t>B81/156</t>
  </si>
  <si>
    <t>B81/157</t>
  </si>
  <si>
    <t>B92/775</t>
  </si>
  <si>
    <t>B11/234</t>
  </si>
  <si>
    <t>Beaufort Gardens</t>
  </si>
  <si>
    <t>Church Fold</t>
  </si>
  <si>
    <t>Emily Lane</t>
  </si>
  <si>
    <t>Grange Avenue</t>
  </si>
  <si>
    <t>Howards Park</t>
  </si>
  <si>
    <t>Poppy Close</t>
  </si>
  <si>
    <t>Ribble Gardens</t>
  </si>
  <si>
    <t>Rivington Drive</t>
  </si>
  <si>
    <t>Leyton Drive</t>
  </si>
  <si>
    <t>Gibble Gabble</t>
  </si>
  <si>
    <t>Langely Road</t>
  </si>
  <si>
    <t>Arlington close</t>
  </si>
  <si>
    <t>Flowery Fileds</t>
  </si>
  <si>
    <t>Fail</t>
  </si>
  <si>
    <t>Pass</t>
  </si>
  <si>
    <t>VLOOPUP -Multi Column Selection)</t>
  </si>
  <si>
    <t>Employee</t>
  </si>
  <si>
    <t>Number of Customers</t>
  </si>
  <si>
    <t>Bonus</t>
  </si>
  <si>
    <t>Emily Smith</t>
  </si>
  <si>
    <t>Dan Jonesman</t>
  </si>
  <si>
    <t>Fred Brown</t>
  </si>
  <si>
    <t>Dora Mc Tavish</t>
  </si>
  <si>
    <t>Pstrck O' Leary</t>
  </si>
  <si>
    <t>Dawn Taylor</t>
  </si>
  <si>
    <t>Penny Joyce</t>
  </si>
  <si>
    <t>Ian Frankely</t>
  </si>
  <si>
    <t>Jeff O' Brien</t>
  </si>
  <si>
    <t>William Jones</t>
  </si>
  <si>
    <t>No. of Customers</t>
  </si>
  <si>
    <t>Bonus Per Customer</t>
  </si>
  <si>
    <t>MATCH 1</t>
  </si>
  <si>
    <r>
      <t xml:space="preserve">HOME WORK </t>
    </r>
    <r>
      <rPr>
        <b/>
        <sz val="11"/>
        <color theme="1"/>
        <rFont val="Calibri"/>
        <family val="2"/>
      </rPr>
      <t>↓</t>
    </r>
  </si>
  <si>
    <t>Country</t>
  </si>
  <si>
    <t>Germany</t>
  </si>
  <si>
    <t>Switzerland</t>
  </si>
  <si>
    <t>Austria</t>
  </si>
  <si>
    <t>Canada</t>
  </si>
  <si>
    <t>UK</t>
  </si>
  <si>
    <t>India</t>
  </si>
  <si>
    <t>VAT</t>
  </si>
  <si>
    <t>COUNTRY</t>
  </si>
  <si>
    <t>Product 1</t>
  </si>
  <si>
    <t>Product 2</t>
  </si>
  <si>
    <t>Product 3</t>
  </si>
  <si>
    <t>Transpose</t>
  </si>
  <si>
    <t>Hlookup</t>
  </si>
  <si>
    <t>HLOOKUP</t>
  </si>
  <si>
    <t>SALES</t>
  </si>
  <si>
    <t>Sales</t>
  </si>
  <si>
    <t>Amar</t>
  </si>
  <si>
    <t>Ankit</t>
  </si>
  <si>
    <t>Ashish</t>
  </si>
  <si>
    <t>Cty</t>
  </si>
  <si>
    <t>Vadodara</t>
  </si>
  <si>
    <t>Surat</t>
  </si>
  <si>
    <t>Rajkot</t>
  </si>
  <si>
    <t>Dahod</t>
  </si>
  <si>
    <t>Ahmedabad</t>
  </si>
  <si>
    <t>Godhra</t>
  </si>
  <si>
    <t>Emaily</t>
  </si>
  <si>
    <t>Mlia</t>
  </si>
  <si>
    <t>John</t>
  </si>
  <si>
    <t>Jessia</t>
  </si>
  <si>
    <t>Mark</t>
  </si>
  <si>
    <t>Richard</t>
  </si>
  <si>
    <t>Smith</t>
  </si>
  <si>
    <t>Anderson</t>
  </si>
  <si>
    <t>Clerk</t>
  </si>
  <si>
    <t>Lewis</t>
  </si>
  <si>
    <t>Walker</t>
  </si>
  <si>
    <t>Reed</t>
  </si>
  <si>
    <t>Lopez</t>
  </si>
  <si>
    <t>MATCH  AND INDEX FUNCTION</t>
  </si>
  <si>
    <t>1) Display the position of  a 14 and ID Range</t>
  </si>
  <si>
    <t>2) Display the position of Clerk in last name column</t>
  </si>
  <si>
    <t>3) Display the 5th Value in Salary Column</t>
  </si>
  <si>
    <t>4) Display the 2nd Value in the First name column</t>
  </si>
  <si>
    <t>INDEX</t>
  </si>
  <si>
    <t>MATCH</t>
  </si>
  <si>
    <t>5) Display the salary of James Anderson</t>
  </si>
  <si>
    <t>INDEX &amp; MATCH COMBO</t>
  </si>
  <si>
    <t>VLOOKUP &amp; MATCH COMBO</t>
  </si>
  <si>
    <t>Payment Method</t>
  </si>
  <si>
    <t>T-Shirt Size</t>
  </si>
  <si>
    <t>Krunal</t>
  </si>
  <si>
    <t>Debit Card</t>
  </si>
  <si>
    <t>Cash</t>
  </si>
  <si>
    <t>Pending</t>
  </si>
  <si>
    <t>Cheque Bonus</t>
  </si>
  <si>
    <t>Cheque</t>
  </si>
  <si>
    <t>Medium</t>
  </si>
  <si>
    <t>Small</t>
  </si>
  <si>
    <t>1) Group the columns B,C and D</t>
  </si>
  <si>
    <t>2) Show and hide Details</t>
  </si>
  <si>
    <t>3) Find Subtotal of T-Shirt Size</t>
  </si>
  <si>
    <t>4) Find the  subtotal of payment method</t>
  </si>
  <si>
    <t>SUBTOTALS &amp; OUTLINE</t>
  </si>
  <si>
    <t>Medium Count</t>
  </si>
  <si>
    <t>Small Count</t>
  </si>
  <si>
    <t>Grand Count</t>
  </si>
  <si>
    <t>Cash Count</t>
  </si>
  <si>
    <t>Debit Card Count</t>
  </si>
  <si>
    <t>Pending Count</t>
  </si>
  <si>
    <t>Cheque Bonus Count</t>
  </si>
  <si>
    <t>Cheque Count</t>
  </si>
  <si>
    <t>DATA -  GROUP</t>
  </si>
  <si>
    <t>DATA- SORT AND SUBTOTAL</t>
  </si>
  <si>
    <t>DATA - SORT AND SUBTOTAL</t>
  </si>
  <si>
    <t>BEARS</t>
  </si>
  <si>
    <t>DOLPHINS</t>
  </si>
  <si>
    <t>WHALES</t>
  </si>
  <si>
    <t>JAN</t>
  </si>
  <si>
    <t>FEB</t>
  </si>
  <si>
    <t>MAR</t>
  </si>
  <si>
    <t>APR</t>
  </si>
  <si>
    <t>MAY</t>
  </si>
  <si>
    <t>JUN</t>
  </si>
  <si>
    <t>JUL</t>
  </si>
  <si>
    <t>Particular</t>
  </si>
  <si>
    <t>Jan</t>
  </si>
  <si>
    <t>Feb</t>
  </si>
  <si>
    <t>Mar</t>
  </si>
  <si>
    <t>Income form Liber Cases</t>
  </si>
  <si>
    <t>Income from Appearance</t>
  </si>
  <si>
    <t>Charity Donations</t>
  </si>
  <si>
    <t>Tax Reabate</t>
  </si>
  <si>
    <t xml:space="preserve">DATE </t>
  </si>
  <si>
    <t>PIE CHART FOR ONLY TWO COLUMNS</t>
  </si>
  <si>
    <t>Perent Value</t>
  </si>
  <si>
    <t>No. of Year</t>
  </si>
  <si>
    <t>PMT</t>
  </si>
  <si>
    <t>Future Value</t>
  </si>
  <si>
    <t xml:space="preserve">FUTUTE VALE </t>
  </si>
  <si>
    <t>EMI (Monthly)</t>
  </si>
  <si>
    <t>Loan EMI</t>
  </si>
  <si>
    <t>Loan Value</t>
  </si>
  <si>
    <t>No. of Years</t>
  </si>
  <si>
    <t>Loan Interest (IPMT)</t>
  </si>
  <si>
    <t>No. of Yeara</t>
  </si>
  <si>
    <t>IPMT</t>
  </si>
  <si>
    <t>Loan Principal</t>
  </si>
  <si>
    <t>PPMT</t>
  </si>
  <si>
    <t>Rate Finction</t>
  </si>
  <si>
    <t>PV</t>
  </si>
  <si>
    <t>RATE(year,pmt,-pv)* period per year</t>
  </si>
  <si>
    <t>Period per Year</t>
  </si>
  <si>
    <t>Nper</t>
  </si>
  <si>
    <t>loan</t>
  </si>
  <si>
    <t>rate</t>
  </si>
  <si>
    <t>pmt</t>
  </si>
  <si>
    <t>Nper(rate/12,pmt,loan,,0)</t>
  </si>
  <si>
    <t>INSERT - CHART - CHART DESIGN  &amp; FORMAT</t>
  </si>
  <si>
    <t>FUTUTE VALUE (FV)</t>
  </si>
  <si>
    <t>RATE</t>
  </si>
  <si>
    <t>Important</t>
  </si>
  <si>
    <t>NPER</t>
  </si>
  <si>
    <t>Impotant</t>
  </si>
  <si>
    <t>Order ID</t>
  </si>
  <si>
    <t>Category</t>
  </si>
  <si>
    <t>Date</t>
  </si>
  <si>
    <t>Carrot</t>
  </si>
  <si>
    <t>Broccoli</t>
  </si>
  <si>
    <t>Banana</t>
  </si>
  <si>
    <t>Beans</t>
  </si>
  <si>
    <t>Orange</t>
  </si>
  <si>
    <t>Apple</t>
  </si>
  <si>
    <t>Grapes</t>
  </si>
  <si>
    <t>Vegetables</t>
  </si>
  <si>
    <t>Fruits</t>
  </si>
  <si>
    <t>United States</t>
  </si>
  <si>
    <t>United Kingdom</t>
  </si>
  <si>
    <t>Australia</t>
  </si>
  <si>
    <t>New Zealand</t>
  </si>
  <si>
    <t>France</t>
  </si>
  <si>
    <t>1) Make Pivot Table having product and category in row label</t>
  </si>
  <si>
    <t>2) Place date in column label</t>
  </si>
  <si>
    <t>3) Find sum of Amount</t>
  </si>
  <si>
    <t>5) Apply Design Format</t>
  </si>
  <si>
    <t>6) Use Slicer to display only Fruits</t>
  </si>
  <si>
    <t>7) Amount of Banana</t>
  </si>
  <si>
    <t>8) Amount of Orange</t>
  </si>
  <si>
    <t>Row Labels</t>
  </si>
  <si>
    <t>Grand Total</t>
  </si>
  <si>
    <t>Column Labels</t>
  </si>
  <si>
    <t>Sum of Amount</t>
  </si>
  <si>
    <t>(All)</t>
  </si>
  <si>
    <t>Unit</t>
  </si>
  <si>
    <t>Retail Price</t>
  </si>
  <si>
    <t>Data - Whatif Analysis - Goal Seek</t>
  </si>
  <si>
    <t>selling discount</t>
  </si>
  <si>
    <t>revenue</t>
  </si>
  <si>
    <t>Find out how many units have to be sold to reach $1000 of revenue using Goal Seek</t>
  </si>
  <si>
    <t>Current Sales Figures</t>
  </si>
  <si>
    <t>Items sold</t>
  </si>
  <si>
    <t>price per item</t>
  </si>
  <si>
    <t>profits</t>
  </si>
  <si>
    <t>using goal seek change the profit value of future sales to 20000 by changing items sold in future Sales Figure</t>
  </si>
  <si>
    <t>Exam 1</t>
  </si>
  <si>
    <t>Exam 2</t>
  </si>
  <si>
    <t>Exam 3</t>
  </si>
  <si>
    <t>Final Score</t>
  </si>
  <si>
    <t>GOAL SEEK</t>
  </si>
  <si>
    <t>AVERAGE</t>
  </si>
  <si>
    <t>PROFIT=ITEMS SOLD*PRICE PER ITEM</t>
  </si>
  <si>
    <t>INSERT - PIVOT TABLE</t>
  </si>
  <si>
    <t>INSERT - SLICERS</t>
  </si>
  <si>
    <t>INSERT - PIVOT CHARTS &amp; TABLES</t>
  </si>
  <si>
    <t>Rate Function</t>
  </si>
  <si>
    <t>REVENUE = Unit*Retail Price*(1-Selling Discount)</t>
  </si>
  <si>
    <t>Marks 1</t>
  </si>
  <si>
    <t>Marks 2</t>
  </si>
  <si>
    <t>Marks 3</t>
  </si>
  <si>
    <t>Item</t>
  </si>
  <si>
    <t>Quantity</t>
  </si>
  <si>
    <t>Store</t>
  </si>
  <si>
    <t>Laptop</t>
  </si>
  <si>
    <t>Chrome Book</t>
  </si>
  <si>
    <t>Mac Book</t>
  </si>
  <si>
    <t>Each</t>
  </si>
  <si>
    <t>Store 1</t>
  </si>
  <si>
    <t>Store 2</t>
  </si>
  <si>
    <t>1) Find Quantity of Laptop in March Month</t>
  </si>
  <si>
    <t>2) Find Total Qty of Mac Book</t>
  </si>
  <si>
    <t>3) Find Detail of Store 2</t>
  </si>
  <si>
    <t>Filter Store 2</t>
  </si>
  <si>
    <t>Homework</t>
  </si>
  <si>
    <t>Concert Budget</t>
  </si>
  <si>
    <t>Cost</t>
  </si>
  <si>
    <t>Venue:#seats</t>
  </si>
  <si>
    <t>Talent</t>
  </si>
  <si>
    <t>Venue Rental</t>
  </si>
  <si>
    <t>Amplefication</t>
  </si>
  <si>
    <t>Lighting</t>
  </si>
  <si>
    <t>Ticketing</t>
  </si>
  <si>
    <t>Security</t>
  </si>
  <si>
    <t>Insurance</t>
  </si>
  <si>
    <t>Total Cost</t>
  </si>
  <si>
    <t>Data - WhatIf Analysis - Scenario Manager</t>
  </si>
  <si>
    <t>$C$9</t>
  </si>
  <si>
    <t>$C$10</t>
  </si>
  <si>
    <t>$C$11</t>
  </si>
  <si>
    <t>$C$12</t>
  </si>
  <si>
    <t>$C$13</t>
  </si>
  <si>
    <t>$C$14</t>
  </si>
  <si>
    <t>$C$15</t>
  </si>
  <si>
    <t>$C$16</t>
  </si>
  <si>
    <t>Max Scenario</t>
  </si>
  <si>
    <t>Created by Jaimin Shah on 20-06-2024</t>
  </si>
  <si>
    <t>Min Scenario</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</si>
  <si>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</si>
  <si>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</si>
  <si>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</si>
  <si>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</si>
  <si>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</si>
  <si>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</si>
  <si>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</si>
  <si>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Data Table</t>
  </si>
  <si>
    <t>Principal Amount</t>
  </si>
  <si>
    <t>Rate of Interest</t>
  </si>
  <si>
    <t>No. of year</t>
  </si>
  <si>
    <t>Simple Interest</t>
  </si>
  <si>
    <t>1) Make one variable data table by changing the different Rate of Interest</t>
  </si>
  <si>
    <t>2) Make two variable data table by changing the different Rate of Interest and years</t>
  </si>
  <si>
    <t>Data-Whatif Analysis -Data Table</t>
  </si>
  <si>
    <t>Data-Whatif Analysis -Data Table - Single Variable Data Table</t>
  </si>
  <si>
    <t>Enter all percent</t>
  </si>
  <si>
    <t>Data-Whatif Analysis -Data Table - Double Variable Data Table</t>
  </si>
  <si>
    <t>Enter all pecents</t>
  </si>
  <si>
    <t xml:space="preserve"> enter principal amount in first row</t>
  </si>
  <si>
    <t>Book Price</t>
  </si>
  <si>
    <t>Quantity Sold</t>
  </si>
  <si>
    <t>Revenue</t>
  </si>
  <si>
    <t>1) Make one variable data table by changing the different Book Price</t>
  </si>
  <si>
    <t>2) Make two variable data table by changing the different Book Price and Quantity Sold</t>
  </si>
  <si>
    <t>Enter 5000 value by selecting cell</t>
  </si>
  <si>
    <t>Enter Simple Interest in one cell by selecting cell</t>
  </si>
  <si>
    <t>enter 2900 as cell value by selecting cell</t>
  </si>
  <si>
    <t>enter all book price manually</t>
  </si>
  <si>
    <t>select value for row for column and vice versa</t>
  </si>
  <si>
    <t>Advance Filter</t>
  </si>
  <si>
    <t>Sales Rep</t>
  </si>
  <si>
    <t>Region</t>
  </si>
  <si>
    <t>Jenny</t>
  </si>
  <si>
    <t>Rachel</t>
  </si>
  <si>
    <t>Martha</t>
  </si>
  <si>
    <t>Joe</t>
  </si>
  <si>
    <t>Tom</t>
  </si>
  <si>
    <t>Bob</t>
  </si>
  <si>
    <t>Greg</t>
  </si>
  <si>
    <t>Mike</t>
  </si>
  <si>
    <t>US</t>
  </si>
  <si>
    <t>Asia</t>
  </si>
  <si>
    <t>Data - Advanced</t>
  </si>
  <si>
    <t>Filter Short Key Ctrl+Shift+L</t>
  </si>
  <si>
    <t>1) Perform Advanced Filter to extract unique records</t>
  </si>
  <si>
    <t>2) Extract all records for the US with Sales more than 5000</t>
  </si>
  <si>
    <t>3) Extract all records from the US and Sales recorded after 31-03-2017</t>
  </si>
  <si>
    <t>4) Filter records when the region is US or the region is Asia</t>
  </si>
  <si>
    <t>6) Filter records where the Sales rep name starts fron J</t>
  </si>
  <si>
    <t>Procedure:</t>
  </si>
  <si>
    <t>1) Goal seek is used for particular formulated cell</t>
  </si>
  <si>
    <t xml:space="preserve">2) Goal seek finds value for unknown cell </t>
  </si>
  <si>
    <t>3) Cell must be formulated</t>
  </si>
  <si>
    <t>4) Goal Seek : 1) set cell: fomula value, 2) To value: desired value 3) By changing cell: cell whose value needs to be chaged</t>
  </si>
  <si>
    <t>Maximun</t>
  </si>
  <si>
    <t>5) select formulated cell - then select data-whtatif analysis - Goal seek</t>
  </si>
  <si>
    <t>MAXIMUM</t>
  </si>
  <si>
    <t>1) The final cell should be always formulated</t>
  </si>
  <si>
    <t>AVERAGE Cost</t>
  </si>
  <si>
    <t>$C$19</t>
  </si>
  <si>
    <t>$C$20</t>
  </si>
  <si>
    <t>$C$21</t>
  </si>
  <si>
    <t>$C$22</t>
  </si>
  <si>
    <t>$C$23</t>
  </si>
  <si>
    <t>$C$24</t>
  </si>
  <si>
    <t>$C$25</t>
  </si>
  <si>
    <t>4) Add Scenario</t>
  </si>
  <si>
    <t>3) Data - Whatif Analysis - Scenario Manager</t>
  </si>
  <si>
    <t>2) Select whole Table</t>
  </si>
  <si>
    <t>5) Scenario name: Max Avg. Scenario, Changing Cells: select all values in one column cell</t>
  </si>
  <si>
    <t>6) press ok</t>
  </si>
  <si>
    <t>7) Scenario Values: enter each higher values (for all) then the given values in cell</t>
  </si>
  <si>
    <t>8) press Add</t>
  </si>
  <si>
    <t>9) Similar procedure for Min Avg. Scenario</t>
  </si>
  <si>
    <t>10) press ok</t>
  </si>
  <si>
    <t>11) select summary</t>
  </si>
  <si>
    <t>12) select scenario summary</t>
  </si>
  <si>
    <t>13) press ok</t>
  </si>
  <si>
    <t>14) Table is created wth result in new sheet</t>
  </si>
  <si>
    <t>1) Enter all required percentage in single column</t>
  </si>
  <si>
    <t>2) Enter first value 5000 by selecting value in given cell</t>
  </si>
  <si>
    <t>4) select whole table</t>
  </si>
  <si>
    <t>3) select whole table</t>
  </si>
  <si>
    <t>4) select data - whatif analysis - Data table</t>
  </si>
  <si>
    <t>6) all other value are created for single variable data table</t>
  </si>
  <si>
    <t>2) Enter Simple Interest value from given cell on top of percentage values</t>
  </si>
  <si>
    <t>3) Enter manually different principal amounts manually</t>
  </si>
  <si>
    <t>5) select data -whatif analysis - Data table</t>
  </si>
  <si>
    <t>8) all other values are created for Double Vairable Data Table</t>
  </si>
  <si>
    <t>5) Filter records when the Sales rep is Bob or Martha</t>
  </si>
  <si>
    <t>$C$26</t>
  </si>
  <si>
    <t>Avg Max</t>
  </si>
  <si>
    <t>Created by Jaimin Shah on 22-06-2024</t>
  </si>
  <si>
    <t>Min Avg</t>
  </si>
  <si>
    <t>&gt;5000</t>
  </si>
  <si>
    <t>&gt;31-03-2017</t>
  </si>
  <si>
    <t>J</t>
  </si>
  <si>
    <t>Exercise 1: Make the following table in Excel</t>
  </si>
  <si>
    <t>Cycle Trader</t>
  </si>
  <si>
    <t xml:space="preserve">Bicycles </t>
  </si>
  <si>
    <t>Mopeds</t>
  </si>
  <si>
    <t>Child Seats</t>
  </si>
  <si>
    <t>Order Size</t>
  </si>
  <si>
    <t>Bicyles</t>
  </si>
  <si>
    <t>Resources Used</t>
  </si>
  <si>
    <t>Resources Available</t>
  </si>
  <si>
    <t>Total Profit</t>
  </si>
  <si>
    <t>What are the decisions to be made? For this problem, we need Excel to find out how much to order of each product (bicycles, mopeds and child seats).</t>
  </si>
  <si>
    <t>Storage</t>
  </si>
  <si>
    <t>&lt;=</t>
  </si>
  <si>
    <t xml:space="preserve">Capital </t>
  </si>
  <si>
    <t>Unit Profit</t>
  </si>
  <si>
    <t>sumproduct</t>
  </si>
  <si>
    <t>SOLVER</t>
  </si>
  <si>
    <t>Note:</t>
  </si>
  <si>
    <t>Product Name</t>
  </si>
  <si>
    <t>Boarding</t>
  </si>
  <si>
    <t>Toys</t>
  </si>
  <si>
    <t>Food</t>
  </si>
  <si>
    <t>Misc.</t>
  </si>
  <si>
    <t>Find the Average Sales of October</t>
  </si>
  <si>
    <t>Find Total Sales of September</t>
  </si>
  <si>
    <t>Find Total Records of August</t>
  </si>
  <si>
    <t>Find Maximum Sales of Toys</t>
  </si>
  <si>
    <t>Find Minimum Sales of Food</t>
  </si>
  <si>
    <t>Find Total Records of Toys</t>
  </si>
  <si>
    <t>Find Total Sales of Food</t>
  </si>
  <si>
    <t>DATABASE FUNCTIONS</t>
  </si>
  <si>
    <t>DAVERAGE</t>
  </si>
  <si>
    <t>DSUM</t>
  </si>
  <si>
    <t>DCOUNT</t>
  </si>
  <si>
    <t>DMAX</t>
  </si>
  <si>
    <t>DMIN</t>
  </si>
  <si>
    <t>1) Select Data - Advanced</t>
  </si>
  <si>
    <t>3) Select whole table range</t>
  </si>
  <si>
    <t>5) unique records to tick</t>
  </si>
  <si>
    <t>2) Advance Filter - Select  Copy to another location</t>
  </si>
  <si>
    <t>4) Copy to - selected cell where we want details</t>
  </si>
  <si>
    <t>2) Advance Filter - Select copy to another location</t>
  </si>
  <si>
    <t>in other location (e.g. Region US, Sales &gt;5000)</t>
  </si>
  <si>
    <t>4) Select criteria range by selecting and pasting</t>
  </si>
  <si>
    <t>1) Select Data  - Advanced</t>
  </si>
  <si>
    <t>5) Copy to - selected cell where we want details</t>
  </si>
  <si>
    <t>1) Give table name for UnitProfit, Capital, Storage, OrderSize, ResourcesUsed, ResourcesAvailable &amp; TotalProfit by selecting only values</t>
  </si>
  <si>
    <t>2) Use sumproduct function for Resources Used and Total Profit</t>
  </si>
  <si>
    <t>3) Use Solver by selecting it from Excel Options - Solver Add In</t>
  </si>
  <si>
    <t>A</t>
  </si>
  <si>
    <t>B</t>
  </si>
  <si>
    <t>Apples</t>
  </si>
  <si>
    <t>Bananas</t>
  </si>
  <si>
    <t>Lemons</t>
  </si>
  <si>
    <t>Sub-Totals</t>
  </si>
  <si>
    <t>1) Display the grand total of all 4 Sheets in a new Summary Sheet</t>
  </si>
  <si>
    <t>2) Calculate number of records, maximum and minimum value</t>
  </si>
  <si>
    <t>3D Formula &amp; Linking Workbooks</t>
  </si>
  <si>
    <t>Max</t>
  </si>
  <si>
    <t>Min</t>
  </si>
  <si>
    <t>1) use sum function</t>
  </si>
  <si>
    <t xml:space="preserve">MAX </t>
  </si>
  <si>
    <t>2) remove ! From Jan sheet and apply :</t>
  </si>
  <si>
    <t>3) Select respective cell of value and close the bracket</t>
  </si>
  <si>
    <t>4) Press Enter</t>
  </si>
  <si>
    <t>5) Simillary use MAX and MIN for calculation among all 4 sheets</t>
  </si>
  <si>
    <t>Advance Excel Class</t>
  </si>
  <si>
    <t>Data - Consolidate</t>
  </si>
  <si>
    <t>Note: Consolidate occurs only on Blank Sheet without any name</t>
  </si>
  <si>
    <t>Data - Data Validation</t>
  </si>
  <si>
    <t>S. No.</t>
  </si>
  <si>
    <t>Emp ID</t>
  </si>
  <si>
    <t>Emp Name</t>
  </si>
  <si>
    <t>Mobile No.</t>
  </si>
  <si>
    <t>Date of Joining</t>
  </si>
  <si>
    <t>1) S. No. is in between 1 to 100</t>
  </si>
  <si>
    <t>JAIM</t>
  </si>
  <si>
    <t>3) Mobile No. Should be 10 numbers in length</t>
  </si>
  <si>
    <t>4) Designation must be any one of these ( Manager, Accountant, Clerk, Faculty)</t>
  </si>
  <si>
    <t>Accountant</t>
  </si>
  <si>
    <t>b) select list</t>
  </si>
  <si>
    <t>c) type all designations</t>
  </si>
  <si>
    <t>5) Salary not more than 50000</t>
  </si>
  <si>
    <t>6) Date of joining should le less than today's date</t>
  </si>
  <si>
    <t>Cell format for all 4 sheets should be same except for vhanging values in cell</t>
  </si>
  <si>
    <t>a) sekect column S. No. all cells without</t>
  </si>
  <si>
    <t>headings</t>
  </si>
  <si>
    <t>b) Settings: Allow - Whole Numbers,</t>
  </si>
  <si>
    <t>Data - Between, Minimum: 1, Maximum: 100</t>
  </si>
  <si>
    <t>a) select column Emp ID all cells without headings</t>
  </si>
  <si>
    <t>b) settings: custom, Formula = AND(ISTEXT(B3), LEN(B3)&lt;-4)</t>
  </si>
  <si>
    <t>c) Press ok</t>
  </si>
  <si>
    <t>a) select column Mobile No. all cells without heading</t>
  </si>
  <si>
    <t>b) settings:   custom, Formula = AND(ISNUMBER(F3), LEN(F3)=10)</t>
  </si>
  <si>
    <t>d) press ok</t>
  </si>
  <si>
    <t>a) select whole column of Designation with heading</t>
  </si>
  <si>
    <t>a) select column Salary all cells without</t>
  </si>
  <si>
    <t>b) Allow: Whole Numbers, Data: Less than</t>
  </si>
  <si>
    <t>Maximum: 50000</t>
  </si>
  <si>
    <t>a) select coluumn Date of Joining all cells without headings</t>
  </si>
  <si>
    <t>b) Allow: Date, Data: Less than, End Date: = today()</t>
  </si>
  <si>
    <t xml:space="preserve">Last </t>
  </si>
  <si>
    <t>First</t>
  </si>
  <si>
    <t>TestScore</t>
  </si>
  <si>
    <t>Abderson</t>
  </si>
  <si>
    <t>Hannah</t>
  </si>
  <si>
    <t>Bautista</t>
  </si>
  <si>
    <t>Edward</t>
  </si>
  <si>
    <t>Blocker</t>
  </si>
  <si>
    <t>Miranda</t>
  </si>
  <si>
    <t>Burrows</t>
  </si>
  <si>
    <t xml:space="preserve">Chandler </t>
  </si>
  <si>
    <t>Joanna</t>
  </si>
  <si>
    <t>Colby</t>
  </si>
  <si>
    <t>Collin</t>
  </si>
  <si>
    <t>Crosby</t>
  </si>
  <si>
    <t>Mallory</t>
  </si>
  <si>
    <t>No of Records</t>
  </si>
  <si>
    <t>Maximum</t>
  </si>
  <si>
    <t>Minimum</t>
  </si>
  <si>
    <t>Orde Date</t>
  </si>
  <si>
    <t>Shipped Date</t>
  </si>
  <si>
    <t>Shipped To</t>
  </si>
  <si>
    <t>Items Name</t>
  </si>
  <si>
    <t>Bill Amount</t>
  </si>
  <si>
    <t>Transaction ID</t>
  </si>
  <si>
    <t>1) Transaction ID Should be  numeric only</t>
  </si>
  <si>
    <t>2) Order Date should be less than today date</t>
  </si>
  <si>
    <t>3) Ship Date should be greater than order date</t>
  </si>
  <si>
    <t>4) Shipped to must be character type</t>
  </si>
  <si>
    <t>5) Item Name must be any of these (Mouse, Printer, Monitor, Keyboard, Motherboard)</t>
  </si>
  <si>
    <t>6) Bill amount is in between 20000 and  100000</t>
  </si>
  <si>
    <t>DAY OUT BOAT TRIP</t>
  </si>
  <si>
    <t>Description</t>
  </si>
  <si>
    <t>Boat Rent</t>
  </si>
  <si>
    <t>Boat Fuel</t>
  </si>
  <si>
    <t>Life Vests</t>
  </si>
  <si>
    <t>Picnic</t>
  </si>
  <si>
    <t>Dinner</t>
  </si>
  <si>
    <t>Total Costs</t>
  </si>
  <si>
    <t>Group Size</t>
  </si>
  <si>
    <t>Cost per Person</t>
  </si>
  <si>
    <t>Calculate Total Costs and Cost per Person</t>
  </si>
  <si>
    <t>Display Trace Precedents total costs</t>
  </si>
  <si>
    <t>Display trace dependents group size</t>
  </si>
  <si>
    <t>Remove all arrows</t>
  </si>
  <si>
    <t>Show Formulas in entire Sheet</t>
  </si>
  <si>
    <t>Write a function in excel that #DIV/0! Not displayed</t>
  </si>
  <si>
    <t>If a cell contains an error, an empty String("") is displayed</t>
  </si>
  <si>
    <t>FORMULA - TRACE PRECEDENT, TRACE DEPEDENT, REMOVE ARROWS, SHOW FORMULAS</t>
  </si>
  <si>
    <t>IFERROR - ""</t>
  </si>
  <si>
    <t>GSTIN No.</t>
  </si>
  <si>
    <t>State Code</t>
  </si>
  <si>
    <t>PanCard No.</t>
  </si>
  <si>
    <t>Upper Case</t>
  </si>
  <si>
    <t>Andaman Nicobar Islands</t>
  </si>
  <si>
    <t>Andra Pradesh</t>
  </si>
  <si>
    <t>Assam</t>
  </si>
  <si>
    <t>Bihar</t>
  </si>
  <si>
    <t>Chandigarh</t>
  </si>
  <si>
    <t>Chattisgarh</t>
  </si>
  <si>
    <t>Dadr Nagar Haveli</t>
  </si>
  <si>
    <t>Delhi</t>
  </si>
  <si>
    <t>Diu Daman</t>
  </si>
  <si>
    <t>Goa</t>
  </si>
  <si>
    <t>Gujarat</t>
  </si>
  <si>
    <t>Haryana</t>
  </si>
  <si>
    <t>Himachal Pradesh</t>
  </si>
  <si>
    <t>Jammu &amp; Kashmir</t>
  </si>
  <si>
    <t>Jharkhand</t>
  </si>
  <si>
    <t>Karnataka</t>
  </si>
  <si>
    <t>Kerala</t>
  </si>
  <si>
    <t>Madya Pradesh</t>
  </si>
  <si>
    <t>Maharastra</t>
  </si>
  <si>
    <t>Orissa</t>
  </si>
  <si>
    <t>Pondicherry</t>
  </si>
  <si>
    <t>Punjab</t>
  </si>
  <si>
    <t>Rajasthan</t>
  </si>
  <si>
    <t>Tamil Nadu</t>
  </si>
  <si>
    <t>Telangana</t>
  </si>
  <si>
    <t>Tripura</t>
  </si>
  <si>
    <t>Uttar Pradesh</t>
  </si>
  <si>
    <t>Uttarkhand</t>
  </si>
  <si>
    <t>West Bengal</t>
  </si>
  <si>
    <t>37AABCS1429B1ZT</t>
  </si>
  <si>
    <t>35AABC5142981ZX</t>
  </si>
  <si>
    <t>18AABCS1420B1ZT</t>
  </si>
  <si>
    <t>10AABCS1429B1Z9</t>
  </si>
  <si>
    <t>04AABCS1429B2Z1</t>
  </si>
  <si>
    <t>22AABCS1429B1Z4</t>
  </si>
  <si>
    <t>26AABCS1429B1ZW</t>
  </si>
  <si>
    <t>07AABCS1429B1ZW</t>
  </si>
  <si>
    <t>25AABCS1429B1ZY</t>
  </si>
  <si>
    <t>30AABCS1429B1Z7</t>
  </si>
  <si>
    <t>24AABCS1429B1ZO</t>
  </si>
  <si>
    <t>06AABCS1429B1ZY</t>
  </si>
  <si>
    <t>02AABCS1429B1Z6</t>
  </si>
  <si>
    <t>01AABCS1429B1Z8</t>
  </si>
  <si>
    <t>20AABCS1429B1Z8</t>
  </si>
  <si>
    <t>29AABCS1429B1Z3</t>
  </si>
  <si>
    <t>32AABCS1429B1Z3</t>
  </si>
  <si>
    <t>23AABCS1429B1Z2</t>
  </si>
  <si>
    <t>27AABCS1429B1ZU</t>
  </si>
  <si>
    <t>21AABCS1429B1Z6</t>
  </si>
  <si>
    <t>34AABCS1429B1ZZ</t>
  </si>
  <si>
    <t>03AABCS1429B1Z4</t>
  </si>
  <si>
    <t>08AABCS1429B1ZU</t>
  </si>
  <si>
    <t>33AABCS1429B1Z1</t>
  </si>
  <si>
    <t>36AABCS1429B1ZV</t>
  </si>
  <si>
    <t>16AABCS1429B1ZX</t>
  </si>
  <si>
    <t>09AABCS1429B1ZS</t>
  </si>
  <si>
    <t>05AABCS1429BIZO</t>
  </si>
  <si>
    <t>19AABCS1429BIZR</t>
  </si>
  <si>
    <t>UPPER</t>
  </si>
  <si>
    <t>FORMULA - TEXT</t>
  </si>
  <si>
    <t>Exercise 1:</t>
  </si>
  <si>
    <t>1. Find the Standard Deviation of Following Numbers</t>
  </si>
  <si>
    <t>Number</t>
  </si>
  <si>
    <t>Score</t>
  </si>
  <si>
    <t>Answer</t>
  </si>
  <si>
    <t>2. Find the Standard Deviation of Following</t>
  </si>
  <si>
    <t>3. Find the Vairance of Following Data</t>
  </si>
  <si>
    <t xml:space="preserve">Name </t>
  </si>
  <si>
    <t>Height</t>
  </si>
  <si>
    <t>Susan</t>
  </si>
  <si>
    <t>Adam</t>
  </si>
  <si>
    <t>Sally</t>
  </si>
  <si>
    <t>Ayako</t>
  </si>
  <si>
    <t>4. Find the correlation between these two data set:</t>
  </si>
  <si>
    <t xml:space="preserve">X </t>
  </si>
  <si>
    <t>Y</t>
  </si>
  <si>
    <t>Exercise: 1</t>
  </si>
  <si>
    <t>STUDENT</t>
  </si>
  <si>
    <t xml:space="preserve">SCORE </t>
  </si>
  <si>
    <t>RANK</t>
  </si>
  <si>
    <t>Amrita</t>
  </si>
  <si>
    <t>Nikita</t>
  </si>
  <si>
    <t>Pratik</t>
  </si>
  <si>
    <t>Pooja</t>
  </si>
  <si>
    <t>Akshay</t>
  </si>
  <si>
    <t>Display the rank of each student using rank()</t>
  </si>
  <si>
    <t>Display the rank of each student using rank() in ascending order</t>
  </si>
  <si>
    <t>Ascending</t>
  </si>
  <si>
    <t>Descending</t>
  </si>
  <si>
    <t>Fn + F4 to lock cells</t>
  </si>
  <si>
    <t>VARA Function</t>
  </si>
  <si>
    <t>CORREL Function</t>
  </si>
  <si>
    <t>Bin</t>
  </si>
  <si>
    <t>More</t>
  </si>
  <si>
    <t>Frequency</t>
  </si>
  <si>
    <t>Draw Histogram Chart -Data Analysis</t>
  </si>
  <si>
    <t>Total costs/Group Size</t>
  </si>
  <si>
    <t># Relative Standing with Statistical Function</t>
  </si>
  <si>
    <t># Descriptive Statistical Functions</t>
  </si>
  <si>
    <t>FORMULAS - MORE FUNCTIONS  - STATISTICAL</t>
  </si>
  <si>
    <t>Order No.</t>
  </si>
  <si>
    <t>Driver's Name</t>
  </si>
  <si>
    <t>Number of Items</t>
  </si>
  <si>
    <t>Transport</t>
  </si>
  <si>
    <t>Destination</t>
  </si>
  <si>
    <t>John May</t>
  </si>
  <si>
    <t>Peter White</t>
  </si>
  <si>
    <t>Carl Nowak</t>
  </si>
  <si>
    <t>George Ramsay</t>
  </si>
  <si>
    <t>Mertl Pavel</t>
  </si>
  <si>
    <t>TV</t>
  </si>
  <si>
    <t>Washing Machine</t>
  </si>
  <si>
    <t>Refrigerator</t>
  </si>
  <si>
    <t>MicroWave</t>
  </si>
  <si>
    <t>Truck 4</t>
  </si>
  <si>
    <t>Truck 3</t>
  </si>
  <si>
    <t>Truck 1</t>
  </si>
  <si>
    <t>Truck 2</t>
  </si>
  <si>
    <t>Airplane</t>
  </si>
  <si>
    <t>Boston</t>
  </si>
  <si>
    <t>Baltimore</t>
  </si>
  <si>
    <t>Pittsburgh</t>
  </si>
  <si>
    <t>2) Number of microwave Orders:</t>
  </si>
  <si>
    <t>3) Number of Journeys with Truck 3:</t>
  </si>
  <si>
    <t>4) Sum of Refigeratior Items:</t>
  </si>
  <si>
    <t>5) Sum of washing machine items:</t>
  </si>
  <si>
    <t>6) Sum of items transported by Truck 4:</t>
  </si>
  <si>
    <t>7) Number of microwave orders in Boston:</t>
  </si>
  <si>
    <t>COUNTA</t>
  </si>
  <si>
    <t>8) Number of Peter White Journeys with Truck 1:</t>
  </si>
  <si>
    <t>COUNTIFS</t>
  </si>
  <si>
    <t>11) Sum of Microwaves transported to NY:</t>
  </si>
  <si>
    <t>12) Sum of Items transported to Pittsburgh by Truck 1:</t>
  </si>
  <si>
    <t>14) Sum of items transported to NY, Baltimore and Philadelphia:</t>
  </si>
  <si>
    <t>15)Average of refigerator items:</t>
  </si>
  <si>
    <t>AVERAGEIF</t>
  </si>
  <si>
    <t>SUMIFS</t>
  </si>
  <si>
    <t>Exercise: make the following Tax Invoice on Goods Local Sales</t>
  </si>
  <si>
    <t>TAX INVOICE</t>
  </si>
  <si>
    <t>DD ENTERPRISES</t>
  </si>
  <si>
    <t>985, GIDC, Sector - 2, Manjalpur,</t>
  </si>
  <si>
    <t>Vadodara, Gujarat-11</t>
  </si>
  <si>
    <t>PLACE OF SUPPLY</t>
  </si>
  <si>
    <t>INVOICE NO.</t>
  </si>
  <si>
    <t>DATE</t>
  </si>
  <si>
    <t>RK ELECTRICALS,</t>
  </si>
  <si>
    <t>VADODARA, GUJARAT-11</t>
  </si>
  <si>
    <t>DD-01</t>
  </si>
  <si>
    <t xml:space="preserve">Bill To </t>
  </si>
  <si>
    <t xml:space="preserve"> A-240, 24, KUNJ SOCIETY,  </t>
  </si>
  <si>
    <t xml:space="preserve">TARSALI, VADODARA, GUJARAT-11,   </t>
  </si>
  <si>
    <t xml:space="preserve">GSTN No.: 24ABBHGDS4512K1ZB               </t>
  </si>
  <si>
    <t>Description of Goods</t>
  </si>
  <si>
    <t>HSN CODE</t>
  </si>
  <si>
    <t>QTY.</t>
  </si>
  <si>
    <t>UNITS</t>
  </si>
  <si>
    <t xml:space="preserve">RATE </t>
  </si>
  <si>
    <t>AMOUNT</t>
  </si>
  <si>
    <t>LED BULBS</t>
  </si>
  <si>
    <t>BULBS</t>
  </si>
  <si>
    <t>TOTAL</t>
  </si>
  <si>
    <t>LESS DISCOUNT 20%</t>
  </si>
  <si>
    <t>TAXABLE VALUE</t>
  </si>
  <si>
    <t>SGST 6%</t>
  </si>
  <si>
    <t>CGST 6%</t>
  </si>
  <si>
    <t>TOTAL AMOUNT</t>
  </si>
  <si>
    <t>PCS.</t>
  </si>
  <si>
    <t>DOZENS</t>
  </si>
  <si>
    <r>
      <rPr>
        <b/>
        <sz val="11"/>
        <color theme="1"/>
        <rFont val="Calibri"/>
        <family val="2"/>
        <scheme val="minor"/>
      </rPr>
      <t xml:space="preserve">RK ELECTRICALS  </t>
    </r>
    <r>
      <rPr>
        <sz val="11"/>
        <color theme="1"/>
        <rFont val="Calibri"/>
        <family val="2"/>
        <scheme val="minor"/>
      </rPr>
      <t xml:space="preserve">        </t>
    </r>
  </si>
  <si>
    <t>1) Enter the Formula to display amount of items</t>
  </si>
  <si>
    <t>2) Display discounts @ 20%</t>
  </si>
  <si>
    <t>3) Calculate Taxes (SGST and CGST)</t>
  </si>
  <si>
    <t>4) Display total amount</t>
  </si>
  <si>
    <t>5) Protect the sheet in way that formula wont be displayed</t>
  </si>
  <si>
    <t>6) Lock the rate column</t>
  </si>
  <si>
    <t>PROTECTION IN EXCEL</t>
  </si>
  <si>
    <t xml:space="preserve"> Password to Protect Sheet: 123</t>
  </si>
  <si>
    <t>TAXABLE VALUE*6%</t>
  </si>
  <si>
    <t>TOTAL - LESS DISCOUNT 20%</t>
  </si>
  <si>
    <t>TOTAL* 20%</t>
  </si>
  <si>
    <t>SUM (TAXABLE VALUE + SGST + CGST)</t>
  </si>
  <si>
    <t>SUM (LED BULBS + BULBS)</t>
  </si>
  <si>
    <t>QTY. * RATE</t>
  </si>
  <si>
    <t>Format - Format cells - Protection</t>
  </si>
  <si>
    <t>Exercise: make a Sales Table given Below and Answer the following:</t>
  </si>
  <si>
    <t>Sales Amount</t>
  </si>
  <si>
    <t>Commission</t>
  </si>
  <si>
    <t>Total Salary</t>
  </si>
  <si>
    <t>Amit</t>
  </si>
  <si>
    <t>Ajay</t>
  </si>
  <si>
    <t>Bharuch</t>
  </si>
  <si>
    <t>1) Enter minimum 20 records in above table</t>
  </si>
  <si>
    <t>3) Display Total Salary</t>
  </si>
  <si>
    <t>4) Calculate Bonus of Employee: Bonus is 10% of Salary applicable for Total Salary more than 40000 and City is Vadodara</t>
  </si>
  <si>
    <t>IF (AND)</t>
  </si>
  <si>
    <t>IF(OR)</t>
  </si>
  <si>
    <t>S No</t>
  </si>
  <si>
    <t>Salesman</t>
  </si>
  <si>
    <t>Price</t>
  </si>
  <si>
    <t>Ajit Kumar</t>
  </si>
  <si>
    <t>East</t>
  </si>
  <si>
    <t>Rohit Das</t>
  </si>
  <si>
    <t>West</t>
  </si>
  <si>
    <t>Ramesh</t>
  </si>
  <si>
    <t>Scanner</t>
  </si>
  <si>
    <t>Chandu</t>
  </si>
  <si>
    <t>Speaker</t>
  </si>
  <si>
    <t>Siddhu</t>
  </si>
  <si>
    <t>North</t>
  </si>
  <si>
    <t>South</t>
  </si>
  <si>
    <t>DASHBOARD</t>
  </si>
  <si>
    <t>Apr</t>
  </si>
  <si>
    <t>Jun</t>
  </si>
  <si>
    <t>Jul</t>
  </si>
  <si>
    <t>Aug</t>
  </si>
  <si>
    <t>Sep</t>
  </si>
  <si>
    <t>Oct</t>
  </si>
  <si>
    <t>Nov</t>
  </si>
  <si>
    <t>Dec</t>
  </si>
  <si>
    <t>Sum of Qty</t>
  </si>
  <si>
    <t>CONDITIONAL FORMATING</t>
  </si>
  <si>
    <t>HOME  -  CONDITIONAL FORMATING</t>
  </si>
  <si>
    <t>IF (OR)</t>
  </si>
  <si>
    <t>HRA is 10% of Basic only for Manager or Officer</t>
  </si>
  <si>
    <t>Unit Sold = Total Sales/Unit Price</t>
  </si>
  <si>
    <t>IF(WEEKDAY)</t>
  </si>
  <si>
    <t>Monrths</t>
  </si>
  <si>
    <t>Sum of Quantity</t>
  </si>
  <si>
    <t>7) Row is column and clolumn is Row</t>
  </si>
  <si>
    <t>Double Variabe</t>
  </si>
  <si>
    <t>Single Variabe</t>
  </si>
  <si>
    <t>5) select column cell (5%) from given table with formulated cell</t>
  </si>
  <si>
    <t>6) select row input value in cell (%5) from given table with formulated cell</t>
  </si>
  <si>
    <t>7) select principal amount input value in cell (50000) from given table with formulated cell</t>
  </si>
  <si>
    <t>8) Note: Given table should have one formulated cell in relation for which value for other variable is found</t>
  </si>
  <si>
    <t>9)  Note: Given table should have one formulated cell in relation for which value for two variable is found</t>
  </si>
  <si>
    <t>SAIM</t>
  </si>
  <si>
    <t>MUSK</t>
  </si>
  <si>
    <t>Manager</t>
  </si>
  <si>
    <t>Faculty</t>
  </si>
  <si>
    <t>NJUH</t>
  </si>
  <si>
    <t>JAIU</t>
  </si>
  <si>
    <t>KUSH</t>
  </si>
  <si>
    <t>2) Emp Name should be of 4 characters</t>
  </si>
  <si>
    <t>SURAT</t>
  </si>
  <si>
    <t>BHAVNAGAR</t>
  </si>
  <si>
    <t>NADIAD</t>
  </si>
  <si>
    <t>VADODARA</t>
  </si>
  <si>
    <t>BOMBAY</t>
  </si>
  <si>
    <t>VERAWAL</t>
  </si>
  <si>
    <t>Motherboard</t>
  </si>
  <si>
    <t>STDEVA Function</t>
  </si>
  <si>
    <t>9) Number of Orders in Boston after 03-02-2013:</t>
  </si>
  <si>
    <t>1) Number of Orders in Boston:</t>
  </si>
  <si>
    <t>10) Number of Orders between 03-02-2013 and 06-02-2013:</t>
  </si>
  <si>
    <t>Review - Protect Sheet - Format - Protect Sheet</t>
  </si>
  <si>
    <t>2) Calculate commission of Employees: 10% Commission is applicable only for employees belong to Vadodara or Surat</t>
  </si>
  <si>
    <t>Find the number of employee whose salary is more than 10000</t>
  </si>
  <si>
    <t>WEEKNUM</t>
  </si>
  <si>
    <t>VLOOKUP (COLUMNS)</t>
  </si>
  <si>
    <t>copy from Gernany to India and then select copy location and select then Paste Special</t>
  </si>
  <si>
    <t xml:space="preserve"> INDEX</t>
  </si>
  <si>
    <t>PMT - periodic payment, FV - Future Value, PPMT -Principal per Month, IPMT - Interest Payment</t>
  </si>
  <si>
    <t>4) Place country in Report Filter</t>
  </si>
  <si>
    <t>4) Take order size, ResourcesUsed and TotalProfit intially as 0 as we have to find these values by using Solver</t>
  </si>
  <si>
    <t>5) Select solver, select TotalProfit cell for set objectives, select orderzize values for "by changing variable cells' and then add Resouces used values and ResourcesAvl values in Constraints</t>
  </si>
  <si>
    <t>13) Sum of items ordered between 03-02-2013 and 06-02-2013:</t>
  </si>
  <si>
    <t>SUMIFS 3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</si>
</sst>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 #,##0.00;[Red]&quot;₹&quot;\ \-#,##0.00"/>
    <numFmt numFmtId="164" formatCode="_-[$$-409]* #,##0.00_ ;_-[$$-409]* \-#,##0.00\ ;_-[$$-409]* &quot;-&quot;??_ ;_-@_ "/>
    <numFmt numFmtId="165" formatCode="_-[$$-409]* #,##0_ ;_-[$$-409]* \-#,##0\ ;_-[$$-409]* &quot;-&quot;??_ ;_-@_ "/>
    <numFmt numFmtId="166" formatCode="0.000"/>
  </numFmts>
  <fonts count="16" x14ac:knownFonts="1">
    <font>
      <sz val="11"/>
      <color theme="1"/>
      <name val="Calibri"/>
      <family val="2"/>
      <scheme val="minor"/>
    </font>
    <font>
      <b/>
      <sz val="11"/>
      <color theme="1"/>
      <name val="Calibri"/>
      <family val="2"/>
      <scheme val="minor"/>
    </font>
    <font>
      <sz val="8"/>
      <name val="Calibri"/>
      <family val="2"/>
      <scheme val="minor"/>
    </font>
    <font>
      <b/>
      <sz val="11"/>
      <color theme="1"/>
      <name val="Calibri"/>
      <family val="2"/>
    </font>
    <font>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b/>
      <sz val="11"/>
      <color rgb="FFFF0000"/>
      <name val="Calibri"/>
      <family val="2"/>
      <scheme val="minor"/>
    </font>
    <font>
      <sz val="11"/>
      <color rgb="FFFF0000"/>
      <name val="Calibri"/>
      <family val="2"/>
      <scheme val="minor"/>
    </font>
    <font>
      <i/>
      <sz val="11"/>
      <color theme="1"/>
      <name val="Calibri"/>
      <family val="2"/>
      <scheme val="minor"/>
    </font>
    <font>
      <b/>
      <sz val="11"/>
      <name val="Calibri"/>
      <family val="2"/>
      <scheme val="minor"/>
    </font>
    <font>
      <sz val="14"/>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4" fillId="0" borderId="0" applyFont="0" applyFill="0" applyBorder="0" applyAlignment="0" applyProtection="0"/>
    <xf numFmtId="0" fontId="14" fillId="0" borderId="0"/>
  </cellStyleXfs>
  <cellXfs count="149">
    <xf numFmtId="0" fontId="0" fillId="0" borderId="0" xfId="0"/>
    <xf numFmtId="0" fontId="0" fillId="0" borderId="0" xfId="0" applyAlignment="1">
      <alignment horizontal="center"/>
    </xf>
    <xf numFmtId="0" fontId="0" fillId="2" borderId="1" xfId="0" applyFill="1" applyBorder="1" applyAlignment="1">
      <alignment horizontal="center" vertical="center"/>
    </xf>
    <xf numFmtId="0" fontId="0" fillId="0" borderId="1" xfId="0" applyBorder="1" applyAlignment="1">
      <alignment horizontal="center"/>
    </xf>
    <xf numFmtId="1" fontId="0" fillId="0" borderId="1" xfId="0" applyNumberFormat="1" applyBorder="1" applyAlignment="1">
      <alignment horizontal="center"/>
    </xf>
    <xf numFmtId="0" fontId="1" fillId="0" borderId="0" xfId="0" applyFont="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horizontal="center" vertical="center"/>
    </xf>
    <xf numFmtId="0" fontId="0" fillId="0" borderId="2" xfId="0" applyBorder="1" applyAlignment="1">
      <alignment horizontal="center"/>
    </xf>
    <xf numFmtId="0" fontId="1" fillId="0" borderId="0" xfId="0" applyFont="1"/>
    <xf numFmtId="0" fontId="1" fillId="3" borderId="1" xfId="0" applyFont="1" applyFill="1" applyBorder="1" applyAlignment="1">
      <alignment horizontal="center" vertical="center"/>
    </xf>
    <xf numFmtId="0" fontId="1" fillId="4" borderId="1" xfId="0" applyFont="1" applyFill="1" applyBorder="1" applyAlignment="1">
      <alignment horizontal="center"/>
    </xf>
    <xf numFmtId="0" fontId="0" fillId="0" borderId="1" xfId="0" applyBorder="1"/>
    <xf numFmtId="164" fontId="0" fillId="0" borderId="1" xfId="0" applyNumberFormat="1" applyBorder="1"/>
    <xf numFmtId="164" fontId="0" fillId="0" borderId="1" xfId="0" applyNumberFormat="1" applyBorder="1" applyAlignment="1">
      <alignment horizontal="right"/>
    </xf>
    <xf numFmtId="2" fontId="0" fillId="0" borderId="1" xfId="0" applyNumberFormat="1" applyBorder="1"/>
    <xf numFmtId="2" fontId="0" fillId="0" borderId="1" xfId="0" applyNumberFormat="1" applyBorder="1" applyAlignment="1">
      <alignment horizontal="right"/>
    </xf>
    <xf numFmtId="0" fontId="1" fillId="4" borderId="1" xfId="0" applyFont="1" applyFill="1" applyBorder="1"/>
    <xf numFmtId="0" fontId="0" fillId="0" borderId="1" xfId="0" applyBorder="1" applyAlignment="1">
      <alignment horizontal="lef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2" borderId="3" xfId="0" applyFill="1" applyBorder="1" applyAlignment="1">
      <alignment horizontal="center" vertical="center"/>
    </xf>
    <xf numFmtId="0" fontId="0" fillId="5" borderId="0" xfId="0" applyFill="1" applyAlignment="1">
      <alignment horizontal="center" vertical="center"/>
    </xf>
    <xf numFmtId="0" fontId="1" fillId="0" borderId="1" xfId="0" applyFont="1" applyBorder="1"/>
    <xf numFmtId="15" fontId="0" fillId="0" borderId="1" xfId="0" applyNumberFormat="1" applyBorder="1"/>
    <xf numFmtId="0" fontId="1" fillId="0" borderId="1" xfId="0" applyFont="1" applyBorder="1" applyAlignment="1">
      <alignment horizontal="center"/>
    </xf>
    <xf numFmtId="14" fontId="0" fillId="0" borderId="1" xfId="0" applyNumberFormat="1" applyBorder="1"/>
    <xf numFmtId="22" fontId="0" fillId="0" borderId="1" xfId="0" applyNumberFormat="1" applyBorder="1"/>
    <xf numFmtId="0" fontId="1" fillId="6" borderId="1" xfId="0" applyFont="1" applyFill="1" applyBorder="1" applyAlignment="1">
      <alignment horizontal="center"/>
    </xf>
    <xf numFmtId="0" fontId="1" fillId="7" borderId="1" xfId="0" applyFont="1" applyFill="1" applyBorder="1" applyAlignment="1">
      <alignment horizontal="center"/>
    </xf>
    <xf numFmtId="9" fontId="1" fillId="0" borderId="1" xfId="0" applyNumberFormat="1" applyFont="1" applyBorder="1" applyAlignment="1">
      <alignment horizontal="center"/>
    </xf>
    <xf numFmtId="9" fontId="0" fillId="0" borderId="0" xfId="1" applyFont="1"/>
    <xf numFmtId="0" fontId="1" fillId="5" borderId="1" xfId="0" applyFont="1" applyFill="1" applyBorder="1" applyAlignment="1">
      <alignment horizontal="center"/>
    </xf>
    <xf numFmtId="0" fontId="0" fillId="0" borderId="0" xfId="0"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 fillId="6" borderId="5" xfId="0" applyFont="1" applyFill="1" applyBorder="1" applyAlignment="1">
      <alignment horizontal="center"/>
    </xf>
    <xf numFmtId="0" fontId="0" fillId="0" borderId="1" xfId="0" applyBorder="1" applyAlignment="1">
      <alignment horizontal="left"/>
    </xf>
    <xf numFmtId="0" fontId="1" fillId="0" borderId="1" xfId="0" applyFont="1" applyBorder="1" applyAlignment="1">
      <alignment horizontal="left"/>
    </xf>
    <xf numFmtId="9" fontId="0" fillId="0" borderId="0" xfId="0" applyNumberFormat="1"/>
    <xf numFmtId="9" fontId="0" fillId="0" borderId="1" xfId="0" applyNumberFormat="1" applyBorder="1"/>
    <xf numFmtId="9" fontId="0" fillId="0" borderId="1" xfId="0" applyNumberFormat="1" applyBorder="1" applyAlignment="1">
      <alignment horizontal="center"/>
    </xf>
    <xf numFmtId="0" fontId="0" fillId="0" borderId="6" xfId="0" applyBorder="1" applyAlignment="1">
      <alignment horizontal="center"/>
    </xf>
    <xf numFmtId="0" fontId="0" fillId="0" borderId="6" xfId="0" applyBorder="1"/>
    <xf numFmtId="8" fontId="0" fillId="0" borderId="1" xfId="0" applyNumberFormat="1" applyBorder="1"/>
    <xf numFmtId="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5" fontId="0" fillId="0" borderId="1" xfId="0" applyNumberFormat="1" applyBorder="1" applyAlignment="1">
      <alignment horizontal="center"/>
    </xf>
    <xf numFmtId="9" fontId="0" fillId="0" borderId="1" xfId="0" applyNumberFormat="1" applyBorder="1" applyAlignment="1">
      <alignment horizontal="right"/>
    </xf>
    <xf numFmtId="9" fontId="0" fillId="0" borderId="1" xfId="1" applyFont="1" applyBorder="1" applyAlignment="1">
      <alignment horizontal="right"/>
    </xf>
    <xf numFmtId="9" fontId="0" fillId="0" borderId="1" xfId="1" applyFont="1" applyBorder="1"/>
    <xf numFmtId="165" fontId="0" fillId="0" borderId="1" xfId="0" applyNumberFormat="1" applyBorder="1"/>
    <xf numFmtId="165" fontId="0" fillId="0" borderId="0" xfId="0" applyNumberFormat="1"/>
    <xf numFmtId="165" fontId="0" fillId="0" borderId="10" xfId="0" applyNumberFormat="1" applyBorder="1"/>
    <xf numFmtId="0" fontId="5" fillId="8" borderId="4" xfId="0" applyFont="1" applyFill="1" applyBorder="1" applyAlignment="1">
      <alignment horizontal="left"/>
    </xf>
    <xf numFmtId="0" fontId="5" fillId="8" borderId="9" xfId="0" applyFont="1" applyFill="1" applyBorder="1" applyAlignment="1">
      <alignment horizontal="left"/>
    </xf>
    <xf numFmtId="0" fontId="0" fillId="0" borderId="7" xfId="0" applyBorder="1"/>
    <xf numFmtId="0" fontId="6" fillId="9" borderId="0" xfId="0" applyFont="1" applyFill="1" applyAlignment="1">
      <alignment horizontal="left"/>
    </xf>
    <xf numFmtId="0" fontId="7" fillId="9" borderId="7" xfId="0" applyFont="1" applyFill="1" applyBorder="1" applyAlignment="1">
      <alignment horizontal="left"/>
    </xf>
    <xf numFmtId="0" fontId="6" fillId="9" borderId="10" xfId="0" applyFont="1" applyFill="1" applyBorder="1" applyAlignment="1">
      <alignment horizontal="left"/>
    </xf>
    <xf numFmtId="0" fontId="8" fillId="8" borderId="9" xfId="0" applyFont="1" applyFill="1" applyBorder="1" applyAlignment="1">
      <alignment horizontal="right"/>
    </xf>
    <xf numFmtId="0" fontId="8" fillId="8" borderId="4" xfId="0" applyFont="1" applyFill="1" applyBorder="1" applyAlignment="1">
      <alignment horizontal="right"/>
    </xf>
    <xf numFmtId="165" fontId="0" fillId="10" borderId="0" xfId="0" applyNumberFormat="1" applyFill="1"/>
    <xf numFmtId="0" fontId="0" fillId="10" borderId="0" xfId="0" applyFill="1"/>
    <xf numFmtId="0" fontId="9" fillId="0" borderId="0" xfId="0" applyFont="1" applyAlignment="1">
      <alignment vertical="top" wrapText="1"/>
    </xf>
    <xf numFmtId="14" fontId="0" fillId="0" borderId="1" xfId="0" applyNumberFormat="1" applyBorder="1" applyAlignment="1">
      <alignment horizontal="center"/>
    </xf>
    <xf numFmtId="0" fontId="1" fillId="11" borderId="1" xfId="0" applyFont="1" applyFill="1" applyBorder="1" applyAlignment="1">
      <alignment horizontal="center"/>
    </xf>
    <xf numFmtId="0" fontId="10" fillId="0" borderId="0" xfId="0" applyFont="1"/>
    <xf numFmtId="0" fontId="1" fillId="0" borderId="2" xfId="0" applyFont="1" applyBorder="1"/>
    <xf numFmtId="14" fontId="0" fillId="0" borderId="0" xfId="0" applyNumberFormat="1"/>
    <xf numFmtId="0" fontId="10" fillId="4" borderId="1" xfId="0" applyFont="1" applyFill="1" applyBorder="1" applyAlignment="1">
      <alignment horizontal="center"/>
    </xf>
    <xf numFmtId="164" fontId="0" fillId="0" borderId="1" xfId="0" applyNumberFormat="1" applyBorder="1" applyAlignment="1">
      <alignment horizontal="center"/>
    </xf>
    <xf numFmtId="164" fontId="0" fillId="0" borderId="0" xfId="0" applyNumberFormat="1"/>
    <xf numFmtId="0" fontId="11" fillId="0" borderId="0" xfId="0" applyFont="1"/>
    <xf numFmtId="0" fontId="1" fillId="0" borderId="0" xfId="0" applyFont="1" applyAlignment="1">
      <alignment horizontal="left"/>
    </xf>
    <xf numFmtId="0" fontId="10" fillId="5" borderId="0" xfId="0" applyFont="1" applyFill="1"/>
    <xf numFmtId="0" fontId="0" fillId="0" borderId="10" xfId="0" applyBorder="1"/>
    <xf numFmtId="0" fontId="12" fillId="0" borderId="11" xfId="0" applyFont="1" applyBorder="1" applyAlignment="1">
      <alignment horizontal="center"/>
    </xf>
    <xf numFmtId="0" fontId="0" fillId="0" borderId="5" xfId="0" applyBorder="1" applyAlignment="1">
      <alignment horizontal="center"/>
    </xf>
    <xf numFmtId="0" fontId="0" fillId="0" borderId="2" xfId="0" applyBorder="1" applyAlignment="1">
      <alignment horizontal="left"/>
    </xf>
    <xf numFmtId="0" fontId="10" fillId="0" borderId="0" xfId="0" applyFont="1" applyAlignment="1">
      <alignment horizontal="center"/>
    </xf>
    <xf numFmtId="0" fontId="0" fillId="0" borderId="1" xfId="0" applyBorder="1" applyProtection="1">
      <protection hidden="1"/>
    </xf>
    <xf numFmtId="0" fontId="1" fillId="0" borderId="1" xfId="0" applyFont="1" applyBorder="1" applyAlignment="1" applyProtection="1">
      <alignment horizontal="center"/>
      <protection hidden="1"/>
    </xf>
    <xf numFmtId="0" fontId="1" fillId="0" borderId="1" xfId="0" applyFont="1" applyBorder="1" applyAlignment="1" applyProtection="1">
      <alignment vertical="top"/>
      <protection hidden="1"/>
    </xf>
    <xf numFmtId="0" fontId="0" fillId="0" borderId="1" xfId="0" applyBorder="1" applyAlignment="1" applyProtection="1">
      <alignment vertical="top"/>
      <protection hidden="1"/>
    </xf>
    <xf numFmtId="0" fontId="0" fillId="0" borderId="1" xfId="0" applyBorder="1" applyAlignment="1" applyProtection="1">
      <alignment horizontal="center"/>
      <protection hidden="1"/>
    </xf>
    <xf numFmtId="9" fontId="0" fillId="0" borderId="1" xfId="1" applyFont="1" applyBorder="1" applyAlignment="1" applyProtection="1">
      <alignment horizontal="center"/>
      <protection hidden="1"/>
    </xf>
    <xf numFmtId="0" fontId="15" fillId="4" borderId="1" xfId="2" applyFont="1" applyFill="1" applyBorder="1" applyAlignment="1">
      <alignment horizontal="left"/>
    </xf>
    <xf numFmtId="0" fontId="15" fillId="4" borderId="1" xfId="2" applyFont="1" applyFill="1" applyBorder="1" applyAlignment="1">
      <alignment horizontal="center"/>
    </xf>
    <xf numFmtId="0" fontId="15" fillId="4" borderId="1" xfId="2" applyFont="1" applyFill="1" applyBorder="1"/>
    <xf numFmtId="166" fontId="15" fillId="4" borderId="1" xfId="2" applyNumberFormat="1" applyFont="1" applyFill="1" applyBorder="1"/>
    <xf numFmtId="0" fontId="14" fillId="0" borderId="1" xfId="2" applyBorder="1" applyAlignment="1">
      <alignment horizontal="left"/>
    </xf>
    <xf numFmtId="14" fontId="14" fillId="0" borderId="1" xfId="2" applyNumberFormat="1" applyBorder="1" applyAlignment="1">
      <alignment horizontal="center"/>
    </xf>
    <xf numFmtId="0" fontId="14" fillId="0" borderId="1" xfId="2" applyBorder="1"/>
    <xf numFmtId="166" fontId="14" fillId="0" borderId="1" xfId="2" applyNumberFormat="1" applyBorder="1"/>
    <xf numFmtId="10" fontId="0" fillId="0" borderId="0" xfId="0" applyNumberFormat="1"/>
    <xf numFmtId="0" fontId="0" fillId="0" borderId="8" xfId="0" applyBorder="1" applyAlignment="1">
      <alignment horizontal="center"/>
    </xf>
    <xf numFmtId="22" fontId="0" fillId="0" borderId="0" xfId="0" applyNumberFormat="1"/>
    <xf numFmtId="14" fontId="0" fillId="0" borderId="0" xfId="0" applyNumberFormat="1" applyAlignment="1">
      <alignment horizontal="center"/>
    </xf>
    <xf numFmtId="0" fontId="1" fillId="5" borderId="0" xfId="0" applyFont="1" applyFill="1" applyAlignment="1">
      <alignment horizontal="center"/>
    </xf>
    <xf numFmtId="0" fontId="0" fillId="5" borderId="0" xfId="0" applyFill="1" applyAlignment="1">
      <alignment horizontal="center"/>
    </xf>
    <xf numFmtId="0" fontId="0" fillId="0" borderId="8" xfId="0" applyBorder="1"/>
    <xf numFmtId="0" fontId="0" fillId="0" borderId="3" xfId="0" applyBorder="1"/>
    <xf numFmtId="0" fontId="1" fillId="0" borderId="1" xfId="0" applyFont="1" applyBorder="1" applyAlignment="1" applyProtection="1">
      <alignment horizontal="center" vertical="top"/>
      <protection hidden="1"/>
    </xf>
    <xf numFmtId="0" fontId="1" fillId="0" borderId="1" xfId="0" applyFont="1" applyBorder="1" applyProtection="1">
      <protection hidden="1"/>
    </xf>
    <xf numFmtId="0" fontId="1" fillId="0" borderId="15" xfId="0" applyFont="1" applyBorder="1" applyAlignment="1">
      <alignment horizontal="center"/>
    </xf>
    <xf numFmtId="0" fontId="1" fillId="0" borderId="0" xfId="0" applyFont="1" applyAlignment="1">
      <alignment horizontal="center" vertical="center" wrapText="1"/>
    </xf>
    <xf numFmtId="0" fontId="1" fillId="5" borderId="1"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1" fillId="7" borderId="0" xfId="0" applyFont="1" applyFill="1" applyAlignment="1">
      <alignment horizontal="center"/>
    </xf>
    <xf numFmtId="0" fontId="0" fillId="0" borderId="1"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8" fontId="0" fillId="0" borderId="6" xfId="0" applyNumberFormat="1" applyBorder="1" applyAlignment="1">
      <alignment horizontal="center"/>
    </xf>
    <xf numFmtId="0" fontId="0" fillId="0" borderId="8" xfId="0" applyBorder="1" applyAlignment="1">
      <alignment horizontal="center"/>
    </xf>
    <xf numFmtId="8" fontId="0" fillId="0" borderId="8" xfId="0" applyNumberFormat="1" applyBorder="1" applyAlignment="1">
      <alignment horizontal="center"/>
    </xf>
    <xf numFmtId="0" fontId="1" fillId="4" borderId="6" xfId="0" applyFont="1" applyFill="1" applyBorder="1" applyAlignment="1">
      <alignment horizontal="center"/>
    </xf>
    <xf numFmtId="0" fontId="1" fillId="4" borderId="8" xfId="0" applyFont="1" applyFill="1" applyBorder="1" applyAlignment="1">
      <alignment horizontal="center"/>
    </xf>
    <xf numFmtId="0" fontId="10" fillId="0" borderId="4" xfId="0" applyFont="1" applyBorder="1" applyAlignment="1">
      <alignment horizontal="center"/>
    </xf>
    <xf numFmtId="0" fontId="10" fillId="0" borderId="1" xfId="0" applyFont="1" applyBorder="1" applyAlignment="1">
      <alignment horizontal="center"/>
    </xf>
    <xf numFmtId="0" fontId="1" fillId="0" borderId="1" xfId="0" applyFont="1" applyBorder="1" applyAlignment="1">
      <alignment horizontal="left"/>
    </xf>
    <xf numFmtId="0" fontId="10" fillId="0" borderId="6" xfId="0"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0" fontId="13" fillId="3" borderId="0" xfId="0" applyFont="1" applyFill="1" applyAlignment="1">
      <alignment horizontal="center"/>
    </xf>
    <xf numFmtId="0" fontId="1" fillId="3" borderId="0" xfId="0" applyFont="1" applyFill="1" applyAlignment="1">
      <alignment horizontal="center"/>
    </xf>
    <xf numFmtId="0" fontId="10" fillId="0" borderId="0" xfId="0" applyFont="1" applyAlignment="1">
      <alignment horizontal="center"/>
    </xf>
    <xf numFmtId="0" fontId="0" fillId="0" borderId="3" xfId="0" applyBorder="1" applyAlignment="1" applyProtection="1">
      <alignment horizontal="center"/>
      <protection hidden="1"/>
    </xf>
    <xf numFmtId="0" fontId="0" fillId="0" borderId="2" xfId="0" applyBorder="1" applyAlignment="1" applyProtection="1">
      <alignment horizontal="center"/>
      <protection hidden="1"/>
    </xf>
    <xf numFmtId="0" fontId="0" fillId="0" borderId="12" xfId="0" applyBorder="1" applyAlignment="1" applyProtection="1">
      <alignment horizontal="center"/>
      <protection hidden="1"/>
    </xf>
    <xf numFmtId="14" fontId="0" fillId="0" borderId="13" xfId="0" applyNumberFormat="1" applyBorder="1" applyAlignment="1" applyProtection="1">
      <alignment horizontal="center"/>
      <protection hidden="1"/>
    </xf>
    <xf numFmtId="14" fontId="0" fillId="0" borderId="14" xfId="0" applyNumberFormat="1" applyBorder="1" applyAlignment="1" applyProtection="1">
      <alignment horizontal="center"/>
      <protection hidden="1"/>
    </xf>
    <xf numFmtId="14" fontId="0" fillId="0" borderId="5" xfId="0" applyNumberFormat="1" applyBorder="1" applyAlignment="1" applyProtection="1">
      <alignment horizontal="center"/>
      <protection hidden="1"/>
    </xf>
    <xf numFmtId="14" fontId="0" fillId="0" borderId="15" xfId="0" applyNumberFormat="1" applyBorder="1" applyAlignment="1" applyProtection="1">
      <alignment horizontal="center"/>
      <protection hidden="1"/>
    </xf>
    <xf numFmtId="14" fontId="0" fillId="0" borderId="16" xfId="0" applyNumberFormat="1" applyBorder="1" applyAlignment="1" applyProtection="1">
      <alignment horizontal="center"/>
      <protection hidden="1"/>
    </xf>
    <xf numFmtId="14" fontId="0" fillId="0" borderId="17" xfId="0" applyNumberFormat="1" applyBorder="1" applyAlignment="1" applyProtection="1">
      <alignment horizontal="center"/>
      <protection hidden="1"/>
    </xf>
    <xf numFmtId="0" fontId="1" fillId="0" borderId="1" xfId="0" applyFont="1" applyBorder="1" applyAlignment="1" applyProtection="1">
      <alignment horizontal="center"/>
      <protection hidden="1"/>
    </xf>
    <xf numFmtId="0" fontId="0" fillId="0" borderId="0" xfId="0" applyNumberFormat="1"/>
  </cellXfs>
  <cellStyles count="3">
    <cellStyle name="Normal" xfId="0" builtinId="0"/>
    <cellStyle name="Normal 2" xfId="2" xr:uid="{AFB4BE86-6C9B-4DB4-BC6E-9D7339CFA1ED}"/>
    <cellStyle name="Percent" xfId="1" builtinId="5"/>
  </cellStyles>
  <dxfs count="6">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microsoft.com/office/2007/relationships/slicerCache" Target="slicerCaches/slicerCache4.xml"/><Relationship Id="rId68"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pivotCacheDefinition" Target="pivotCache/pivotCacheDefinition2.xml"/><Relationship Id="rId66" Type="http://schemas.microsoft.com/office/2007/relationships/slicerCache" Target="slicerCaches/slicerCache7.xml"/><Relationship Id="rId5" Type="http://schemas.openxmlformats.org/officeDocument/2006/relationships/worksheet" Target="worksheets/sheet5.xml"/><Relationship Id="rId61" Type="http://schemas.microsoft.com/office/2007/relationships/slicerCache" Target="slicerCaches/slicerCache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microsoft.com/office/2007/relationships/slicerCache" Target="slicerCaches/slicerCache5.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pivotCacheDefinition" Target="pivotCache/pivotCacheDefinition3.xml"/><Relationship Id="rId67" Type="http://schemas.microsoft.com/office/2011/relationships/timelineCache" Target="timelineCaches/timelineCach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microsoft.com/office/2007/relationships/slicerCache" Target="slicerCaches/slicerCache3.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pivotCacheDefinition" Target="pivotCache/pivotCacheDefinition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microsoft.com/office/2007/relationships/slicerCache" Target="slicerCaches/slicerCache1.xml"/><Relationship Id="rId65"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FISHES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'Lecture 6B'!$C$2</c:f>
              <c:strCache>
                <c:ptCount val="1"/>
                <c:pt idx="0">
                  <c:v>BEARS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'Lecture 6B'!$B$3:$B$9</c:f>
              <c:strCache>
                <c:ptCount val="7"/>
                <c:pt idx="0">
                  <c:v>JAN</c:v>
                </c:pt>
                <c:pt idx="1">
                  <c:v>FEB</c:v>
                </c:pt>
                <c:pt idx="2">
                  <c:v>MAR</c:v>
                </c:pt>
                <c:pt idx="3">
                  <c:v>APR</c:v>
                </c:pt>
                <c:pt idx="4">
                  <c:v>MAY</c:v>
                </c:pt>
                <c:pt idx="5">
                  <c:v>JUN</c:v>
                </c:pt>
                <c:pt idx="6">
                  <c:v>JUL</c:v>
                </c:pt>
              </c:strCache>
            </c:strRef>
          </c:cat>
          <c:val>
            <c:numRef>
              <c:f>'Lecture 6B'!$C$3:$C$9</c:f>
              <c:numCache>
                <c:formatCode>General</c:formatCode>
                <c:ptCount val="7"/>
                <c:pt idx="0">
                  <c:v>8</c:v>
                </c:pt>
                <c:pt idx="1">
                  <c:v>54</c:v>
                </c:pt>
                <c:pt idx="2">
                  <c:v>93</c:v>
                </c:pt>
                <c:pt idx="3">
                  <c:v>116</c:v>
                </c:pt>
                <c:pt idx="4">
                  <c:v>150</c:v>
                </c:pt>
                <c:pt idx="5">
                  <c:v>184</c:v>
                </c:pt>
                <c:pt idx="6">
                  <c:v>150</c:v>
                </c:pt>
              </c:numCache>
            </c:numRef>
          </c:val>
          <c:extLst>
            <c:ext xmlns:c16="http://schemas.microsoft.com/office/drawing/2014/chart" uri="{C3380CC4-5D6E-409C-BE32-E72D297353CC}">
              <c16:uniqueId val="{00000000-BE60-48A8-8F96-C42C0BD29D6B}"/>
            </c:ext>
          </c:extLst>
        </c:ser>
        <c:ser>
          <c:idx val="1"/>
          <c:order val="1"/>
          <c:tx>
            <c:strRef>
              <c:f>'Lecture 6B'!$D$2</c:f>
              <c:strCache>
                <c:ptCount val="1"/>
                <c:pt idx="0">
                  <c:v>DOLPHINS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6B'!$B$3:$B$9</c:f>
              <c:strCache>
                <c:ptCount val="7"/>
                <c:pt idx="0">
                  <c:v>JAN</c:v>
                </c:pt>
                <c:pt idx="1">
                  <c:v>FEB</c:v>
                </c:pt>
                <c:pt idx="2">
                  <c:v>MAR</c:v>
                </c:pt>
                <c:pt idx="3">
                  <c:v>APR</c:v>
                </c:pt>
                <c:pt idx="4">
                  <c:v>MAY</c:v>
                </c:pt>
                <c:pt idx="5">
                  <c:v>JUN</c:v>
                </c:pt>
                <c:pt idx="6">
                  <c:v>JUL</c:v>
                </c:pt>
              </c:strCache>
            </c:strRef>
          </c:cat>
          <c:val>
            <c:numRef>
              <c:f>'Lecture 6B'!$D$3:$D$9</c:f>
              <c:numCache>
                <c:formatCode>General</c:formatCode>
                <c:ptCount val="7"/>
                <c:pt idx="0">
                  <c:v>150</c:v>
                </c:pt>
                <c:pt idx="1">
                  <c:v>77</c:v>
                </c:pt>
                <c:pt idx="2">
                  <c:v>32</c:v>
                </c:pt>
                <c:pt idx="3">
                  <c:v>65</c:v>
                </c:pt>
                <c:pt idx="4">
                  <c:v>52</c:v>
                </c:pt>
                <c:pt idx="5">
                  <c:v>42</c:v>
                </c:pt>
                <c:pt idx="6">
                  <c:v>6</c:v>
                </c:pt>
              </c:numCache>
            </c:numRef>
          </c:val>
          <c:extLst>
            <c:ext xmlns:c16="http://schemas.microsoft.com/office/drawing/2014/chart" uri="{C3380CC4-5D6E-409C-BE32-E72D297353CC}">
              <c16:uniqueId val="{00000001-BE60-48A8-8F96-C42C0BD29D6B}"/>
            </c:ext>
          </c:extLst>
        </c:ser>
        <c:ser>
          <c:idx val="2"/>
          <c:order val="2"/>
          <c:tx>
            <c:strRef>
              <c:f>'Lecture 6B'!$E$2</c:f>
              <c:strCache>
                <c:ptCount val="1"/>
                <c:pt idx="0">
                  <c:v>WHALES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6B'!$B$3:$B$9</c:f>
              <c:strCache>
                <c:ptCount val="7"/>
                <c:pt idx="0">
                  <c:v>JAN</c:v>
                </c:pt>
                <c:pt idx="1">
                  <c:v>FEB</c:v>
                </c:pt>
                <c:pt idx="2">
                  <c:v>MAR</c:v>
                </c:pt>
                <c:pt idx="3">
                  <c:v>APR</c:v>
                </c:pt>
                <c:pt idx="4">
                  <c:v>MAY</c:v>
                </c:pt>
                <c:pt idx="5">
                  <c:v>JUN</c:v>
                </c:pt>
                <c:pt idx="6">
                  <c:v>JUL</c:v>
                </c:pt>
              </c:strCache>
            </c:strRef>
          </c:cat>
          <c:val>
            <c:numRef>
              <c:f>'Lecture 6B'!$E$3:$E$9</c:f>
              <c:numCache>
                <c:formatCode>General</c:formatCode>
                <c:ptCount val="7"/>
                <c:pt idx="0">
                  <c:v>80</c:v>
                </c:pt>
                <c:pt idx="1">
                  <c:v>54</c:v>
                </c:pt>
                <c:pt idx="2">
                  <c:v>90</c:v>
                </c:pt>
                <c:pt idx="3">
                  <c:v>125</c:v>
                </c:pt>
                <c:pt idx="4">
                  <c:v>76</c:v>
                </c:pt>
                <c:pt idx="5">
                  <c:v>95</c:v>
                </c:pt>
                <c:pt idx="6">
                  <c:v>71</c:v>
                </c:pt>
              </c:numCache>
            </c:numRef>
          </c:val>
          <c:extLst>
            <c:ext xmlns:c16="http://schemas.microsoft.com/office/drawing/2014/chart" uri="{C3380CC4-5D6E-409C-BE32-E72D297353CC}">
              <c16:uniqueId val="{00000002-BE60-48A8-8F96-C42C0BD29D6B}"/>
            </c:ext>
          </c:extLst>
        </c:ser>
        <c:dLbls>
          <c:dLblPos val="outEnd"/>
          <c:showLegendKey val="0"/>
          <c:showVal val="1"/>
          <c:showCatName val="0"/>
          <c:showSerName val="0"/>
          <c:showPercent val="0"/>
          <c:showBubbleSize val="0"/>
        </c:dLbls>
        <c:gapWidth val="219"/>
        <c:overlap val="-27"/>
        <c:axId val="1479497616"/>
        <c:axId val="1479553824"/>
      </c:barChart>
      <c:catAx>
        <c:axId val="1479497616"/>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79553824"/>
        <c:crosses val="autoZero"/>
        <c:auto val="1"/>
        <c:lblAlgn val="ctr"/>
        <c:lblOffset val="100"/>
        <c:noMultiLvlLbl val="0"/>
      </c:catAx>
      <c:valAx>
        <c:axId val="1479553824"/>
        <c:scaling>
          <c:orientation val="minMax"/>
        </c:scaling>
        <c:delete val="0"/>
        <c:axPos val="l"/>
        <c:majorGridlines>
          <c:spPr>
            <a:ln w="9525" cap="flat" cmpd="sng" algn="ctr">
              <a:solidFill>
                <a:sysClr val="windowText" lastClr="000000"/>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49761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FISHES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'Lecture 6B'!$B$3:$B$9</c:f>
              <c:strCache>
                <c:ptCount val="7"/>
                <c:pt idx="0">
                  <c:v>JAN</c:v>
                </c:pt>
                <c:pt idx="1">
                  <c:v>FEB</c:v>
                </c:pt>
                <c:pt idx="2">
                  <c:v>MAR</c:v>
                </c:pt>
                <c:pt idx="3">
                  <c:v>APR</c:v>
                </c:pt>
                <c:pt idx="4">
                  <c:v>MAY</c:v>
                </c:pt>
                <c:pt idx="5">
                  <c:v>JUN</c:v>
                </c:pt>
                <c:pt idx="6">
                  <c:v>JUL</c:v>
                </c:pt>
              </c:strCache>
            </c:strRef>
          </c:cat>
          <c:val>
            <c:numRef>
              <c:f>'Lecture 6B'!$C$3:$C$9</c:f>
              <c:numCache>
                <c:formatCode>General</c:formatCode>
                <c:ptCount val="7"/>
                <c:pt idx="0">
                  <c:v>8</c:v>
                </c:pt>
                <c:pt idx="1">
                  <c:v>54</c:v>
                </c:pt>
                <c:pt idx="2">
                  <c:v>93</c:v>
                </c:pt>
                <c:pt idx="3">
                  <c:v>116</c:v>
                </c:pt>
                <c:pt idx="4">
                  <c:v>150</c:v>
                </c:pt>
                <c:pt idx="5">
                  <c:v>184</c:v>
                </c:pt>
                <c:pt idx="6">
                  <c:v>150</c:v>
                </c:pt>
              </c:numCache>
            </c:numRef>
          </c:val>
          <c:smooth val="0"/>
          <c:extLst>
            <c:ext xmlns:c16="http://schemas.microsoft.com/office/drawing/2014/chart" uri="{C3380CC4-5D6E-409C-BE32-E72D297353CC}">
              <c16:uniqueId val="{00000000-ED97-4AA5-AE3A-A3F1CDBE5CBB}"/>
            </c:ext>
          </c:extLst>
        </c:ser>
        <c:ser>
          <c:idx val="1"/>
          <c:order val="1"/>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6B'!$B$3:$B$9</c:f>
              <c:strCache>
                <c:ptCount val="7"/>
                <c:pt idx="0">
                  <c:v>JAN</c:v>
                </c:pt>
                <c:pt idx="1">
                  <c:v>FEB</c:v>
                </c:pt>
                <c:pt idx="2">
                  <c:v>MAR</c:v>
                </c:pt>
                <c:pt idx="3">
                  <c:v>APR</c:v>
                </c:pt>
                <c:pt idx="4">
                  <c:v>MAY</c:v>
                </c:pt>
                <c:pt idx="5">
                  <c:v>JUN</c:v>
                </c:pt>
                <c:pt idx="6">
                  <c:v>JUL</c:v>
                </c:pt>
              </c:strCache>
            </c:strRef>
          </c:cat>
          <c:val>
            <c:numRef>
              <c:f>'Lecture 6B'!$D$3:$D$9</c:f>
              <c:numCache>
                <c:formatCode>General</c:formatCode>
                <c:ptCount val="7"/>
                <c:pt idx="0">
                  <c:v>150</c:v>
                </c:pt>
                <c:pt idx="1">
                  <c:v>77</c:v>
                </c:pt>
                <c:pt idx="2">
                  <c:v>32</c:v>
                </c:pt>
                <c:pt idx="3">
                  <c:v>65</c:v>
                </c:pt>
                <c:pt idx="4">
                  <c:v>52</c:v>
                </c:pt>
                <c:pt idx="5">
                  <c:v>42</c:v>
                </c:pt>
                <c:pt idx="6">
                  <c:v>6</c:v>
                </c:pt>
              </c:numCache>
            </c:numRef>
          </c:val>
          <c:smooth val="0"/>
          <c:extLst>
            <c:ext xmlns:c16="http://schemas.microsoft.com/office/drawing/2014/chart" uri="{C3380CC4-5D6E-409C-BE32-E72D297353CC}">
              <c16:uniqueId val="{00000001-ED97-4AA5-AE3A-A3F1CDBE5CBB}"/>
            </c:ext>
          </c:extLst>
        </c:ser>
        <c:ser>
          <c:idx val="2"/>
          <c:order val="2"/>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6B'!$B$3:$B$9</c:f>
              <c:strCache>
                <c:ptCount val="7"/>
                <c:pt idx="0">
                  <c:v>JAN</c:v>
                </c:pt>
                <c:pt idx="1">
                  <c:v>FEB</c:v>
                </c:pt>
                <c:pt idx="2">
                  <c:v>MAR</c:v>
                </c:pt>
                <c:pt idx="3">
                  <c:v>APR</c:v>
                </c:pt>
                <c:pt idx="4">
                  <c:v>MAY</c:v>
                </c:pt>
                <c:pt idx="5">
                  <c:v>JUN</c:v>
                </c:pt>
                <c:pt idx="6">
                  <c:v>JUL</c:v>
                </c:pt>
              </c:strCache>
            </c:strRef>
          </c:cat>
          <c:val>
            <c:numRef>
              <c:f>'Lecture 6B'!$E$3:$E$9</c:f>
              <c:numCache>
                <c:formatCode>General</c:formatCode>
                <c:ptCount val="7"/>
                <c:pt idx="0">
                  <c:v>80</c:v>
                </c:pt>
                <c:pt idx="1">
                  <c:v>54</c:v>
                </c:pt>
                <c:pt idx="2">
                  <c:v>90</c:v>
                </c:pt>
                <c:pt idx="3">
                  <c:v>125</c:v>
                </c:pt>
                <c:pt idx="4">
                  <c:v>76</c:v>
                </c:pt>
                <c:pt idx="5">
                  <c:v>95</c:v>
                </c:pt>
                <c:pt idx="6">
                  <c:v>71</c:v>
                </c:pt>
              </c:numCache>
            </c:numRef>
          </c:val>
          <c:smooth val="0"/>
          <c:extLst>
            <c:ext xmlns:c16="http://schemas.microsoft.com/office/drawing/2014/chart" uri="{C3380CC4-5D6E-409C-BE32-E72D297353CC}">
              <c16:uniqueId val="{00000002-ED97-4AA5-AE3A-A3F1CDBE5CBB}"/>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1791309600"/>
        <c:axId val="1791324000"/>
      </c:lineChart>
      <c:catAx>
        <c:axId val="179130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324000"/>
        <c:crosses val="autoZero"/>
        <c:auto val="1"/>
        <c:lblAlgn val="ctr"/>
        <c:lblOffset val="100"/>
        <c:noMultiLvlLbl val="0"/>
      </c:catAx>
      <c:valAx>
        <c:axId val="1791324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309600"/>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layout>
        <c:manualLayout>
          <c:xMode val="edge"/>
          <c:yMode val="edge"/>
          <c:x val="4.3690944881889758E-2"/>
          <c:y val="0.14393518518518519"/>
          <c:w val="0.8792847769028870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FISHES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sp3d/>
            </c:spPr>
            <c:extLst>
              <c:ext xmlns:c16="http://schemas.microsoft.com/office/drawing/2014/chart" uri="{C3380CC4-5D6E-409C-BE32-E72D297353CC}">
                <c16:uniqueId val="{00000001-3DFA-4943-ADA8-87B67C4911C9}"/>
              </c:ext>
            </c:extLst>
          </c:dPt>
          <c:dPt>
            <c:idx val="1"/>
            <c:bubble3D val="0"/>
            <c:spPr>
              <a:solidFill>
                <a:schemeClr val="accent2"/>
              </a:solidFill>
              <a:ln>
                <a:noFill/>
              </a:ln>
              <a:effectLst/>
              <a:sp3d/>
            </c:spPr>
            <c:extLst>
              <c:ext xmlns:c16="http://schemas.microsoft.com/office/drawing/2014/chart" uri="{C3380CC4-5D6E-409C-BE32-E72D297353CC}">
                <c16:uniqueId val="{00000003-3DFA-4943-ADA8-87B67C4911C9}"/>
              </c:ext>
            </c:extLst>
          </c:dPt>
          <c:dPt>
            <c:idx val="2"/>
            <c:bubble3D val="0"/>
            <c:spPr>
              <a:solidFill>
                <a:schemeClr val="accent3"/>
              </a:solidFill>
              <a:ln>
                <a:noFill/>
              </a:ln>
              <a:effectLst/>
              <a:sp3d/>
            </c:spPr>
            <c:extLst>
              <c:ext xmlns:c16="http://schemas.microsoft.com/office/drawing/2014/chart" uri="{C3380CC4-5D6E-409C-BE32-E72D297353CC}">
                <c16:uniqueId val="{00000005-3DFA-4943-ADA8-87B67C4911C9}"/>
              </c:ext>
            </c:extLst>
          </c:dPt>
          <c:dPt>
            <c:idx val="3"/>
            <c:bubble3D val="0"/>
            <c:spPr>
              <a:solidFill>
                <a:schemeClr val="accent4"/>
              </a:solidFill>
              <a:ln>
                <a:noFill/>
              </a:ln>
              <a:effectLst/>
              <a:sp3d/>
            </c:spPr>
            <c:extLst>
              <c:ext xmlns:c16="http://schemas.microsoft.com/office/drawing/2014/chart" uri="{C3380CC4-5D6E-409C-BE32-E72D297353CC}">
                <c16:uniqueId val="{00000007-3DFA-4943-ADA8-87B67C4911C9}"/>
              </c:ext>
            </c:extLst>
          </c:dPt>
          <c:dPt>
            <c:idx val="4"/>
            <c:bubble3D val="0"/>
            <c:spPr>
              <a:solidFill>
                <a:schemeClr val="accent5"/>
              </a:solidFill>
              <a:ln>
                <a:noFill/>
              </a:ln>
              <a:effectLst/>
              <a:sp3d/>
            </c:spPr>
            <c:extLst>
              <c:ext xmlns:c16="http://schemas.microsoft.com/office/drawing/2014/chart" uri="{C3380CC4-5D6E-409C-BE32-E72D297353CC}">
                <c16:uniqueId val="{00000009-3DFA-4943-ADA8-87B67C4911C9}"/>
              </c:ext>
            </c:extLst>
          </c:dPt>
          <c:dPt>
            <c:idx val="5"/>
            <c:bubble3D val="0"/>
            <c:spPr>
              <a:solidFill>
                <a:schemeClr val="accent6"/>
              </a:solidFill>
              <a:ln>
                <a:noFill/>
              </a:ln>
              <a:effectLst/>
              <a:sp3d/>
            </c:spPr>
            <c:extLst>
              <c:ext xmlns:c16="http://schemas.microsoft.com/office/drawing/2014/chart" uri="{C3380CC4-5D6E-409C-BE32-E72D297353CC}">
                <c16:uniqueId val="{0000000B-3DFA-4943-ADA8-87B67C4911C9}"/>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3DFA-4943-ADA8-87B67C4911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'Lecture 6B'!$B$3:$B$9</c:f>
              <c:strCache>
                <c:ptCount val="7"/>
                <c:pt idx="0">
                  <c:v>JAN</c:v>
                </c:pt>
                <c:pt idx="1">
                  <c:v>FEB</c:v>
                </c:pt>
                <c:pt idx="2">
                  <c:v>MAR</c:v>
                </c:pt>
                <c:pt idx="3">
                  <c:v>APR</c:v>
                </c:pt>
                <c:pt idx="4">
                  <c:v>MAY</c:v>
                </c:pt>
                <c:pt idx="5">
                  <c:v>JUN</c:v>
                </c:pt>
                <c:pt idx="6">
                  <c:v>JUL</c:v>
                </c:pt>
              </c:strCache>
            </c:strRef>
          </c:cat>
          <c:val>
            <c:numRef>
              <c:f>'Lecture 6B'!$C$3:$C$9</c:f>
              <c:numCache>
                <c:formatCode>General</c:formatCode>
                <c:ptCount val="7"/>
                <c:pt idx="0">
                  <c:v>8</c:v>
                </c:pt>
                <c:pt idx="1">
                  <c:v>54</c:v>
                </c:pt>
                <c:pt idx="2">
                  <c:v>93</c:v>
                </c:pt>
                <c:pt idx="3">
                  <c:v>116</c:v>
                </c:pt>
                <c:pt idx="4">
                  <c:v>150</c:v>
                </c:pt>
                <c:pt idx="5">
                  <c:v>184</c:v>
                </c:pt>
                <c:pt idx="6">
                  <c:v>150</c:v>
                </c:pt>
              </c:numCache>
            </c:numRef>
          </c:val>
          <c:extLst>
            <c:ext xmlns:c16="http://schemas.microsoft.com/office/drawing/2014/chart" uri="{C3380CC4-5D6E-409C-BE32-E72D297353CC}">
              <c16:uniqueId val="{00000001-E9D4-4AC2-913A-798C5BE36428}"/>
            </c:ext>
          </c:extLst>
        </c:ser>
        <c:ser>
          <c:idx val="1"/>
          <c:order val="1"/>
          <c:dPt>
            <c:idx val="0"/>
            <c:bubble3D val="0"/>
            <c:spPr>
              <a:solidFill>
                <a:schemeClr val="accent1"/>
              </a:solidFill>
              <a:ln>
                <a:noFill/>
              </a:ln>
              <a:effectLst/>
              <a:sp3d/>
            </c:spPr>
            <c:extLst>
              <c:ext xmlns:c16="http://schemas.microsoft.com/office/drawing/2014/chart" uri="{C3380CC4-5D6E-409C-BE32-E72D297353CC}">
                <c16:uniqueId val="{0000000F-3DFA-4943-ADA8-87B67C4911C9}"/>
              </c:ext>
            </c:extLst>
          </c:dPt>
          <c:dPt>
            <c:idx val="1"/>
            <c:bubble3D val="0"/>
            <c:spPr>
              <a:solidFill>
                <a:schemeClr val="accent2"/>
              </a:solidFill>
              <a:ln>
                <a:noFill/>
              </a:ln>
              <a:effectLst/>
              <a:sp3d/>
            </c:spPr>
            <c:extLst>
              <c:ext xmlns:c16="http://schemas.microsoft.com/office/drawing/2014/chart" uri="{C3380CC4-5D6E-409C-BE32-E72D297353CC}">
                <c16:uniqueId val="{00000011-3DFA-4943-ADA8-87B67C4911C9}"/>
              </c:ext>
            </c:extLst>
          </c:dPt>
          <c:dPt>
            <c:idx val="2"/>
            <c:bubble3D val="0"/>
            <c:spPr>
              <a:solidFill>
                <a:schemeClr val="accent3"/>
              </a:solidFill>
              <a:ln>
                <a:noFill/>
              </a:ln>
              <a:effectLst/>
              <a:sp3d/>
            </c:spPr>
            <c:extLst>
              <c:ext xmlns:c16="http://schemas.microsoft.com/office/drawing/2014/chart" uri="{C3380CC4-5D6E-409C-BE32-E72D297353CC}">
                <c16:uniqueId val="{00000013-3DFA-4943-ADA8-87B67C4911C9}"/>
              </c:ext>
            </c:extLst>
          </c:dPt>
          <c:dPt>
            <c:idx val="3"/>
            <c:bubble3D val="0"/>
            <c:spPr>
              <a:solidFill>
                <a:schemeClr val="accent4"/>
              </a:solidFill>
              <a:ln>
                <a:noFill/>
              </a:ln>
              <a:effectLst/>
              <a:sp3d/>
            </c:spPr>
            <c:extLst>
              <c:ext xmlns:c16="http://schemas.microsoft.com/office/drawing/2014/chart" uri="{C3380CC4-5D6E-409C-BE32-E72D297353CC}">
                <c16:uniqueId val="{00000015-3DFA-4943-ADA8-87B67C4911C9}"/>
              </c:ext>
            </c:extLst>
          </c:dPt>
          <c:dPt>
            <c:idx val="4"/>
            <c:bubble3D val="0"/>
            <c:spPr>
              <a:solidFill>
                <a:schemeClr val="accent5"/>
              </a:solidFill>
              <a:ln>
                <a:noFill/>
              </a:ln>
              <a:effectLst/>
              <a:sp3d/>
            </c:spPr>
            <c:extLst>
              <c:ext xmlns:c16="http://schemas.microsoft.com/office/drawing/2014/chart" uri="{C3380CC4-5D6E-409C-BE32-E72D297353CC}">
                <c16:uniqueId val="{00000017-3DFA-4943-ADA8-87B67C4911C9}"/>
              </c:ext>
            </c:extLst>
          </c:dPt>
          <c:dPt>
            <c:idx val="5"/>
            <c:bubble3D val="0"/>
            <c:spPr>
              <a:solidFill>
                <a:schemeClr val="accent6"/>
              </a:solidFill>
              <a:ln>
                <a:noFill/>
              </a:ln>
              <a:effectLst/>
              <a:sp3d/>
            </c:spPr>
            <c:extLst>
              <c:ext xmlns:c16="http://schemas.microsoft.com/office/drawing/2014/chart" uri="{C3380CC4-5D6E-409C-BE32-E72D297353CC}">
                <c16:uniqueId val="{00000019-3DFA-4943-ADA8-87B67C4911C9}"/>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1B-3DFA-4943-ADA8-87B67C4911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'Lecture 6B'!$B$3:$B$9</c:f>
              <c:strCache>
                <c:ptCount val="7"/>
                <c:pt idx="0">
                  <c:v>JAN</c:v>
                </c:pt>
                <c:pt idx="1">
                  <c:v>FEB</c:v>
                </c:pt>
                <c:pt idx="2">
                  <c:v>MAR</c:v>
                </c:pt>
                <c:pt idx="3">
                  <c:v>APR</c:v>
                </c:pt>
                <c:pt idx="4">
                  <c:v>MAY</c:v>
                </c:pt>
                <c:pt idx="5">
                  <c:v>JUN</c:v>
                </c:pt>
                <c:pt idx="6">
                  <c:v>JUL</c:v>
                </c:pt>
              </c:strCache>
            </c:strRef>
          </c:cat>
          <c:val>
            <c:numRef>
              <c:f>'Lecture 6B'!$D$3:$D$9</c:f>
              <c:numCache>
                <c:formatCode>General</c:formatCode>
                <c:ptCount val="7"/>
                <c:pt idx="0">
                  <c:v>150</c:v>
                </c:pt>
                <c:pt idx="1">
                  <c:v>77</c:v>
                </c:pt>
                <c:pt idx="2">
                  <c:v>32</c:v>
                </c:pt>
                <c:pt idx="3">
                  <c:v>65</c:v>
                </c:pt>
                <c:pt idx="4">
                  <c:v>52</c:v>
                </c:pt>
                <c:pt idx="5">
                  <c:v>42</c:v>
                </c:pt>
                <c:pt idx="6">
                  <c:v>6</c:v>
                </c:pt>
              </c:numCache>
            </c:numRef>
          </c:val>
          <c:extLst>
            <c:ext xmlns:c16="http://schemas.microsoft.com/office/drawing/2014/chart" uri="{C3380CC4-5D6E-409C-BE32-E72D297353CC}">
              <c16:uniqueId val="{00000002-E9D4-4AC2-913A-798C5BE36428}"/>
            </c:ext>
          </c:extLst>
        </c:ser>
        <c:ser>
          <c:idx val="2"/>
          <c:order val="2"/>
          <c:dPt>
            <c:idx val="0"/>
            <c:bubble3D val="0"/>
            <c:spPr>
              <a:solidFill>
                <a:schemeClr val="accent1"/>
              </a:solidFill>
              <a:ln>
                <a:noFill/>
              </a:ln>
              <a:effectLst/>
              <a:sp3d/>
            </c:spPr>
            <c:extLst>
              <c:ext xmlns:c16="http://schemas.microsoft.com/office/drawing/2014/chart" uri="{C3380CC4-5D6E-409C-BE32-E72D297353CC}">
                <c16:uniqueId val="{0000001D-3DFA-4943-ADA8-87B67C4911C9}"/>
              </c:ext>
            </c:extLst>
          </c:dPt>
          <c:dPt>
            <c:idx val="1"/>
            <c:bubble3D val="0"/>
            <c:spPr>
              <a:solidFill>
                <a:schemeClr val="accent2"/>
              </a:solidFill>
              <a:ln>
                <a:noFill/>
              </a:ln>
              <a:effectLst/>
              <a:sp3d/>
            </c:spPr>
            <c:extLst>
              <c:ext xmlns:c16="http://schemas.microsoft.com/office/drawing/2014/chart" uri="{C3380CC4-5D6E-409C-BE32-E72D297353CC}">
                <c16:uniqueId val="{0000001F-3DFA-4943-ADA8-87B67C4911C9}"/>
              </c:ext>
            </c:extLst>
          </c:dPt>
          <c:dPt>
            <c:idx val="2"/>
            <c:bubble3D val="0"/>
            <c:spPr>
              <a:solidFill>
                <a:schemeClr val="accent3"/>
              </a:solidFill>
              <a:ln>
                <a:noFill/>
              </a:ln>
              <a:effectLst/>
              <a:sp3d/>
            </c:spPr>
            <c:extLst>
              <c:ext xmlns:c16="http://schemas.microsoft.com/office/drawing/2014/chart" uri="{C3380CC4-5D6E-409C-BE32-E72D297353CC}">
                <c16:uniqueId val="{00000021-3DFA-4943-ADA8-87B67C4911C9}"/>
              </c:ext>
            </c:extLst>
          </c:dPt>
          <c:dPt>
            <c:idx val="3"/>
            <c:bubble3D val="0"/>
            <c:spPr>
              <a:solidFill>
                <a:schemeClr val="accent4"/>
              </a:solidFill>
              <a:ln>
                <a:noFill/>
              </a:ln>
              <a:effectLst/>
              <a:sp3d/>
            </c:spPr>
            <c:extLst>
              <c:ext xmlns:c16="http://schemas.microsoft.com/office/drawing/2014/chart" uri="{C3380CC4-5D6E-409C-BE32-E72D297353CC}">
                <c16:uniqueId val="{00000023-3DFA-4943-ADA8-87B67C4911C9}"/>
              </c:ext>
            </c:extLst>
          </c:dPt>
          <c:dPt>
            <c:idx val="4"/>
            <c:bubble3D val="0"/>
            <c:spPr>
              <a:solidFill>
                <a:schemeClr val="accent5"/>
              </a:solidFill>
              <a:ln>
                <a:noFill/>
              </a:ln>
              <a:effectLst/>
              <a:sp3d/>
            </c:spPr>
            <c:extLst>
              <c:ext xmlns:c16="http://schemas.microsoft.com/office/drawing/2014/chart" uri="{C3380CC4-5D6E-409C-BE32-E72D297353CC}">
                <c16:uniqueId val="{00000025-3DFA-4943-ADA8-87B67C4911C9}"/>
              </c:ext>
            </c:extLst>
          </c:dPt>
          <c:dPt>
            <c:idx val="5"/>
            <c:bubble3D val="0"/>
            <c:spPr>
              <a:solidFill>
                <a:schemeClr val="accent6"/>
              </a:solidFill>
              <a:ln>
                <a:noFill/>
              </a:ln>
              <a:effectLst/>
              <a:sp3d/>
            </c:spPr>
            <c:extLst>
              <c:ext xmlns:c16="http://schemas.microsoft.com/office/drawing/2014/chart" uri="{C3380CC4-5D6E-409C-BE32-E72D297353CC}">
                <c16:uniqueId val="{00000027-3DFA-4943-ADA8-87B67C4911C9}"/>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29-3DFA-4943-ADA8-87B67C4911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'Lecture 6B'!$B$3:$B$9</c:f>
              <c:strCache>
                <c:ptCount val="7"/>
                <c:pt idx="0">
                  <c:v>JAN</c:v>
                </c:pt>
                <c:pt idx="1">
                  <c:v>FEB</c:v>
                </c:pt>
                <c:pt idx="2">
                  <c:v>MAR</c:v>
                </c:pt>
                <c:pt idx="3">
                  <c:v>APR</c:v>
                </c:pt>
                <c:pt idx="4">
                  <c:v>MAY</c:v>
                </c:pt>
                <c:pt idx="5">
                  <c:v>JUN</c:v>
                </c:pt>
                <c:pt idx="6">
                  <c:v>JUL</c:v>
                </c:pt>
              </c:strCache>
            </c:strRef>
          </c:cat>
          <c:val>
            <c:numRef>
              <c:f>'Lecture 6B'!$E$3:$E$9</c:f>
              <c:numCache>
                <c:formatCode>General</c:formatCode>
                <c:ptCount val="7"/>
                <c:pt idx="0">
                  <c:v>80</c:v>
                </c:pt>
                <c:pt idx="1">
                  <c:v>54</c:v>
                </c:pt>
                <c:pt idx="2">
                  <c:v>90</c:v>
                </c:pt>
                <c:pt idx="3">
                  <c:v>125</c:v>
                </c:pt>
                <c:pt idx="4">
                  <c:v>76</c:v>
                </c:pt>
                <c:pt idx="5">
                  <c:v>95</c:v>
                </c:pt>
                <c:pt idx="6">
                  <c:v>71</c:v>
                </c:pt>
              </c:numCache>
            </c:numRef>
          </c:val>
          <c:extLst>
            <c:ext xmlns:c16="http://schemas.microsoft.com/office/drawing/2014/chart" uri="{C3380CC4-5D6E-409C-BE32-E72D297353CC}">
              <c16:uniqueId val="{00000003-E9D4-4AC2-913A-798C5BE36428}"/>
            </c:ext>
          </c:extLst>
        </c:ser>
        <c:dLbls>
          <c:dLblPos val="outEnd"/>
          <c:showLegendKey val="0"/>
          <c:showVal val="1"/>
          <c:showCatName val="0"/>
          <c:showSerName val="0"/>
          <c:showPercent val="0"/>
          <c:showBubbleSize val="0"/>
          <c:showLeaderLines val="1"/>
        </c:dLbls>
      </c:pie3DChart>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PARTICULAR</a:t>
            </a:r>
            <a:r>
              <a:rPr lang="en-IN" baseline="0"/>
              <a:t> VS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513648293963254"/>
          <c:y val="0.11615740740740743"/>
          <c:w val="0.86486351706036746"/>
          <c:h val="0.56412766112569257"/>
        </c:manualLayout>
      </c:layout>
      <c:lineChart>
        <c:grouping val="standard"/>
        <c:varyColors val="0"/>
        <c:ser>
          <c:idx val="0"/>
          <c:order val="0"/>
          <c:tx>
            <c:strRef>
              <c:f>'Lecture 6B'!$C$12</c:f>
              <c:strCache>
                <c:ptCount val="1"/>
                <c:pt idx="0">
                  <c:v>Jan</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6B'!$B$13:$B$16</c:f>
              <c:strCache>
                <c:ptCount val="4"/>
                <c:pt idx="0">
                  <c:v>Income form Liber Cases</c:v>
                </c:pt>
                <c:pt idx="1">
                  <c:v>Income from Appearance</c:v>
                </c:pt>
                <c:pt idx="2">
                  <c:v>Charity Donations</c:v>
                </c:pt>
                <c:pt idx="3">
                  <c:v>Tax Reabate</c:v>
                </c:pt>
              </c:strCache>
            </c:strRef>
          </c:cat>
          <c:val>
            <c:numRef>
              <c:f>'Lecture 6B'!$C$13:$C$16</c:f>
              <c:numCache>
                <c:formatCode>General</c:formatCode>
                <c:ptCount val="4"/>
                <c:pt idx="0">
                  <c:v>1500</c:v>
                </c:pt>
                <c:pt idx="1">
                  <c:v>2250</c:v>
                </c:pt>
                <c:pt idx="2">
                  <c:v>1850</c:v>
                </c:pt>
                <c:pt idx="3">
                  <c:v>13.5</c:v>
                </c:pt>
              </c:numCache>
            </c:numRef>
          </c:val>
          <c:smooth val="0"/>
          <c:extLst>
            <c:ext xmlns:c16="http://schemas.microsoft.com/office/drawing/2014/chart" uri="{C3380CC4-5D6E-409C-BE32-E72D297353CC}">
              <c16:uniqueId val="{00000000-11C2-4E28-A6ED-7B7855B9499A}"/>
            </c:ext>
          </c:extLst>
        </c:ser>
        <c:ser>
          <c:idx val="1"/>
          <c:order val="1"/>
          <c:tx>
            <c:strRef>
              <c:f>'Lecture 6B'!$D$12</c:f>
              <c:strCache>
                <c:ptCount val="1"/>
                <c:pt idx="0">
                  <c:v>Feb</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6B'!$B$13:$B$16</c:f>
              <c:strCache>
                <c:ptCount val="4"/>
                <c:pt idx="0">
                  <c:v>Income form Liber Cases</c:v>
                </c:pt>
                <c:pt idx="1">
                  <c:v>Income from Appearance</c:v>
                </c:pt>
                <c:pt idx="2">
                  <c:v>Charity Donations</c:v>
                </c:pt>
                <c:pt idx="3">
                  <c:v>Tax Reabate</c:v>
                </c:pt>
              </c:strCache>
            </c:strRef>
          </c:cat>
          <c:val>
            <c:numRef>
              <c:f>'Lecture 6B'!$D$13:$D$16</c:f>
              <c:numCache>
                <c:formatCode>General</c:formatCode>
                <c:ptCount val="4"/>
                <c:pt idx="0">
                  <c:v>17500</c:v>
                </c:pt>
                <c:pt idx="1">
                  <c:v>2500</c:v>
                </c:pt>
                <c:pt idx="2">
                  <c:v>2150</c:v>
                </c:pt>
                <c:pt idx="3">
                  <c:v>6.38</c:v>
                </c:pt>
              </c:numCache>
            </c:numRef>
          </c:val>
          <c:smooth val="0"/>
          <c:extLst>
            <c:ext xmlns:c16="http://schemas.microsoft.com/office/drawing/2014/chart" uri="{C3380CC4-5D6E-409C-BE32-E72D297353CC}">
              <c16:uniqueId val="{00000001-11C2-4E28-A6ED-7B7855B9499A}"/>
            </c:ext>
          </c:extLst>
        </c:ser>
        <c:ser>
          <c:idx val="2"/>
          <c:order val="2"/>
          <c:tx>
            <c:strRef>
              <c:f>'Lecture 6B'!$E$12</c:f>
              <c:strCache>
                <c:ptCount val="1"/>
                <c:pt idx="0">
                  <c:v>Mar</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'Lecture 6B'!$B$13:$B$16</c:f>
              <c:strCache>
                <c:ptCount val="4"/>
                <c:pt idx="0">
                  <c:v>Income form Liber Cases</c:v>
                </c:pt>
                <c:pt idx="1">
                  <c:v>Income from Appearance</c:v>
                </c:pt>
                <c:pt idx="2">
                  <c:v>Charity Donations</c:v>
                </c:pt>
                <c:pt idx="3">
                  <c:v>Tax Reabate</c:v>
                </c:pt>
              </c:strCache>
            </c:strRef>
          </c:cat>
          <c:val>
            <c:numRef>
              <c:f>'Lecture 6B'!$E$13:$E$16</c:f>
              <c:numCache>
                <c:formatCode>General</c:formatCode>
                <c:ptCount val="4"/>
                <c:pt idx="0">
                  <c:v>2000</c:v>
                </c:pt>
                <c:pt idx="1">
                  <c:v>21030</c:v>
                </c:pt>
                <c:pt idx="2">
                  <c:v>3000</c:v>
                </c:pt>
                <c:pt idx="3">
                  <c:v>6.35</c:v>
                </c:pt>
              </c:numCache>
            </c:numRef>
          </c:val>
          <c:smooth val="0"/>
          <c:extLst>
            <c:ext xmlns:c16="http://schemas.microsoft.com/office/drawing/2014/chart" uri="{C3380CC4-5D6E-409C-BE32-E72D297353CC}">
              <c16:uniqueId val="{00000002-11C2-4E28-A6ED-7B7855B9499A}"/>
            </c:ext>
          </c:extLst>
        </c:ser>
        <c:dLbls>
          <c:showLegendKey val="0"/>
          <c:showVal val="0"/>
          <c:showCatName val="0"/>
          <c:showSerName val="0"/>
          <c:showPercent val="0"/>
          <c:showBubbleSize val="0"/>
        </c:dLbls>
        <c:smooth val="0"/>
        <c:axId val="190694623"/>
        <c:axId val="190685503"/>
      </c:lineChart>
      <c:catAx>
        <c:axId val="190694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85503"/>
        <c:crosses val="autoZero"/>
        <c:auto val="1"/>
        <c:lblAlgn val="ctr"/>
        <c:lblOffset val="100"/>
        <c:noMultiLvlLbl val="0"/>
      </c:catAx>
      <c:valAx>
        <c:axId val="190685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PARTICULARS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94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 Charts &amp; Tables!PivotTable2</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 &amp; Tables'!$B$4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1"/>
                </a:solidFill>
                <a:round/>
              </a:ln>
              <a:effectLst/>
            </c:spPr>
            <c:trendlineType val="linear"/>
            <c:dispRSqr val="0"/>
            <c:dispEq val="0"/>
          </c:trendline>
          <c:cat>
            <c:multiLvlStrRef>
              <c:f>'Pivot Charts &amp; Tables'!$A$5:$A$22</c:f>
              <c:multiLvlStrCache>
                <c:ptCount val="10"/>
                <c:lvl>
                  <c:pt idx="0">
                    <c:v>9</c:v>
                  </c:pt>
                  <c:pt idx="1">
                    <c:v>3</c:v>
                  </c:pt>
                  <c:pt idx="2">
                    <c:v>4</c:v>
                  </c:pt>
                  <c:pt idx="3">
                    <c:v>8</c:v>
                  </c:pt>
                  <c:pt idx="4">
                    <c:v>5</c:v>
                  </c:pt>
                  <c:pt idx="5">
                    <c:v>2</c:v>
                  </c:pt>
                  <c:pt idx="6">
                    <c:v>7</c:v>
                  </c:pt>
                  <c:pt idx="7">
                    <c:v>1</c:v>
                  </c:pt>
                  <c:pt idx="8">
                    <c:v>10</c:v>
                  </c:pt>
                  <c:pt idx="9">
                    <c:v>6</c:v>
                  </c:pt>
                </c:lvl>
                <c:lvl>
                  <c:pt idx="0">
                    <c:v>Apple</c:v>
                  </c:pt>
                  <c:pt idx="1">
                    <c:v>Banana</c:v>
                  </c:pt>
                  <c:pt idx="4">
                    <c:v>Beans</c:v>
                  </c:pt>
                  <c:pt idx="5">
                    <c:v>Broccoli</c:v>
                  </c:pt>
                  <c:pt idx="7">
                    <c:v>Carrot</c:v>
                  </c:pt>
                  <c:pt idx="8">
                    <c:v>Grapes</c:v>
                  </c:pt>
                  <c:pt idx="9">
                    <c:v>Orange</c:v>
                  </c:pt>
                </c:lvl>
              </c:multiLvlStrCache>
            </c:multiLvlStrRef>
          </c:cat>
          <c:val>
            <c:numRef>
              <c:f>'Pivot Charts &amp; Tables'!$B$5:$B$22</c:f>
              <c:numCache>
                <c:formatCode>General</c:formatCode>
                <c:ptCount val="10"/>
                <c:pt idx="0">
                  <c:v>3201</c:v>
                </c:pt>
                <c:pt idx="1">
                  <c:v>1000</c:v>
                </c:pt>
                <c:pt idx="2">
                  <c:v>2500</c:v>
                </c:pt>
                <c:pt idx="3">
                  <c:v>3800</c:v>
                </c:pt>
                <c:pt idx="4">
                  <c:v>3600</c:v>
                </c:pt>
                <c:pt idx="5">
                  <c:v>2030</c:v>
                </c:pt>
                <c:pt idx="6">
                  <c:v>4300</c:v>
                </c:pt>
                <c:pt idx="7">
                  <c:v>5632</c:v>
                </c:pt>
                <c:pt idx="8">
                  <c:v>1500</c:v>
                </c:pt>
                <c:pt idx="9">
                  <c:v>4200</c:v>
                </c:pt>
              </c:numCache>
            </c:numRef>
          </c:val>
          <c:extLst>
            <c:ext xmlns:c16="http://schemas.microsoft.com/office/drawing/2014/chart" uri="{C3380CC4-5D6E-409C-BE32-E72D297353CC}">
              <c16:uniqueId val="{00000000-5311-4BB7-A487-F74F8C7751A9}"/>
            </c:ext>
          </c:extLst>
        </c:ser>
        <c:dLbls>
          <c:showLegendKey val="0"/>
          <c:showVal val="0"/>
          <c:showCatName val="0"/>
          <c:showSerName val="0"/>
          <c:showPercent val="0"/>
          <c:showBubbleSize val="0"/>
        </c:dLbls>
        <c:gapWidth val="199"/>
        <c:axId val="1640587519"/>
        <c:axId val="1640581279"/>
      </c:barChart>
      <c:catAx>
        <c:axId val="164058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40581279"/>
        <c:crosses val="autoZero"/>
        <c:auto val="1"/>
        <c:lblAlgn val="ctr"/>
        <c:lblOffset val="100"/>
        <c:noMultiLvlLbl val="0"/>
      </c:catAx>
      <c:valAx>
        <c:axId val="164058127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58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'Histogram Chart (Data Analysis)'!$A$2:$A$7</c:f>
              <c:strCache>
                <c:ptCount val="6"/>
                <c:pt idx="0">
                  <c:v>20</c:v>
                </c:pt>
                <c:pt idx="1">
                  <c:v>25</c:v>
                </c:pt>
                <c:pt idx="2">
                  <c:v>30</c:v>
                </c:pt>
                <c:pt idx="3">
                  <c:v>35</c:v>
                </c:pt>
                <c:pt idx="4">
                  <c:v>40</c:v>
                </c:pt>
                <c:pt idx="5">
                  <c:v>More</c:v>
                </c:pt>
              </c:strCache>
            </c:strRef>
          </c:cat>
          <c:val>
            <c:numRef>
              <c:f>'Histogram Chart (Data Analysis)'!$B$2:$B$7</c:f>
              <c:numCache>
                <c:formatCode>General</c:formatCode>
                <c:ptCount val="6"/>
                <c:pt idx="0">
                  <c:v>1</c:v>
                </c:pt>
                <c:pt idx="1">
                  <c:v>8</c:v>
                </c:pt>
                <c:pt idx="2">
                  <c:v>2</c:v>
                </c:pt>
                <c:pt idx="3">
                  <c:v>2</c:v>
                </c:pt>
                <c:pt idx="4">
                  <c:v>3</c:v>
                </c:pt>
                <c:pt idx="5">
                  <c:v>2</c:v>
                </c:pt>
              </c:numCache>
            </c:numRef>
          </c:val>
          <c:extLst>
            <c:ext xmlns:c16="http://schemas.microsoft.com/office/drawing/2014/chart" uri="{C3380CC4-5D6E-409C-BE32-E72D297353CC}">
              <c16:uniqueId val="{00000001-38E1-4C4B-999F-5531ECCB7420}"/>
            </c:ext>
          </c:extLst>
        </c:ser>
        <c:dLbls>
          <c:showLegendKey val="0"/>
          <c:showVal val="0"/>
          <c:showCatName val="0"/>
          <c:showSerName val="0"/>
          <c:showPercent val="0"/>
          <c:showBubbleSize val="0"/>
        </c:dLbls>
        <c:gapWidth val="150"/>
        <c:axId val="1020667776"/>
        <c:axId val="1020665856"/>
      </c:barChart>
      <c:catAx>
        <c:axId val="1020667776"/>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020665856"/>
        <c:crosses val="autoZero"/>
        <c:auto val="1"/>
        <c:lblAlgn val="ctr"/>
        <c:lblOffset val="100"/>
        <c:noMultiLvlLbl val="0"/>
      </c:catAx>
      <c:valAx>
        <c:axId val="1020665856"/>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020667776"/>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Class.xlsx]Pivot!PivotTable4</c:name>
    <c:fmtId val="2"/>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Pivot!$B$33</c:f>
              <c:strCache>
                <c:ptCount val="1"/>
                <c:pt idx="0">
                  <c:v>Total</c:v>
                </c:pt>
              </c:strCache>
            </c:strRef>
          </c:tx>
          <c:spPr>
            <a:ln w="28575" cap="rnd">
              <a:solidFill>
                <a:schemeClr val="accent1"/>
              </a:solidFill>
              <a:round/>
            </a:ln>
            <a:effectLst/>
          </c:spPr>
          <c:marker>
            <c:symbol val="none"/>
          </c:marker>
          <c:cat>
            <c:strRef>
              <c:f>Pivot!$A$34:$A$46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Pivot!$B$34:$B$46</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4992-44FA-B220-74E6865D1795}"/>
            </c:ext>
          </c:extLst>
        </c:ser>
        <c:dLbls>
          <c:showLegendKey val="0"/>
          <c:showVal val="0"/>
          <c:showCatName val="0"/>
          <c:showSerName val="0"/>
          <c:showPercent val="0"/>
          <c:showBubbleSize val="0"/>
        </c:dLbls>
        <c:smooth val="0"/>
        <c:axId val="715563072"/>
        <c:axId val="715560672"/>
      </c:lineChart>
      <c:catAx>
        <c:axId val="71556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560672"/>
        <c:crosses val="autoZero"/>
        <c:auto val="1"/>
        <c:lblAlgn val="ctr"/>
        <c:lblOffset val="100"/>
        <c:noMultiLvlLbl val="0"/>
      </c:catAx>
      <c:valAx>
        <c:axId val="715560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56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Class.xlsx]Pivot!PivotTable7</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Pivot!$A$50:$A$54</c:f>
              <c:strCache>
                <c:ptCount val="4"/>
                <c:pt idx="0">
                  <c:v>East</c:v>
                </c:pt>
                <c:pt idx="1">
                  <c:v>North</c:v>
                </c:pt>
                <c:pt idx="2">
                  <c:v>South</c:v>
                </c:pt>
                <c:pt idx="3">
                  <c:v>West</c:v>
                </c:pt>
              </c:strCache>
            </c:strRef>
          </c:cat>
          <c:val>
            <c:numRef>
              <c:f>Pivot!$B$50:$B$54</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94F4-4B60-9892-7B28EFD65F63}"/>
            </c:ext>
          </c:extLst>
        </c:ser>
        <c:dLbls>
          <c:showLegendKey val="0"/>
          <c:showVal val="0"/>
          <c:showCatName val="0"/>
          <c:showSerName val="0"/>
          <c:showPercent val="0"/>
          <c:showBubbleSize val="0"/>
        </c:dLbls>
        <c:gapWidth val="219"/>
        <c:overlap val="-27"/>
        <c:axId val="1077151744"/>
        <c:axId val="1077137344"/>
      </c:barChart>
      <c:catAx>
        <c:axId val="107715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37344"/>
        <c:crosses val="autoZero"/>
        <c:auto val="1"/>
        <c:lblAlgn val="ctr"/>
        <c:lblOffset val="100"/>
        <c:noMultiLvlLbl val="0"/>
      </c:catAx>
      <c:valAx>
        <c:axId val="1077137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5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Class.xlsx]Pivot!PivotTable8</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Pivot!$A$59:$A$65</c:f>
              <c:strCache>
                <c:ptCount val="6"/>
                <c:pt idx="0">
                  <c:v>Keyboard</c:v>
                </c:pt>
                <c:pt idx="1">
                  <c:v>Monitor</c:v>
                </c:pt>
                <c:pt idx="2">
                  <c:v>Mouse</c:v>
                </c:pt>
                <c:pt idx="3">
                  <c:v>Printer</c:v>
                </c:pt>
                <c:pt idx="4">
                  <c:v>Scanner</c:v>
                </c:pt>
                <c:pt idx="5">
                  <c:v>Speaker</c:v>
                </c:pt>
              </c:strCache>
            </c:strRef>
          </c:cat>
          <c:val>
            <c:numRef>
              <c:f>Pivot!$B$59:$B$65</c:f>
              <c:numCache>
                <c:formatCode>0.00%</c:formatCode>
                <c:ptCount val="6"/>
                <c:pt idx="0">
                  <c:v>1.4204210774331443E-2</c:v>
                </c:pt>
                <c:pt idx="1">
                  <c:v>0.19017485989330013</c:v>
                </c:pt>
                <c:pt idx="2">
                  <c:v>3.7109342129621838E-2</c:v>
                </c:pt>
                <c:pt idx="3">
                  <c:v>0.52424308722799107</c:v>
                </c:pt>
                <c:pt idx="4">
                  <c:v>0.1975798986856056</c:v>
                </c:pt>
                <c:pt idx="5">
                  <c:v>3.6688601289149934E-2</c:v>
                </c:pt>
              </c:numCache>
            </c:numRef>
          </c:val>
          <c:extLst>
            <c:ext xmlns:c16="http://schemas.microsoft.com/office/drawing/2014/chart" uri="{C3380CC4-5D6E-409C-BE32-E72D297353CC}">
              <c16:uniqueId val="{00000000-BCB1-4605-B736-8F8B99165C13}"/>
            </c:ext>
          </c:extLst>
        </c:ser>
        <c:dLbls>
          <c:showLegendKey val="0"/>
          <c:showVal val="0"/>
          <c:showCatName val="0"/>
          <c:showSerName val="0"/>
          <c:showPercent val="0"/>
          <c:showBubbleSize val="0"/>
        </c:dLbls>
        <c:gapWidth val="182"/>
        <c:axId val="1077125824"/>
        <c:axId val="1077126784"/>
      </c:barChart>
      <c:catAx>
        <c:axId val="107712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26784"/>
        <c:crosses val="autoZero"/>
        <c:auto val="1"/>
        <c:lblAlgn val="ctr"/>
        <c:lblOffset val="100"/>
        <c:noMultiLvlLbl val="0"/>
      </c:catAx>
      <c:valAx>
        <c:axId val="1077126784"/>
        <c:scaling>
          <c:orientation val="minMax"/>
        </c:scaling>
        <c:delete val="1"/>
        <c:axPos val="b"/>
        <c:numFmt formatCode="0.00%" sourceLinked="1"/>
        <c:majorTickMark val="none"/>
        <c:minorTickMark val="none"/>
        <c:tickLblPos val="nextTo"/>
        <c:crossAx val="107712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Class.xlsx]Pivot!PivotTable11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Pivot!$A$77:$A$83</c:f>
              <c:strCache>
                <c:ptCount val="6"/>
                <c:pt idx="0">
                  <c:v>Keyboard</c:v>
                </c:pt>
                <c:pt idx="1">
                  <c:v>Monitor</c:v>
                </c:pt>
                <c:pt idx="2">
                  <c:v>Mouse</c:v>
                </c:pt>
                <c:pt idx="3">
                  <c:v>Printer</c:v>
                </c:pt>
                <c:pt idx="4">
                  <c:v>Scanner</c:v>
                </c:pt>
                <c:pt idx="5">
                  <c:v>Speaker</c:v>
                </c:pt>
              </c:strCache>
            </c:strRef>
          </c:cat>
          <c:val>
            <c:numRef>
              <c:f>Pivot!$B$77:$B$83</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9EAA-4FA1-B919-43AE903AA9EE}"/>
            </c:ext>
          </c:extLst>
        </c:ser>
        <c:dLbls>
          <c:showLegendKey val="0"/>
          <c:showVal val="0"/>
          <c:showCatName val="0"/>
          <c:showSerName val="0"/>
          <c:showPercent val="0"/>
          <c:showBubbleSize val="0"/>
        </c:dLbls>
        <c:gapWidth val="219"/>
        <c:overlap val="-27"/>
        <c:axId val="1127820496"/>
        <c:axId val="1127840176"/>
      </c:barChart>
      <c:catAx>
        <c:axId val="112782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840176"/>
        <c:crosses val="autoZero"/>
        <c:auto val="1"/>
        <c:lblAlgn val="ctr"/>
        <c:lblOffset val="100"/>
        <c:noMultiLvlLbl val="0"/>
      </c:catAx>
      <c:valAx>
        <c:axId val="112784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82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Class.xlsx]Pivot!PivotTable5</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Pivot!$A$87:$A$90</c:f>
              <c:strCache>
                <c:ptCount val="3"/>
                <c:pt idx="0">
                  <c:v>Monitor</c:v>
                </c:pt>
                <c:pt idx="1">
                  <c:v>Mouse</c:v>
                </c:pt>
                <c:pt idx="2">
                  <c:v>Printer</c:v>
                </c:pt>
              </c:strCache>
            </c:strRef>
          </c:cat>
          <c:val>
            <c:numRef>
              <c:f>Pivot!$B$87:$B$90</c:f>
              <c:numCache>
                <c:formatCode>General</c:formatCode>
                <c:ptCount val="3"/>
                <c:pt idx="0">
                  <c:v>251</c:v>
                </c:pt>
                <c:pt idx="1">
                  <c:v>319</c:v>
                </c:pt>
                <c:pt idx="2">
                  <c:v>445</c:v>
                </c:pt>
              </c:numCache>
            </c:numRef>
          </c:val>
          <c:extLst>
            <c:ext xmlns:c16="http://schemas.microsoft.com/office/drawing/2014/chart" uri="{C3380CC4-5D6E-409C-BE32-E72D297353CC}">
              <c16:uniqueId val="{00000000-0DBE-49FE-9F55-2D9F82086598}"/>
            </c:ext>
          </c:extLst>
        </c:ser>
        <c:dLbls>
          <c:showLegendKey val="0"/>
          <c:showVal val="0"/>
          <c:showCatName val="0"/>
          <c:showSerName val="0"/>
          <c:showPercent val="0"/>
          <c:showBubbleSize val="0"/>
        </c:dLbls>
        <c:gapWidth val="182"/>
        <c:axId val="2082914112"/>
        <c:axId val="2082891072"/>
      </c:barChart>
      <c:catAx>
        <c:axId val="208291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891072"/>
        <c:crosses val="autoZero"/>
        <c:auto val="1"/>
        <c:lblAlgn val="ctr"/>
        <c:lblOffset val="100"/>
        <c:noMultiLvlLbl val="0"/>
      </c:catAx>
      <c:valAx>
        <c:axId val="2082891072"/>
        <c:scaling>
          <c:orientation val="minMax"/>
        </c:scaling>
        <c:delete val="1"/>
        <c:axPos val="b"/>
        <c:numFmt formatCode="General" sourceLinked="1"/>
        <c:majorTickMark val="none"/>
        <c:minorTickMark val="none"/>
        <c:tickLblPos val="nextTo"/>
        <c:crossAx val="208291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Class.xlsx]Pivot!PivotTable6</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Pivot!$B$93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Pivot!$A$94:$A$97</c:f>
              <c:strCache>
                <c:ptCount val="3"/>
                <c:pt idx="0">
                  <c:v>Keyboard</c:v>
                </c:pt>
                <c:pt idx="1">
                  <c:v>Scanner</c:v>
                </c:pt>
                <c:pt idx="2">
                  <c:v>Speaker</c:v>
                </c:pt>
              </c:strCache>
            </c:strRef>
          </c:cat>
          <c:val>
            <c:numRef>
              <c:f>Pivot!$B$94:$B$97</c:f>
              <c:numCache>
                <c:formatCode>General</c:formatCode>
                <c:ptCount val="3"/>
                <c:pt idx="0">
                  <c:v>132</c:v>
                </c:pt>
                <c:pt idx="1">
                  <c:v>242</c:v>
                </c:pt>
                <c:pt idx="2">
                  <c:v>218</c:v>
                </c:pt>
              </c:numCache>
            </c:numRef>
          </c:val>
          <c:extLst>
            <c:ext xmlns:c16="http://schemas.microsoft.com/office/drawing/2014/chart" uri="{C3380CC4-5D6E-409C-BE32-E72D297353CC}">
              <c16:uniqueId val="{00000000-0804-42B4-8B2D-E34D0587FDD5}"/>
            </c:ext>
          </c:extLst>
        </c:ser>
        <c:dLbls>
          <c:showLegendKey val="0"/>
          <c:showVal val="0"/>
          <c:showCatName val="0"/>
          <c:showSerName val="0"/>
          <c:showPercent val="0"/>
          <c:showBubbleSize val="0"/>
        </c:dLbls>
        <c:gapWidth val="182"/>
        <c:axId val="2082919872"/>
        <c:axId val="2082918912"/>
      </c:barChart>
      <c:catAx>
        <c:axId val="208291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18912"/>
        <c:crosses val="autoZero"/>
        <c:auto val="1"/>
        <c:lblAlgn val="ctr"/>
        <c:lblOffset val="100"/>
        <c:noMultiLvlLbl val="0"/>
      </c:catAx>
      <c:valAx>
        <c:axId val="2082918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198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Class.xlsx]Pivot!PivotTable9</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Pivot!$A$104:$A$110</c:f>
              <c:strCache>
                <c:ptCount val="6"/>
                <c:pt idx="0">
                  <c:v>Ajit Kumar</c:v>
                </c:pt>
                <c:pt idx="1">
                  <c:v>Amit</c:v>
                </c:pt>
                <c:pt idx="2">
                  <c:v>Chandu</c:v>
                </c:pt>
                <c:pt idx="3">
                  <c:v>Ramesh</c:v>
                </c:pt>
                <c:pt idx="4">
                  <c:v>Rohit Das</c:v>
                </c:pt>
                <c:pt idx="5">
                  <c:v>Siddhu</c:v>
                </c:pt>
              </c:strCache>
            </c:strRef>
          </c:cat>
          <c:val>
            <c:numRef>
              <c:f>Pivot!$B$104:$B$110</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AB9B-45BC-B716-5C9853BEC2D3}"/>
            </c:ext>
          </c:extLst>
        </c:ser>
        <c:dLbls>
          <c:showLegendKey val="0"/>
          <c:showVal val="0"/>
          <c:showCatName val="0"/>
          <c:showSerName val="0"/>
          <c:showPercent val="0"/>
          <c:showBubbleSize val="0"/>
        </c:dLbls>
        <c:gapWidth val="219"/>
        <c:overlap val="-27"/>
        <c:axId val="1747704320"/>
        <c:axId val="1747720288"/>
      </c:barChart>
      <c:catAx>
        <c:axId val="174770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720288"/>
        <c:crosses val="autoZero"/>
        <c:auto val="1"/>
        <c:lblAlgn val="ctr"/>
        <c:lblOffset val="100"/>
        <c:noMultiLvlLbl val="0"/>
      </c:catAx>
      <c:valAx>
        <c:axId val="1747720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70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Class.xlsx]Pivot!PivotTable12</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Pivot!$A$114:$A$117</c:f>
              <c:strCache>
                <c:ptCount val="3"/>
                <c:pt idx="0">
                  <c:v>Ajit Kumar</c:v>
                </c:pt>
                <c:pt idx="1">
                  <c:v>Rohit Das</c:v>
                </c:pt>
                <c:pt idx="2">
                  <c:v>Siddhu</c:v>
                </c:pt>
              </c:strCache>
            </c:strRef>
          </c:cat>
          <c:val>
            <c:numRef>
              <c:f>Pivot!$B$114:$B$117</c:f>
              <c:numCache>
                <c:formatCode>General</c:formatCode>
                <c:ptCount val="3"/>
                <c:pt idx="0">
                  <c:v>386030</c:v>
                </c:pt>
                <c:pt idx="1">
                  <c:v>394410</c:v>
                </c:pt>
                <c:pt idx="2">
                  <c:v>551960</c:v>
                </c:pt>
              </c:numCache>
            </c:numRef>
          </c:val>
          <c:extLst>
            <c:ext xmlns:c16="http://schemas.microsoft.com/office/drawing/2014/chart" uri="{C3380CC4-5D6E-409C-BE32-E72D297353CC}">
              <c16:uniqueId val="{00000000-2FAD-489A-B6DD-DE552C377934}"/>
            </c:ext>
          </c:extLst>
        </c:ser>
        <c:dLbls>
          <c:showLegendKey val="0"/>
          <c:showVal val="0"/>
          <c:showCatName val="0"/>
          <c:showSerName val="0"/>
          <c:showPercent val="0"/>
          <c:showBubbleSize val="0"/>
        </c:dLbls>
        <c:gapWidth val="182"/>
        <c:axId val="114370752"/>
        <c:axId val="114377472"/>
      </c:barChart>
      <c:catAx>
        <c:axId val="11437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77472"/>
        <c:crosses val="autoZero"/>
        <c:auto val="1"/>
        <c:lblAlgn val="ctr"/>
        <c:lblOffset val="100"/>
        <c:noMultiLvlLbl val="0"/>
      </c:catAx>
      <c:valAx>
        <c:axId val="114377472"/>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437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Class.xlsx]Pivot!PivotTable13</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Pivot!$A$122:$A$125</c:f>
              <c:strCache>
                <c:ptCount val="3"/>
                <c:pt idx="0">
                  <c:v>Amit</c:v>
                </c:pt>
                <c:pt idx="1">
                  <c:v>Chandu</c:v>
                </c:pt>
                <c:pt idx="2">
                  <c:v>Ramesh</c:v>
                </c:pt>
              </c:strCache>
            </c:strRef>
          </c:cat>
          <c:val>
            <c:numRef>
              <c:f>Pivot!$B$122:$B$125</c:f>
              <c:numCache>
                <c:formatCode>General</c:formatCode>
                <c:ptCount val="3"/>
                <c:pt idx="0">
                  <c:v>184690</c:v>
                </c:pt>
                <c:pt idx="1">
                  <c:v>125600</c:v>
                </c:pt>
                <c:pt idx="2">
                  <c:v>139880</c:v>
                </c:pt>
              </c:numCache>
            </c:numRef>
          </c:val>
          <c:extLst>
            <c:ext xmlns:c16="http://schemas.microsoft.com/office/drawing/2014/chart" uri="{C3380CC4-5D6E-409C-BE32-E72D297353CC}">
              <c16:uniqueId val="{00000000-04DA-42E7-9A22-2B576E9CB1AA}"/>
            </c:ext>
          </c:extLst>
        </c:ser>
        <c:dLbls>
          <c:showLegendKey val="0"/>
          <c:showVal val="0"/>
          <c:showCatName val="0"/>
          <c:showSerName val="0"/>
          <c:showPercent val="0"/>
          <c:showBubbleSize val="0"/>
        </c:dLbls>
        <c:gapWidth val="182"/>
        <c:axId val="1585860224"/>
        <c:axId val="1585859264"/>
      </c:barChart>
      <c:catAx>
        <c:axId val="1585860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859264"/>
        <c:crosses val="autoZero"/>
        <c:auto val="1"/>
        <c:lblAlgn val="ctr"/>
        <c:lblOffset val="100"/>
        <c:noMultiLvlLbl val="0"/>
      </c:catAx>
      <c:valAx>
        <c:axId val="1585859264"/>
        <c:scaling>
          <c:orientation val="minMax"/>
        </c:scaling>
        <c:delete val="1"/>
        <c:axPos val="b"/>
        <c:numFmt formatCode="General" sourceLinked="1"/>
        <c:majorTickMark val="none"/>
        <c:minorTickMark val="none"/>
        <c:tickLblPos val="nextTo"/>
        <c:crossAx val="158586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Class.xlsx]Pivot!PivotTable4</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Pivot!$B$33</c:f>
              <c:strCache>
                <c:ptCount val="1"/>
                <c:pt idx="0">
                  <c:v>Total</c:v>
                </c:pt>
              </c:strCache>
            </c:strRef>
          </c:tx>
          <c:spPr>
            <a:ln w="28575" cap="rnd">
              <a:solidFill>
                <a:schemeClr val="accent1"/>
              </a:solidFill>
              <a:round/>
            </a:ln>
            <a:effectLst/>
          </c:spPr>
          <c:marker>
            <c:symbol val="none"/>
          </c:marker>
          <c:cat>
            <c:strRef>
              <c:f>Pivot!$A$34:$A$46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Pivot!$B$34:$B$46</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D3C1-42D7-9506-98D2F01FFD63}"/>
            </c:ext>
          </c:extLst>
        </c:ser>
        <c:dLbls>
          <c:showLegendKey val="0"/>
          <c:showVal val="0"/>
          <c:showCatName val="0"/>
          <c:showSerName val="0"/>
          <c:showPercent val="0"/>
          <c:showBubbleSize val="0"/>
        </c:dLbls>
        <c:smooth val="0"/>
        <c:axId val="715563072"/>
        <c:axId val="715560672"/>
      </c:lineChart>
      <c:catAx>
        <c:axId val="71556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560672"/>
        <c:crosses val="autoZero"/>
        <c:auto val="1"/>
        <c:lblAlgn val="ctr"/>
        <c:lblOffset val="100"/>
        <c:noMultiLvlLbl val="0"/>
      </c:catAx>
      <c:valAx>
        <c:axId val="715560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56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Class.xlsx]Pivot!PivotTable7</c:name>
    <c:fmtId val="8"/>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Pivot!$A$50:$A$54</c:f>
              <c:strCache>
                <c:ptCount val="4"/>
                <c:pt idx="0">
                  <c:v>East</c:v>
                </c:pt>
                <c:pt idx="1">
                  <c:v>North</c:v>
                </c:pt>
                <c:pt idx="2">
                  <c:v>South</c:v>
                </c:pt>
                <c:pt idx="3">
                  <c:v>West</c:v>
                </c:pt>
              </c:strCache>
            </c:strRef>
          </c:cat>
          <c:val>
            <c:numRef>
              <c:f>Pivot!$B$50:$B$54</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D84E-4F7A-B7EC-DAA42010277D}"/>
            </c:ext>
          </c:extLst>
        </c:ser>
        <c:dLbls>
          <c:showLegendKey val="0"/>
          <c:showVal val="0"/>
          <c:showCatName val="0"/>
          <c:showSerName val="0"/>
          <c:showPercent val="0"/>
          <c:showBubbleSize val="0"/>
        </c:dLbls>
        <c:gapWidth val="219"/>
        <c:overlap val="-27"/>
        <c:axId val="1077151744"/>
        <c:axId val="1077137344"/>
      </c:barChart>
      <c:catAx>
        <c:axId val="107715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37344"/>
        <c:crosses val="autoZero"/>
        <c:auto val="1"/>
        <c:lblAlgn val="ctr"/>
        <c:lblOffset val="100"/>
        <c:noMultiLvlLbl val="0"/>
      </c:catAx>
      <c:valAx>
        <c:axId val="1077137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51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Pivot!$A$59:$A$65</c:f>
              <c:strCache>
                <c:ptCount val="6"/>
                <c:pt idx="0">
                  <c:v>Keyboard</c:v>
                </c:pt>
                <c:pt idx="1">
                  <c:v>Monitor</c:v>
                </c:pt>
                <c:pt idx="2">
                  <c:v>Mouse</c:v>
                </c:pt>
                <c:pt idx="3">
                  <c:v>Printer</c:v>
                </c:pt>
                <c:pt idx="4">
                  <c:v>Scanner</c:v>
                </c:pt>
                <c:pt idx="5">
                  <c:v>Speaker</c:v>
                </c:pt>
              </c:strCache>
            </c:strRef>
          </c:cat>
          <c:val>
            <c:numRef>
              <c:f>Pivot!$B$59:$B$65</c:f>
              <c:numCache>
                <c:formatCode>0.00%</c:formatCode>
                <c:ptCount val="6"/>
                <c:pt idx="0">
                  <c:v>1.4204210774331443E-2</c:v>
                </c:pt>
                <c:pt idx="1">
                  <c:v>0.19017485989330013</c:v>
                </c:pt>
                <c:pt idx="2">
                  <c:v>3.7109342129621838E-2</c:v>
                </c:pt>
                <c:pt idx="3">
                  <c:v>0.52424308722799107</c:v>
                </c:pt>
                <c:pt idx="4">
                  <c:v>0.1975798986856056</c:v>
                </c:pt>
                <c:pt idx="5">
                  <c:v>3.6688601289149934E-2</c:v>
                </c:pt>
              </c:numCache>
            </c:numRef>
          </c:val>
          <c:extLst>
            <c:ext xmlns:c16="http://schemas.microsoft.com/office/drawing/2014/chart" uri="{C3380CC4-5D6E-409C-BE32-E72D297353CC}">
              <c16:uniqueId val="{00000002-FAE4-4FB8-B4DB-A8C06ED59288}"/>
            </c:ext>
          </c:extLst>
        </c:ser>
        <c:dLbls>
          <c:showLegendKey val="0"/>
          <c:showVal val="0"/>
          <c:showCatName val="0"/>
          <c:showSerName val="0"/>
          <c:showPercent val="0"/>
          <c:showBubbleSize val="0"/>
        </c:dLbls>
        <c:gapWidth val="182"/>
        <c:axId val="1077125824"/>
        <c:axId val="1077126784"/>
      </c:barChart>
      <c:catAx>
        <c:axId val="1077125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26784"/>
        <c:crosses val="autoZero"/>
        <c:auto val="1"/>
        <c:lblAlgn val="ctr"/>
        <c:lblOffset val="100"/>
        <c:noMultiLvlLbl val="0"/>
      </c:catAx>
      <c:valAx>
        <c:axId val="1077126784"/>
        <c:scaling>
          <c:orientation val="minMax"/>
        </c:scaling>
        <c:delete val="1"/>
        <c:axPos val="b"/>
        <c:numFmt formatCode="0.00%" sourceLinked="1"/>
        <c:majorTickMark val="none"/>
        <c:minorTickMark val="none"/>
        <c:tickLblPos val="nextTo"/>
        <c:crossAx val="107712582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Class.xlsx]Pivot!PivotTable11</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435566455832359E-2"/>
          <c:y val="4.8134777376654635E-2"/>
          <c:w val="0.86499612753323862"/>
          <c:h val="0.79423424959966649"/>
        </c:manualLayout>
      </c:layout>
      <c:barChart>
        <c:barDir val="col"/>
        <c:grouping val="clustered"/>
        <c:varyColors val="0"/>
        <c:ser>
          <c:idx val="0"/>
          <c:order val="0"/>
          <c:tx>
            <c:strRef>
              <c:f>Pivot!$B$76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Pivot!$A$77:$A$83</c:f>
              <c:strCache>
                <c:ptCount val="6"/>
                <c:pt idx="0">
                  <c:v>Keyboard</c:v>
                </c:pt>
                <c:pt idx="1">
                  <c:v>Monitor</c:v>
                </c:pt>
                <c:pt idx="2">
                  <c:v>Mouse</c:v>
                </c:pt>
                <c:pt idx="3">
                  <c:v>Printer</c:v>
                </c:pt>
                <c:pt idx="4">
                  <c:v>Scanner</c:v>
                </c:pt>
                <c:pt idx="5">
                  <c:v>Speaker</c:v>
                </c:pt>
              </c:strCache>
            </c:strRef>
          </c:cat>
          <c:val>
            <c:numRef>
              <c:f>Pivot!$B$77:$B$83</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BF40-4A5F-BE80-D4393CA256CC}"/>
            </c:ext>
          </c:extLst>
        </c:ser>
        <c:dLbls>
          <c:showLegendKey val="0"/>
          <c:showVal val="0"/>
          <c:showCatName val="0"/>
          <c:showSerName val="0"/>
          <c:showPercent val="0"/>
          <c:showBubbleSize val="0"/>
        </c:dLbls>
        <c:gapWidth val="219"/>
        <c:overlap val="-27"/>
        <c:axId val="1127820496"/>
        <c:axId val="1127840176"/>
      </c:barChart>
      <c:catAx>
        <c:axId val="112782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840176"/>
        <c:crosses val="autoZero"/>
        <c:auto val="1"/>
        <c:lblAlgn val="ctr"/>
        <c:lblOffset val="100"/>
        <c:noMultiLvlLbl val="0"/>
      </c:catAx>
      <c:valAx>
        <c:axId val="112784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82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Class.xlsx]Pivot!PivotTable5</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Pivot!$A$87:$A$90</c:f>
              <c:strCache>
                <c:ptCount val="3"/>
                <c:pt idx="0">
                  <c:v>Monitor</c:v>
                </c:pt>
                <c:pt idx="1">
                  <c:v>Mouse</c:v>
                </c:pt>
                <c:pt idx="2">
                  <c:v>Printer</c:v>
                </c:pt>
              </c:strCache>
            </c:strRef>
          </c:cat>
          <c:val>
            <c:numRef>
              <c:f>Pivot!$B$87:$B$90</c:f>
              <c:numCache>
                <c:formatCode>General</c:formatCode>
                <c:ptCount val="3"/>
                <c:pt idx="0">
                  <c:v>251</c:v>
                </c:pt>
                <c:pt idx="1">
                  <c:v>319</c:v>
                </c:pt>
                <c:pt idx="2">
                  <c:v>445</c:v>
                </c:pt>
              </c:numCache>
            </c:numRef>
          </c:val>
          <c:extLst>
            <c:ext xmlns:c16="http://schemas.microsoft.com/office/drawing/2014/chart" uri="{C3380CC4-5D6E-409C-BE32-E72D297353CC}">
              <c16:uniqueId val="{00000000-D89B-4808-B891-C43E3BEAFD1F}"/>
            </c:ext>
          </c:extLst>
        </c:ser>
        <c:dLbls>
          <c:showLegendKey val="0"/>
          <c:showVal val="0"/>
          <c:showCatName val="0"/>
          <c:showSerName val="0"/>
          <c:showPercent val="0"/>
          <c:showBubbleSize val="0"/>
        </c:dLbls>
        <c:gapWidth val="182"/>
        <c:axId val="2082914112"/>
        <c:axId val="2082891072"/>
      </c:barChart>
      <c:catAx>
        <c:axId val="208291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891072"/>
        <c:crosses val="autoZero"/>
        <c:auto val="1"/>
        <c:lblAlgn val="ctr"/>
        <c:lblOffset val="100"/>
        <c:noMultiLvlLbl val="0"/>
      </c:catAx>
      <c:valAx>
        <c:axId val="2082891072"/>
        <c:scaling>
          <c:orientation val="minMax"/>
        </c:scaling>
        <c:delete val="1"/>
        <c:axPos val="b"/>
        <c:numFmt formatCode="General" sourceLinked="1"/>
        <c:majorTickMark val="none"/>
        <c:minorTickMark val="none"/>
        <c:tickLblPos val="nextTo"/>
        <c:crossAx val="208291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Class.xlsx]Pivot!PivotTable6</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Pivot!$B$93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Pivot!$A$94:$A$97</c:f>
              <c:strCache>
                <c:ptCount val="3"/>
                <c:pt idx="0">
                  <c:v>Keyboard</c:v>
                </c:pt>
                <c:pt idx="1">
                  <c:v>Scanner</c:v>
                </c:pt>
                <c:pt idx="2">
                  <c:v>Speaker</c:v>
                </c:pt>
              </c:strCache>
            </c:strRef>
          </c:cat>
          <c:val>
            <c:numRef>
              <c:f>Pivot!$B$94:$B$97</c:f>
              <c:numCache>
                <c:formatCode>General</c:formatCode>
                <c:ptCount val="3"/>
                <c:pt idx="0">
                  <c:v>132</c:v>
                </c:pt>
                <c:pt idx="1">
                  <c:v>242</c:v>
                </c:pt>
                <c:pt idx="2">
                  <c:v>218</c:v>
                </c:pt>
              </c:numCache>
            </c:numRef>
          </c:val>
          <c:extLst>
            <c:ext xmlns:c16="http://schemas.microsoft.com/office/drawing/2014/chart" uri="{C3380CC4-5D6E-409C-BE32-E72D297353CC}">
              <c16:uniqueId val="{00000000-D19F-48A0-9F42-5F4755B07CF1}"/>
            </c:ext>
          </c:extLst>
        </c:ser>
        <c:dLbls>
          <c:showLegendKey val="0"/>
          <c:showVal val="0"/>
          <c:showCatName val="0"/>
          <c:showSerName val="0"/>
          <c:showPercent val="0"/>
          <c:showBubbleSize val="0"/>
        </c:dLbls>
        <c:gapWidth val="182"/>
        <c:axId val="2082919872"/>
        <c:axId val="2082918912"/>
      </c:barChart>
      <c:catAx>
        <c:axId val="208291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18912"/>
        <c:crosses val="autoZero"/>
        <c:auto val="1"/>
        <c:lblAlgn val="ctr"/>
        <c:lblOffset val="100"/>
        <c:noMultiLvlLbl val="0"/>
      </c:catAx>
      <c:valAx>
        <c:axId val="2082918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9198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Class.xlsx]Pivot!PivotTable9</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Pivot!$A$104:$A$110</c:f>
              <c:strCache>
                <c:ptCount val="6"/>
                <c:pt idx="0">
                  <c:v>Ajit Kumar</c:v>
                </c:pt>
                <c:pt idx="1">
                  <c:v>Amit</c:v>
                </c:pt>
                <c:pt idx="2">
                  <c:v>Chandu</c:v>
                </c:pt>
                <c:pt idx="3">
                  <c:v>Ramesh</c:v>
                </c:pt>
                <c:pt idx="4">
                  <c:v>Rohit Das</c:v>
                </c:pt>
                <c:pt idx="5">
                  <c:v>Siddhu</c:v>
                </c:pt>
              </c:strCache>
            </c:strRef>
          </c:cat>
          <c:val>
            <c:numRef>
              <c:f>Pivot!$B$104:$B$110</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33B1-4982-BE23-E0A8F06D1DD3}"/>
            </c:ext>
          </c:extLst>
        </c:ser>
        <c:dLbls>
          <c:showLegendKey val="0"/>
          <c:showVal val="0"/>
          <c:showCatName val="0"/>
          <c:showSerName val="0"/>
          <c:showPercent val="0"/>
          <c:showBubbleSize val="0"/>
        </c:dLbls>
        <c:gapWidth val="219"/>
        <c:overlap val="-27"/>
        <c:axId val="1747704320"/>
        <c:axId val="1747720288"/>
      </c:barChart>
      <c:catAx>
        <c:axId val="174770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720288"/>
        <c:crosses val="autoZero"/>
        <c:auto val="1"/>
        <c:lblAlgn val="ctr"/>
        <c:lblOffset val="100"/>
        <c:noMultiLvlLbl val="0"/>
      </c:catAx>
      <c:valAx>
        <c:axId val="1747720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70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Class.xlsx]Pivot!PivotTable12</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Pivot!$A$114:$A$117</c:f>
              <c:strCache>
                <c:ptCount val="3"/>
                <c:pt idx="0">
                  <c:v>Ajit Kumar</c:v>
                </c:pt>
                <c:pt idx="1">
                  <c:v>Rohit Das</c:v>
                </c:pt>
                <c:pt idx="2">
                  <c:v>Siddhu</c:v>
                </c:pt>
              </c:strCache>
            </c:strRef>
          </c:cat>
          <c:val>
            <c:numRef>
              <c:f>Pivot!$B$114:$B$117</c:f>
              <c:numCache>
                <c:formatCode>General</c:formatCode>
                <c:ptCount val="3"/>
                <c:pt idx="0">
                  <c:v>386030</c:v>
                </c:pt>
                <c:pt idx="1">
                  <c:v>394410</c:v>
                </c:pt>
                <c:pt idx="2">
                  <c:v>551960</c:v>
                </c:pt>
              </c:numCache>
            </c:numRef>
          </c:val>
          <c:extLst>
            <c:ext xmlns:c16="http://schemas.microsoft.com/office/drawing/2014/chart" uri="{C3380CC4-5D6E-409C-BE32-E72D297353CC}">
              <c16:uniqueId val="{00000000-3C93-4AA5-A0C4-1708B4E25523}"/>
            </c:ext>
          </c:extLst>
        </c:ser>
        <c:dLbls>
          <c:showLegendKey val="0"/>
          <c:showVal val="0"/>
          <c:showCatName val="0"/>
          <c:showSerName val="0"/>
          <c:showPercent val="0"/>
          <c:showBubbleSize val="0"/>
        </c:dLbls>
        <c:gapWidth val="182"/>
        <c:axId val="114370752"/>
        <c:axId val="114377472"/>
      </c:barChart>
      <c:catAx>
        <c:axId val="11437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77472"/>
        <c:crosses val="autoZero"/>
        <c:auto val="1"/>
        <c:lblAlgn val="ctr"/>
        <c:lblOffset val="100"/>
        <c:noMultiLvlLbl val="0"/>
      </c:catAx>
      <c:valAx>
        <c:axId val="114377472"/>
        <c:scaling>
          <c:orientation val="minMax"/>
        </c:scaling>
        <c:delete val="1"/>
        <c:axPos val="b"/>
        <c:numFmt formatCode="General" sourceLinked="1"/>
        <c:majorTickMark val="none"/>
        <c:minorTickMark val="none"/>
        <c:tickLblPos val="nextTo"/>
        <c:crossAx val="11437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 Class.xlsx]Pivot!PivotTable13</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Pivot!$A$122:$A$125</c:f>
              <c:strCache>
                <c:ptCount val="3"/>
                <c:pt idx="0">
                  <c:v>Amit</c:v>
                </c:pt>
                <c:pt idx="1">
                  <c:v>Chandu</c:v>
                </c:pt>
                <c:pt idx="2">
                  <c:v>Ramesh</c:v>
                </c:pt>
              </c:strCache>
            </c:strRef>
          </c:cat>
          <c:val>
            <c:numRef>
              <c:f>Pivot!$B$122:$B$125</c:f>
              <c:numCache>
                <c:formatCode>General</c:formatCode>
                <c:ptCount val="3"/>
                <c:pt idx="0">
                  <c:v>184690</c:v>
                </c:pt>
                <c:pt idx="1">
                  <c:v>125600</c:v>
                </c:pt>
                <c:pt idx="2">
                  <c:v>139880</c:v>
                </c:pt>
              </c:numCache>
            </c:numRef>
          </c:val>
          <c:extLst>
            <c:ext xmlns:c16="http://schemas.microsoft.com/office/drawing/2014/chart" uri="{C3380CC4-5D6E-409C-BE32-E72D297353CC}">
              <c16:uniqueId val="{00000000-8F67-4A02-A9AE-197E67BAB8F4}"/>
            </c:ext>
          </c:extLst>
        </c:ser>
        <c:dLbls>
          <c:showLegendKey val="0"/>
          <c:showVal val="0"/>
          <c:showCatName val="0"/>
          <c:showSerName val="0"/>
          <c:showPercent val="0"/>
          <c:showBubbleSize val="0"/>
        </c:dLbls>
        <c:gapWidth val="182"/>
        <c:axId val="1585860224"/>
        <c:axId val="1585859264"/>
      </c:barChart>
      <c:catAx>
        <c:axId val="1585860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859264"/>
        <c:crosses val="autoZero"/>
        <c:auto val="1"/>
        <c:lblAlgn val="ctr"/>
        <c:lblOffset val="100"/>
        <c:noMultiLvlLbl val="0"/>
      </c:catAx>
      <c:valAx>
        <c:axId val="1585859264"/>
        <c:scaling>
          <c:orientation val="minMax"/>
        </c:scaling>
        <c:delete val="1"/>
        <c:axPos val="b"/>
        <c:numFmt formatCode="General" sourceLinked="1"/>
        <c:majorTickMark val="none"/>
        <c:minorTickMark val="none"/>
        <c:tickLblPos val="nextTo"/>
        <c:crossAx val="158586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image" Target="../media/image6.svg"/><Relationship Id="rId3" Type="http://schemas.openxmlformats.org/officeDocument/2006/relationships/hyperlink" Target="#Dashboard!A1"/><Relationship Id="rId7" Type="http://schemas.openxmlformats.org/officeDocument/2006/relationships/chart" Target="../charts/chart16.xml"/><Relationship Id="rId12" Type="http://schemas.openxmlformats.org/officeDocument/2006/relationships/image" Target="../media/image5.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About!A1"/><Relationship Id="rId11" Type="http://schemas.openxmlformats.org/officeDocument/2006/relationships/image" Target="../media/image4.svg"/><Relationship Id="rId5" Type="http://schemas.openxmlformats.org/officeDocument/2006/relationships/hyperlink" Target="#Salesmans!A1"/><Relationship Id="rId10" Type="http://schemas.openxmlformats.org/officeDocument/2006/relationships/image" Target="../media/image3.png"/><Relationship Id="rId4" Type="http://schemas.openxmlformats.org/officeDocument/2006/relationships/hyperlink" Target="#Products!A1"/><Relationship Id="rId9"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3" Type="http://schemas.openxmlformats.org/officeDocument/2006/relationships/hyperlink" Target="#Salesmans!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3" Type="http://schemas.openxmlformats.org/officeDocument/2006/relationships/hyperlink" Target="#About!A1"/><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10.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22860</xdr:colOff>
      <xdr:row>1</xdr:row>
      <xdr:rowOff>0</xdr:rowOff>
    </xdr:from>
    <xdr:to>
      <xdr:col>16</xdr:col>
      <xdr:colOff>30480</xdr:colOff>
      <xdr:row>16</xdr:row>
      <xdr:rowOff>137160</xdr:rowOff>
    </xdr:to>
    <xdr:graphicFrame macro="">
      <xdr:nvGraphicFramePr>
        <xdr:cNvPr id="2" name="Chart 1">
          <a:extLst>
            <a:ext uri="{FF2B5EF4-FFF2-40B4-BE49-F238E27FC236}">
              <a16:creationId xmlns:a16="http://schemas.microsoft.com/office/drawing/2014/main" id="{219FCC0F-D88A-9EC1-E723-2A2A2661F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571500</xdr:colOff>
      <xdr:row>18</xdr:row>
      <xdr:rowOff>19050</xdr:rowOff>
    </xdr:from>
    <xdr:to>
      <xdr:col>6</xdr:col>
      <xdr:colOff>586740</xdr:colOff>
      <xdr:row>33</xdr:row>
      <xdr:rowOff>19050</xdr:rowOff>
    </xdr:to>
    <xdr:graphicFrame macro="">
      <xdr:nvGraphicFramePr>
        <xdr:cNvPr id="3" name="Chart 2">
          <a:extLst>
            <a:ext uri="{FF2B5EF4-FFF2-40B4-BE49-F238E27FC236}">
              <a16:creationId xmlns:a16="http://schemas.microsoft.com/office/drawing/2014/main" id="{6CE591BC-E5AF-4D44-531F-5758781D12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60960</xdr:colOff>
      <xdr:row>18</xdr:row>
      <xdr:rowOff>15240</xdr:rowOff>
    </xdr:from>
    <xdr:to>
      <xdr:col>15</xdr:col>
      <xdr:colOff>579120</xdr:colOff>
      <xdr:row>33</xdr:row>
      <xdr:rowOff>0</xdr:rowOff>
    </xdr:to>
    <xdr:graphicFrame macro="">
      <xdr:nvGraphicFramePr>
        <xdr:cNvPr id="4" name="Chart 3">
          <a:extLst>
            <a:ext uri="{FF2B5EF4-FFF2-40B4-BE49-F238E27FC236}">
              <a16:creationId xmlns:a16="http://schemas.microsoft.com/office/drawing/2014/main" id="{50905BF9-A276-457B-9695-E33A9FF8E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213360</xdr:colOff>
      <xdr:row>17</xdr:row>
      <xdr:rowOff>140970</xdr:rowOff>
    </xdr:from>
    <xdr:to>
      <xdr:col>23</xdr:col>
      <xdr:colOff>518160</xdr:colOff>
      <xdr:row>32</xdr:row>
      <xdr:rowOff>140970</xdr:rowOff>
    </xdr:to>
    <xdr:graphicFrame macro="">
      <xdr:nvGraphicFramePr>
        <xdr:cNvPr id="5" name="Chart 4">
          <a:extLst>
            <a:ext uri="{FF2B5EF4-FFF2-40B4-BE49-F238E27FC236}">
              <a16:creationId xmlns:a16="http://schemas.microsoft.com/office/drawing/2014/main" id="{360E92E8-845F-E070-634B-5CC2FFA8BA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426720</xdr:colOff>
      <xdr:row>4</xdr:row>
      <xdr:rowOff>175260</xdr:rowOff>
    </xdr:from>
    <xdr:to>
      <xdr:col>5</xdr:col>
      <xdr:colOff>198120</xdr:colOff>
      <xdr:row>18</xdr:row>
      <xdr:rowOff>81915</xdr:rowOff>
    </xdr:to>
    <mc:AlternateContent xmlns:mc="http://schemas.openxmlformats.org/markup-compatibility/2006" xmlns:a14="http://schemas.microsoft.com/office/drawing/2010/main">
      <mc:Choice Requires="a14">
        <xdr:graphicFrame macro="">
          <xdr:nvGraphicFramePr>
            <xdr:cNvPr id="2" name="Order ID">
              <a:extLst>
                <a:ext uri="{FF2B5EF4-FFF2-40B4-BE49-F238E27FC236}">
                  <a16:creationId xmlns:a16="http://schemas.microsoft.com/office/drawing/2014/main" id="{96427697-CA82-3570-E527-03F3A3E53931}"/>
                </a:ext>
              </a:extLst>
            </xdr:cNvPr>
            <xdr:cNvGraphicFramePr/>
          </xdr:nvGraphicFramePr>
          <xdr:xfrm>
            <a:off x="0" y="0"/>
            <a:ext cx="0" cy="0"/>
          </xdr:xfrm>
          <a:graphic>
            <a:graphicData uri="http://schemas.microsoft.com/office/drawing/2010/slicer">
              <sle:slicer xmlns:sle="http://schemas.microsoft.com/office/drawing/2010/slicer" name="Order ID"/>
            </a:graphicData>
          </a:graphic>
        </xdr:graphicFrame>
      </mc:Choice>
      <mc:Fallback xmlns="">
        <xdr:sp macro="" textlink="">
          <xdr:nvSpPr>
            <xdr:cNvPr id="0" name=""/>
            <xdr:cNvSpPr>
              <a:spLocks noTextEdit="1"/>
            </xdr:cNvSpPr>
          </xdr:nvSpPr>
          <xdr:spPr>
            <a:xfrm>
              <a:off x="3223260" y="906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259080</xdr:colOff>
      <xdr:row>5</xdr:row>
      <xdr:rowOff>45720</xdr:rowOff>
    </xdr:from>
    <xdr:to>
      <xdr:col>19</xdr:col>
      <xdr:colOff>259080</xdr:colOff>
      <xdr:row>18</xdr:row>
      <xdr:rowOff>135255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4C496D37-31DB-0BC3-4B4B-8BFF6048227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980420" y="96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556260</xdr:colOff>
      <xdr:row>5</xdr:row>
      <xdr:rowOff>0</xdr:rowOff>
    </xdr:from>
    <xdr:to>
      <xdr:col>9</xdr:col>
      <xdr:colOff>259080</xdr:colOff>
      <xdr:row>18</xdr:row>
      <xdr:rowOff>89535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ABAB04DB-E5F7-F321-60E1-BDBEB3E5690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181600" y="914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xdr:colOff>
      <xdr:row>5</xdr:row>
      <xdr:rowOff>7620</xdr:rowOff>
    </xdr:from>
    <xdr:to>
      <xdr:col>12</xdr:col>
      <xdr:colOff>426720</xdr:colOff>
      <xdr:row>18</xdr:row>
      <xdr:rowOff>97155</xdr:rowOff>
    </xdr:to>
    <mc:AlternateContent xmlns:mc="http://schemas.openxmlformats.org/markup-compatibility/2006" xmlns:a14="http://schemas.microsoft.com/office/drawing/2010/main">
      <mc:Choice Requires="a14">
        <xdr:graphicFrame macro="">
          <xdr:nvGraphicFramePr>
            <xdr:cNvPr id="5" name="Amount">
              <a:extLst>
                <a:ext uri="{FF2B5EF4-FFF2-40B4-BE49-F238E27FC236}">
                  <a16:creationId xmlns:a16="http://schemas.microsoft.com/office/drawing/2014/main" id="{5B7EC03D-720A-06A1-2CE7-1E9E05D0010E}"/>
                </a:ext>
              </a:extLst>
            </xdr:cNvPr>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mlns="">
        <xdr:sp macro="" textlink="">
          <xdr:nvSpPr>
            <xdr:cNvPr id="0" name=""/>
            <xdr:cNvSpPr>
              <a:spLocks noTextEdit="1"/>
            </xdr:cNvSpPr>
          </xdr:nvSpPr>
          <xdr:spPr>
            <a:xfrm>
              <a:off x="7109460" y="922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137160</xdr:colOff>
      <xdr:row>5</xdr:row>
      <xdr:rowOff>15240</xdr:rowOff>
    </xdr:from>
    <xdr:to>
      <xdr:col>16</xdr:col>
      <xdr:colOff>137160</xdr:colOff>
      <xdr:row>18</xdr:row>
      <xdr:rowOff>104775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E64C423E-A3CC-FABB-BE30-D6102F22316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029700" y="92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381000</xdr:colOff>
      <xdr:row>2</xdr:row>
      <xdr:rowOff>83820</xdr:rowOff>
    </xdr:from>
    <xdr:to>
      <xdr:col>14</xdr:col>
      <xdr:colOff>114300</xdr:colOff>
      <xdr:row>21</xdr:row>
      <xdr:rowOff>41910</xdr:rowOff>
    </xdr:to>
    <xdr:graphicFrame macro="">
      <xdr:nvGraphicFramePr>
        <xdr:cNvPr id="2" name="Chart 1">
          <a:extLst>
            <a:ext uri="{FF2B5EF4-FFF2-40B4-BE49-F238E27FC236}">
              <a16:creationId xmlns:a16="http://schemas.microsoft.com/office/drawing/2014/main" id="{9728A161-ECBF-065F-E1C4-7CA57BA38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251460</xdr:colOff>
      <xdr:row>0</xdr:row>
      <xdr:rowOff>175260</xdr:rowOff>
    </xdr:from>
    <xdr:to>
      <xdr:col>9</xdr:col>
      <xdr:colOff>251460</xdr:colOff>
      <xdr:row>10</xdr:row>
      <xdr:rowOff>175260</xdr:rowOff>
    </xdr:to>
    <xdr:graphicFrame macro="">
      <xdr:nvGraphicFramePr>
        <xdr:cNvPr id="2" name="Chart 1">
          <a:extLst>
            <a:ext uri="{FF2B5EF4-FFF2-40B4-BE49-F238E27FC236}">
              <a16:creationId xmlns:a16="http://schemas.microsoft.com/office/drawing/2014/main" id="{A043ACCA-6E17-420E-55DE-B1262733B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525780</xdr:colOff>
      <xdr:row>0</xdr:row>
      <xdr:rowOff>152400</xdr:rowOff>
    </xdr:from>
    <xdr:to>
      <xdr:col>9</xdr:col>
      <xdr:colOff>601980</xdr:colOff>
      <xdr:row>5</xdr:row>
      <xdr:rowOff>160020</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346A56CF-17C9-CBE0-F057-E35DC8EA723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386840" y="152400"/>
              <a:ext cx="5440680"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3</xdr:col>
      <xdr:colOff>114300</xdr:colOff>
      <xdr:row>13</xdr:row>
      <xdr:rowOff>7621</xdr:rowOff>
    </xdr:from>
    <xdr:to>
      <xdr:col>6</xdr:col>
      <xdr:colOff>167640</xdr:colOff>
      <xdr:row>17</xdr:row>
      <xdr:rowOff>121920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4272406A-9684-F7E3-082E-86813D3C088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194560" y="2385061"/>
              <a:ext cx="1882140" cy="845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167640</xdr:colOff>
      <xdr:row>24</xdr:row>
      <xdr:rowOff>68581</xdr:rowOff>
    </xdr:from>
    <xdr:to>
      <xdr:col>8</xdr:col>
      <xdr:colOff>449580</xdr:colOff>
      <xdr:row>27</xdr:row>
      <xdr:rowOff>129540</xdr:rowOff>
    </xdr:to>
    <mc:AlternateContent xmlns:mc="http://schemas.openxmlformats.org/markup-compatibility/2006" xmlns:a14="http://schemas.microsoft.com/office/drawing/2010/main">
      <mc:Choice Requires="a14">
        <xdr:graphicFrame macro="">
          <xdr:nvGraphicFramePr>
            <xdr:cNvPr id="6" name="Item">
              <a:extLst>
                <a:ext uri="{FF2B5EF4-FFF2-40B4-BE49-F238E27FC236}">
                  <a16:creationId xmlns:a16="http://schemas.microsoft.com/office/drawing/2014/main" id="{73531EA1-4CF9-D43A-F582-E00AB270160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638300" y="4457701"/>
              <a:ext cx="404622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83820</xdr:colOff>
      <xdr:row>32</xdr:row>
      <xdr:rowOff>22860</xdr:rowOff>
    </xdr:from>
    <xdr:to>
      <xdr:col>9</xdr:col>
      <xdr:colOff>563880</xdr:colOff>
      <xdr:row>40</xdr:row>
      <xdr:rowOff>152400</xdr:rowOff>
    </xdr:to>
    <xdr:graphicFrame macro="">
      <xdr:nvGraphicFramePr>
        <xdr:cNvPr id="2" name="Chart 1">
          <a:extLst>
            <a:ext uri="{FF2B5EF4-FFF2-40B4-BE49-F238E27FC236}">
              <a16:creationId xmlns:a16="http://schemas.microsoft.com/office/drawing/2014/main" id="{79F47165-420B-A2E4-E7C4-C33C895CE6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601980</xdr:colOff>
      <xdr:row>46</xdr:row>
      <xdr:rowOff>140970</xdr:rowOff>
    </xdr:from>
    <xdr:to>
      <xdr:col>9</xdr:col>
      <xdr:colOff>198120</xdr:colOff>
      <xdr:row>55</xdr:row>
      <xdr:rowOff>91440</xdr:rowOff>
    </xdr:to>
    <xdr:graphicFrame macro="">
      <xdr:nvGraphicFramePr>
        <xdr:cNvPr id="3" name="Chart 2">
          <a:extLst>
            <a:ext uri="{FF2B5EF4-FFF2-40B4-BE49-F238E27FC236}">
              <a16:creationId xmlns:a16="http://schemas.microsoft.com/office/drawing/2014/main" id="{54BAD537-F103-CED8-3D19-C4F53909E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586740</xdr:colOff>
      <xdr:row>56</xdr:row>
      <xdr:rowOff>171450</xdr:rowOff>
    </xdr:from>
    <xdr:to>
      <xdr:col>8</xdr:col>
      <xdr:colOff>441960</xdr:colOff>
      <xdr:row>65</xdr:row>
      <xdr:rowOff>22860</xdr:rowOff>
    </xdr:to>
    <xdr:graphicFrame macro="">
      <xdr:nvGraphicFramePr>
        <xdr:cNvPr id="7" name="Chart 6">
          <a:extLst>
            <a:ext uri="{FF2B5EF4-FFF2-40B4-BE49-F238E27FC236}">
              <a16:creationId xmlns:a16="http://schemas.microsoft.com/office/drawing/2014/main" id="{AF74612A-4DE9-FE16-7679-00ADC48A5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670560</xdr:colOff>
      <xdr:row>74</xdr:row>
      <xdr:rowOff>49530</xdr:rowOff>
    </xdr:from>
    <xdr:to>
      <xdr:col>10</xdr:col>
      <xdr:colOff>7620</xdr:colOff>
      <xdr:row>82</xdr:row>
      <xdr:rowOff>160020</xdr:rowOff>
    </xdr:to>
    <xdr:graphicFrame macro="">
      <xdr:nvGraphicFramePr>
        <xdr:cNvPr id="8" name="Chart 7">
          <a:extLst>
            <a:ext uri="{FF2B5EF4-FFF2-40B4-BE49-F238E27FC236}">
              <a16:creationId xmlns:a16="http://schemas.microsoft.com/office/drawing/2014/main" id="{DD108D1A-8C6F-E767-07C5-BED6A9960D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662940</xdr:colOff>
      <xdr:row>84</xdr:row>
      <xdr:rowOff>179070</xdr:rowOff>
    </xdr:from>
    <xdr:to>
      <xdr:col>9</xdr:col>
      <xdr:colOff>403860</xdr:colOff>
      <xdr:row>91</xdr:row>
      <xdr:rowOff>91440</xdr:rowOff>
    </xdr:to>
    <xdr:graphicFrame macro="">
      <xdr:nvGraphicFramePr>
        <xdr:cNvPr id="9" name="Chart 8">
          <a:extLst>
            <a:ext uri="{FF2B5EF4-FFF2-40B4-BE49-F238E27FC236}">
              <a16:creationId xmlns:a16="http://schemas.microsoft.com/office/drawing/2014/main" id="{509ACE83-463A-6EDC-8237-F65ACCF22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533400</xdr:colOff>
      <xdr:row>92</xdr:row>
      <xdr:rowOff>41910</xdr:rowOff>
    </xdr:from>
    <xdr:to>
      <xdr:col>9</xdr:col>
      <xdr:colOff>396240</xdr:colOff>
      <xdr:row>100</xdr:row>
      <xdr:rowOff>114300</xdr:rowOff>
    </xdr:to>
    <xdr:graphicFrame macro="">
      <xdr:nvGraphicFramePr>
        <xdr:cNvPr id="10" name="Chart 9">
          <a:extLst>
            <a:ext uri="{FF2B5EF4-FFF2-40B4-BE49-F238E27FC236}">
              <a16:creationId xmlns:a16="http://schemas.microsoft.com/office/drawing/2014/main" id="{8040ECBA-D620-DDD5-A41C-C7DFD8475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381000</xdr:colOff>
      <xdr:row>101</xdr:row>
      <xdr:rowOff>102870</xdr:rowOff>
    </xdr:from>
    <xdr:to>
      <xdr:col>8</xdr:col>
      <xdr:colOff>601980</xdr:colOff>
      <xdr:row>110</xdr:row>
      <xdr:rowOff>0</xdr:rowOff>
    </xdr:to>
    <xdr:graphicFrame macro="">
      <xdr:nvGraphicFramePr>
        <xdr:cNvPr id="11" name="Chart 10">
          <a:extLst>
            <a:ext uri="{FF2B5EF4-FFF2-40B4-BE49-F238E27FC236}">
              <a16:creationId xmlns:a16="http://schemas.microsoft.com/office/drawing/2014/main" id="{65955221-A1B3-0DAC-6DF3-6FE5476ED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429087</xdr:colOff>
      <xdr:row>111</xdr:row>
      <xdr:rowOff>100613</xdr:rowOff>
    </xdr:from>
    <xdr:to>
      <xdr:col>8</xdr:col>
      <xdr:colOff>547457</xdr:colOff>
      <xdr:row>118</xdr:row>
      <xdr:rowOff>177553</xdr:rowOff>
    </xdr:to>
    <xdr:graphicFrame macro="">
      <xdr:nvGraphicFramePr>
        <xdr:cNvPr id="12" name="Chart 11">
          <a:extLst>
            <a:ext uri="{FF2B5EF4-FFF2-40B4-BE49-F238E27FC236}">
              <a16:creationId xmlns:a16="http://schemas.microsoft.com/office/drawing/2014/main" id="{D494F244-2518-37D5-9E34-F500DAE8B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366203</xdr:colOff>
      <xdr:row>119</xdr:row>
      <xdr:rowOff>152401</xdr:rowOff>
    </xdr:from>
    <xdr:to>
      <xdr:col>8</xdr:col>
      <xdr:colOff>584447</xdr:colOff>
      <xdr:row>127</xdr:row>
      <xdr:rowOff>29592</xdr:rowOff>
    </xdr:to>
    <xdr:graphicFrame macro="">
      <xdr:nvGraphicFramePr>
        <xdr:cNvPr id="13" name="Chart 12">
          <a:extLst>
            <a:ext uri="{FF2B5EF4-FFF2-40B4-BE49-F238E27FC236}">
              <a16:creationId xmlns:a16="http://schemas.microsoft.com/office/drawing/2014/main" id="{501E46BD-95AD-CABA-0BD9-2BEDC43BA9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358140</xdr:colOff>
      <xdr:row>0</xdr:row>
      <xdr:rowOff>167640</xdr:rowOff>
    </xdr:from>
    <xdr:to>
      <xdr:col>18</xdr:col>
      <xdr:colOff>22860</xdr:colOff>
      <xdr:row>28</xdr:row>
      <xdr:rowOff>30480</xdr:rowOff>
    </xdr:to>
    <xdr:sp macro="" textlink="">
      <xdr:nvSpPr>
        <xdr:cNvPr id="2" name="Rectangle: Rounded Corners 1">
          <a:extLst>
            <a:ext uri="{FF2B5EF4-FFF2-40B4-BE49-F238E27FC236}">
              <a16:creationId xmlns:a16="http://schemas.microsoft.com/office/drawing/2014/main" id="{61B03D3F-E820-44BA-A7CF-0F5CDE4A6AF8}"/>
            </a:ext>
          </a:extLst>
        </xdr:cNvPr>
        <xdr:cNvSpPr/>
      </xdr:nvSpPr>
      <xdr:spPr>
        <a:xfrm>
          <a:off x="2186940" y="167640"/>
          <a:ext cx="8808720" cy="4800600"/>
        </a:xfrm>
        <a:prstGeom prst="roundRect">
          <a:avLst>
            <a:gd name="adj" fmla="val 984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548640</xdr:colOff>
      <xdr:row>0</xdr:row>
      <xdr:rowOff>175260</xdr:rowOff>
    </xdr:from>
    <xdr:to>
      <xdr:col>20</xdr:col>
      <xdr:colOff>213360</xdr:colOff>
      <xdr:row>28</xdr:row>
      <xdr:rowOff>38100</xdr:rowOff>
    </xdr:to>
    <xdr:sp macro="" textlink="">
      <xdr:nvSpPr>
        <xdr:cNvPr id="3" name="Rectangle: Rounded Corners 2">
          <a:extLst>
            <a:ext uri="{FF2B5EF4-FFF2-40B4-BE49-F238E27FC236}">
              <a16:creationId xmlns:a16="http://schemas.microsoft.com/office/drawing/2014/main" id="{7D2B86E6-E83F-4133-AEAD-69B330B564A4}"/>
            </a:ext>
          </a:extLst>
        </xdr:cNvPr>
        <xdr:cNvSpPr/>
      </xdr:nvSpPr>
      <xdr:spPr>
        <a:xfrm>
          <a:off x="3596640" y="175260"/>
          <a:ext cx="8808720" cy="4983480"/>
        </a:xfrm>
        <a:prstGeom prst="roundRect">
          <a:avLst>
            <a:gd name="adj" fmla="val 984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6</xdr:col>
      <xdr:colOff>15240</xdr:colOff>
      <xdr:row>3</xdr:row>
      <xdr:rowOff>53340</xdr:rowOff>
    </xdr:from>
    <xdr:to>
      <xdr:col>15</xdr:col>
      <xdr:colOff>571500</xdr:colOff>
      <xdr:row>8</xdr:row>
      <xdr:rowOff>60960</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7B344AE9-2A5D-4DB6-88B6-BF1E9A26190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3672840" y="601980"/>
              <a:ext cx="6042660"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144780</xdr:colOff>
      <xdr:row>3</xdr:row>
      <xdr:rowOff>38100</xdr:rowOff>
    </xdr:from>
    <xdr:to>
      <xdr:col>19</xdr:col>
      <xdr:colOff>198120</xdr:colOff>
      <xdr:row>8</xdr:row>
      <xdr:rowOff>68580</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42DE4D26-C301-44E2-881A-4A8FEAC181A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898380" y="586740"/>
              <a:ext cx="18821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8</xdr:row>
      <xdr:rowOff>160020</xdr:rowOff>
    </xdr:from>
    <xdr:to>
      <xdr:col>19</xdr:col>
      <xdr:colOff>198120</xdr:colOff>
      <xdr:row>12</xdr:row>
      <xdr:rowOff>38099</xdr:rowOff>
    </xdr:to>
    <mc:AlternateContent xmlns:mc="http://schemas.openxmlformats.org/markup-compatibility/2006" xmlns:a14="http://schemas.microsoft.com/office/drawing/2010/main">
      <mc:Choice Requires="a14">
        <xdr:graphicFrame macro="">
          <xdr:nvGraphicFramePr>
            <xdr:cNvPr id="6" name="Item 1">
              <a:extLst>
                <a:ext uri="{FF2B5EF4-FFF2-40B4-BE49-F238E27FC236}">
                  <a16:creationId xmlns:a16="http://schemas.microsoft.com/office/drawing/2014/main" id="{9BE53924-F304-4AC0-AE2C-B46A45AD6741}"/>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3657600" y="1623060"/>
              <a:ext cx="812292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228600</xdr:colOff>
      <xdr:row>13</xdr:row>
      <xdr:rowOff>60960</xdr:rowOff>
    </xdr:from>
    <xdr:to>
      <xdr:col>19</xdr:col>
      <xdr:colOff>182880</xdr:colOff>
      <xdr:row>20</xdr:row>
      <xdr:rowOff>22860</xdr:rowOff>
    </xdr:to>
    <xdr:sp macro="" textlink="">
      <xdr:nvSpPr>
        <xdr:cNvPr id="7" name="Rectangle 6">
          <a:extLst>
            <a:ext uri="{FF2B5EF4-FFF2-40B4-BE49-F238E27FC236}">
              <a16:creationId xmlns:a16="http://schemas.microsoft.com/office/drawing/2014/main" id="{4105A4FF-6EB6-EB45-A658-CC78156EBD67}"/>
            </a:ext>
          </a:extLst>
        </xdr:cNvPr>
        <xdr:cNvSpPr/>
      </xdr:nvSpPr>
      <xdr:spPr>
        <a:xfrm>
          <a:off x="8153400" y="2438400"/>
          <a:ext cx="3611880" cy="12420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175260</xdr:colOff>
      <xdr:row>20</xdr:row>
      <xdr:rowOff>137160</xdr:rowOff>
    </xdr:from>
    <xdr:to>
      <xdr:col>19</xdr:col>
      <xdr:colOff>160020</xdr:colOff>
      <xdr:row>27</xdr:row>
      <xdr:rowOff>99060</xdr:rowOff>
    </xdr:to>
    <xdr:sp macro="" textlink="">
      <xdr:nvSpPr>
        <xdr:cNvPr id="8" name="Rectangle 7">
          <a:extLst>
            <a:ext uri="{FF2B5EF4-FFF2-40B4-BE49-F238E27FC236}">
              <a16:creationId xmlns:a16="http://schemas.microsoft.com/office/drawing/2014/main" id="{08B95745-4089-4006-BF48-755E51190E52}"/>
            </a:ext>
          </a:extLst>
        </xdr:cNvPr>
        <xdr:cNvSpPr/>
      </xdr:nvSpPr>
      <xdr:spPr>
        <a:xfrm>
          <a:off x="8100060" y="3794760"/>
          <a:ext cx="3642360" cy="12420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419100</xdr:colOff>
      <xdr:row>18</xdr:row>
      <xdr:rowOff>30480</xdr:rowOff>
    </xdr:from>
    <xdr:to>
      <xdr:col>12</xdr:col>
      <xdr:colOff>541020</xdr:colOff>
      <xdr:row>27</xdr:row>
      <xdr:rowOff>83820</xdr:rowOff>
    </xdr:to>
    <xdr:sp macro="" textlink="">
      <xdr:nvSpPr>
        <xdr:cNvPr id="9" name="Rectangle 8">
          <a:extLst>
            <a:ext uri="{FF2B5EF4-FFF2-40B4-BE49-F238E27FC236}">
              <a16:creationId xmlns:a16="http://schemas.microsoft.com/office/drawing/2014/main" id="{CEE23823-1C89-435B-B031-1CE464B8107D}"/>
            </a:ext>
          </a:extLst>
        </xdr:cNvPr>
        <xdr:cNvSpPr/>
      </xdr:nvSpPr>
      <xdr:spPr>
        <a:xfrm>
          <a:off x="4076700" y="3322320"/>
          <a:ext cx="3779520" cy="1699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5</xdr:col>
      <xdr:colOff>541020</xdr:colOff>
      <xdr:row>11</xdr:row>
      <xdr:rowOff>160020</xdr:rowOff>
    </xdr:from>
    <xdr:to>
      <xdr:col>6</xdr:col>
      <xdr:colOff>495300</xdr:colOff>
      <xdr:row>14</xdr:row>
      <xdr:rowOff>99060</xdr:rowOff>
    </xdr:to>
    <xdr:pic>
      <xdr:nvPicPr>
        <xdr:cNvPr id="11" name="Graphic 10" descr="Bar chart with solid fill">
          <a:extLst>
            <a:ext uri="{FF2B5EF4-FFF2-40B4-BE49-F238E27FC236}">
              <a16:creationId xmlns:a16="http://schemas.microsoft.com/office/drawing/2014/main" id="{0048E687-3A6F-F7CB-70BE-BCD9C15A98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89020" y="2171700"/>
          <a:ext cx="563880" cy="487680"/>
        </a:xfrm>
        <a:prstGeom prst="rect">
          <a:avLst/>
        </a:prstGeom>
      </xdr:spPr>
    </xdr:pic>
    <xdr:clientData/>
  </xdr:twoCellAnchor>
  <xdr:twoCellAnchor>
    <xdr:from>
      <xdr:col>6</xdr:col>
      <xdr:colOff>464820</xdr:colOff>
      <xdr:row>12</xdr:row>
      <xdr:rowOff>160020</xdr:rowOff>
    </xdr:from>
    <xdr:to>
      <xdr:col>8</xdr:col>
      <xdr:colOff>68580</xdr:colOff>
      <xdr:row>14</xdr:row>
      <xdr:rowOff>60960</xdr:rowOff>
    </xdr:to>
    <xdr:sp macro="" textlink="">
      <xdr:nvSpPr>
        <xdr:cNvPr id="12" name="Rectangle 11">
          <a:extLst>
            <a:ext uri="{FF2B5EF4-FFF2-40B4-BE49-F238E27FC236}">
              <a16:creationId xmlns:a16="http://schemas.microsoft.com/office/drawing/2014/main" id="{6BF376E3-E770-CD21-6D48-9608069FBC77}"/>
            </a:ext>
          </a:extLst>
        </xdr:cNvPr>
        <xdr:cNvSpPr/>
      </xdr:nvSpPr>
      <xdr:spPr>
        <a:xfrm>
          <a:off x="4122420" y="2354580"/>
          <a:ext cx="822960" cy="266700"/>
        </a:xfrm>
        <a:prstGeom prst="rect">
          <a:avLst/>
        </a:prstGeom>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a:t>ANALYTICS</a:t>
          </a:r>
        </a:p>
      </xdr:txBody>
    </xdr:sp>
    <xdr:clientData/>
  </xdr:twoCellAnchor>
  <xdr:twoCellAnchor>
    <xdr:from>
      <xdr:col>3</xdr:col>
      <xdr:colOff>541020</xdr:colOff>
      <xdr:row>5</xdr:row>
      <xdr:rowOff>91440</xdr:rowOff>
    </xdr:from>
    <xdr:to>
      <xdr:col>5</xdr:col>
      <xdr:colOff>274320</xdr:colOff>
      <xdr:row>7</xdr:row>
      <xdr:rowOff>60960</xdr:rowOff>
    </xdr:to>
    <xdr:sp macro="" textlink="">
      <xdr:nvSpPr>
        <xdr:cNvPr id="13" name="Rectangle: Rounded Corners 12">
          <a:hlinkClick xmlns:r="http://schemas.openxmlformats.org/officeDocument/2006/relationships" r:id="rId3"/>
          <a:extLst>
            <a:ext uri="{FF2B5EF4-FFF2-40B4-BE49-F238E27FC236}">
              <a16:creationId xmlns:a16="http://schemas.microsoft.com/office/drawing/2014/main" id="{84A0BC88-6ABF-3E63-C57B-D7D4D32F8F40}"/>
            </a:ext>
          </a:extLst>
        </xdr:cNvPr>
        <xdr:cNvSpPr/>
      </xdr:nvSpPr>
      <xdr:spPr>
        <a:xfrm>
          <a:off x="2369820" y="1005840"/>
          <a:ext cx="952500" cy="3352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0" cap="none" spc="0">
              <a:ln w="0"/>
              <a:solidFill>
                <a:schemeClr val="accent1"/>
              </a:solidFill>
              <a:effectLst>
                <a:outerShdw blurRad="38100" dist="25400" dir="5400000" algn="ctr" rotWithShape="0">
                  <a:srgbClr val="6E747A">
                    <a:alpha val="43000"/>
                  </a:srgbClr>
                </a:outerShdw>
              </a:effectLst>
            </a:rPr>
            <a:t>DASHBOARD</a:t>
          </a:r>
          <a:endParaRPr lang="en-IN" sz="1100"/>
        </a:p>
      </xdr:txBody>
    </xdr:sp>
    <xdr:clientData/>
  </xdr:twoCellAnchor>
  <xdr:twoCellAnchor>
    <xdr:from>
      <xdr:col>3</xdr:col>
      <xdr:colOff>525780</xdr:colOff>
      <xdr:row>8</xdr:row>
      <xdr:rowOff>106680</xdr:rowOff>
    </xdr:from>
    <xdr:to>
      <xdr:col>5</xdr:col>
      <xdr:colOff>259080</xdr:colOff>
      <xdr:row>10</xdr:row>
      <xdr:rowOff>76200</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7AE4DFA8-45E4-473C-8637-024E1F41CB1B}"/>
            </a:ext>
          </a:extLst>
        </xdr:cNvPr>
        <xdr:cNvSpPr/>
      </xdr:nvSpPr>
      <xdr:spPr>
        <a:xfrm>
          <a:off x="2354580" y="1569720"/>
          <a:ext cx="9525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PRODUCTS</a:t>
          </a:r>
        </a:p>
      </xdr:txBody>
    </xdr:sp>
    <xdr:clientData/>
  </xdr:twoCellAnchor>
  <xdr:twoCellAnchor>
    <xdr:from>
      <xdr:col>3</xdr:col>
      <xdr:colOff>518160</xdr:colOff>
      <xdr:row>11</xdr:row>
      <xdr:rowOff>152400</xdr:rowOff>
    </xdr:from>
    <xdr:to>
      <xdr:col>5</xdr:col>
      <xdr:colOff>297180</xdr:colOff>
      <xdr:row>13</xdr:row>
      <xdr:rowOff>121920</xdr:rowOff>
    </xdr:to>
    <xdr:sp macro="" textlink="">
      <xdr:nvSpPr>
        <xdr:cNvPr id="18" name="Rectangle: Rounded Corners 17">
          <a:hlinkClick xmlns:r="http://schemas.openxmlformats.org/officeDocument/2006/relationships" r:id="rId5"/>
          <a:extLst>
            <a:ext uri="{FF2B5EF4-FFF2-40B4-BE49-F238E27FC236}">
              <a16:creationId xmlns:a16="http://schemas.microsoft.com/office/drawing/2014/main" id="{932466C4-D826-4DE8-BD46-714FC811E981}"/>
            </a:ext>
          </a:extLst>
        </xdr:cNvPr>
        <xdr:cNvSpPr/>
      </xdr:nvSpPr>
      <xdr:spPr>
        <a:xfrm>
          <a:off x="2346960" y="2164080"/>
          <a:ext cx="99822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SALESMANS</a:t>
          </a:r>
        </a:p>
      </xdr:txBody>
    </xdr:sp>
    <xdr:clientData/>
  </xdr:twoCellAnchor>
  <xdr:twoCellAnchor>
    <xdr:from>
      <xdr:col>3</xdr:col>
      <xdr:colOff>510540</xdr:colOff>
      <xdr:row>15</xdr:row>
      <xdr:rowOff>83820</xdr:rowOff>
    </xdr:from>
    <xdr:to>
      <xdr:col>5</xdr:col>
      <xdr:colOff>243840</xdr:colOff>
      <xdr:row>17</xdr:row>
      <xdr:rowOff>53340</xdr:rowOff>
    </xdr:to>
    <xdr:sp macro="" textlink="">
      <xdr:nvSpPr>
        <xdr:cNvPr id="19" name="Rectangle: Rounded Corners 18">
          <a:hlinkClick xmlns:r="http://schemas.openxmlformats.org/officeDocument/2006/relationships" r:id="rId6"/>
          <a:extLst>
            <a:ext uri="{FF2B5EF4-FFF2-40B4-BE49-F238E27FC236}">
              <a16:creationId xmlns:a16="http://schemas.microsoft.com/office/drawing/2014/main" id="{C258E9B5-96E9-469A-887D-A2B5F7F2AD66}"/>
            </a:ext>
          </a:extLst>
        </xdr:cNvPr>
        <xdr:cNvSpPr/>
      </xdr:nvSpPr>
      <xdr:spPr>
        <a:xfrm>
          <a:off x="2339340" y="2827020"/>
          <a:ext cx="9525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ABOUT</a:t>
          </a:r>
        </a:p>
      </xdr:txBody>
    </xdr:sp>
    <xdr:clientData/>
  </xdr:twoCellAnchor>
  <xdr:twoCellAnchor>
    <xdr:from>
      <xdr:col>13</xdr:col>
      <xdr:colOff>160020</xdr:colOff>
      <xdr:row>13</xdr:row>
      <xdr:rowOff>60960</xdr:rowOff>
    </xdr:from>
    <xdr:to>
      <xdr:col>19</xdr:col>
      <xdr:colOff>152400</xdr:colOff>
      <xdr:row>20</xdr:row>
      <xdr:rowOff>0</xdr:rowOff>
    </xdr:to>
    <xdr:graphicFrame macro="">
      <xdr:nvGraphicFramePr>
        <xdr:cNvPr id="10" name="Chart 9">
          <a:extLst>
            <a:ext uri="{FF2B5EF4-FFF2-40B4-BE49-F238E27FC236}">
              <a16:creationId xmlns:a16="http://schemas.microsoft.com/office/drawing/2014/main" id="{832A06B2-E06E-4936-8997-3D21C3619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274320</xdr:colOff>
      <xdr:row>13</xdr:row>
      <xdr:rowOff>83820</xdr:rowOff>
    </xdr:from>
    <xdr:to>
      <xdr:col>17</xdr:col>
      <xdr:colOff>251460</xdr:colOff>
      <xdr:row>14</xdr:row>
      <xdr:rowOff>167640</xdr:rowOff>
    </xdr:to>
    <xdr:sp macro="" textlink="">
      <xdr:nvSpPr>
        <xdr:cNvPr id="15" name="Rectangle 14">
          <a:extLst>
            <a:ext uri="{FF2B5EF4-FFF2-40B4-BE49-F238E27FC236}">
              <a16:creationId xmlns:a16="http://schemas.microsoft.com/office/drawing/2014/main" id="{A9999B48-C2E7-4727-A2EB-E40F10160E7F}"/>
            </a:ext>
          </a:extLst>
        </xdr:cNvPr>
        <xdr:cNvSpPr/>
      </xdr:nvSpPr>
      <xdr:spPr>
        <a:xfrm>
          <a:off x="9418320" y="2461260"/>
          <a:ext cx="1196340" cy="26670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a:t>SA:ES</a:t>
          </a:r>
          <a:r>
            <a:rPr lang="en-IN" sz="1100" b="1" baseline="0"/>
            <a:t> BY MONTH </a:t>
          </a:r>
          <a:endParaRPr lang="en-IN" sz="1100" b="1"/>
        </a:p>
      </xdr:txBody>
    </xdr:sp>
    <xdr:clientData/>
  </xdr:twoCellAnchor>
  <xdr:twoCellAnchor>
    <xdr:from>
      <xdr:col>13</xdr:col>
      <xdr:colOff>175260</xdr:colOff>
      <xdr:row>20</xdr:row>
      <xdr:rowOff>137160</xdr:rowOff>
    </xdr:from>
    <xdr:to>
      <xdr:col>19</xdr:col>
      <xdr:colOff>175260</xdr:colOff>
      <xdr:row>27</xdr:row>
      <xdr:rowOff>53340</xdr:rowOff>
    </xdr:to>
    <xdr:graphicFrame macro="">
      <xdr:nvGraphicFramePr>
        <xdr:cNvPr id="16" name="Chart 15">
          <a:extLst>
            <a:ext uri="{FF2B5EF4-FFF2-40B4-BE49-F238E27FC236}">
              <a16:creationId xmlns:a16="http://schemas.microsoft.com/office/drawing/2014/main" id="{4AE776F7-2D7F-4742-86B8-A5399BC312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419100</xdr:colOff>
      <xdr:row>18</xdr:row>
      <xdr:rowOff>30480</xdr:rowOff>
    </xdr:from>
    <xdr:to>
      <xdr:col>12</xdr:col>
      <xdr:colOff>525780</xdr:colOff>
      <xdr:row>27</xdr:row>
      <xdr:rowOff>91440</xdr:rowOff>
    </xdr:to>
    <xdr:graphicFrame macro="">
      <xdr:nvGraphicFramePr>
        <xdr:cNvPr id="20" name="Chart 19">
          <a:extLst>
            <a:ext uri="{FF2B5EF4-FFF2-40B4-BE49-F238E27FC236}">
              <a16:creationId xmlns:a16="http://schemas.microsoft.com/office/drawing/2014/main" id="{B4FF3A97-24EE-487B-B734-428B98209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68580</xdr:colOff>
      <xdr:row>18</xdr:row>
      <xdr:rowOff>76200</xdr:rowOff>
    </xdr:from>
    <xdr:to>
      <xdr:col>12</xdr:col>
      <xdr:colOff>205740</xdr:colOff>
      <xdr:row>19</xdr:row>
      <xdr:rowOff>160020</xdr:rowOff>
    </xdr:to>
    <xdr:sp macro="" textlink="">
      <xdr:nvSpPr>
        <xdr:cNvPr id="22" name="Rectangle 21">
          <a:extLst>
            <a:ext uri="{FF2B5EF4-FFF2-40B4-BE49-F238E27FC236}">
              <a16:creationId xmlns:a16="http://schemas.microsoft.com/office/drawing/2014/main" id="{FE5B51CD-D370-870D-D8CF-5FA018A0821B}"/>
            </a:ext>
          </a:extLst>
        </xdr:cNvPr>
        <xdr:cNvSpPr/>
      </xdr:nvSpPr>
      <xdr:spPr>
        <a:xfrm>
          <a:off x="5554980" y="3368040"/>
          <a:ext cx="1965960" cy="26670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n-IN" sz="1100" b="1"/>
            <a:t>SA:ES</a:t>
          </a:r>
          <a:r>
            <a:rPr lang="en-IN" sz="1100" b="1" baseline="0"/>
            <a:t> PERCENTAGE BY ITEM </a:t>
          </a:r>
          <a:endParaRPr lang="en-IN" sz="1100" b="1"/>
        </a:p>
      </xdr:txBody>
    </xdr:sp>
    <xdr:clientData/>
  </xdr:twoCellAnchor>
  <xdr:twoCellAnchor>
    <xdr:from>
      <xdr:col>7</xdr:col>
      <xdr:colOff>213360</xdr:colOff>
      <xdr:row>14</xdr:row>
      <xdr:rowOff>114300</xdr:rowOff>
    </xdr:from>
    <xdr:to>
      <xdr:col>9</xdr:col>
      <xdr:colOff>106680</xdr:colOff>
      <xdr:row>17</xdr:row>
      <xdr:rowOff>45720</xdr:rowOff>
    </xdr:to>
    <xdr:sp macro="" textlink="">
      <xdr:nvSpPr>
        <xdr:cNvPr id="23" name="Rectangle: Rounded Corners 22">
          <a:extLst>
            <a:ext uri="{FF2B5EF4-FFF2-40B4-BE49-F238E27FC236}">
              <a16:creationId xmlns:a16="http://schemas.microsoft.com/office/drawing/2014/main" id="{76A555BF-6570-E536-A924-E5CA969919E9}"/>
            </a:ext>
          </a:extLst>
        </xdr:cNvPr>
        <xdr:cNvSpPr/>
      </xdr:nvSpPr>
      <xdr:spPr>
        <a:xfrm>
          <a:off x="4480560" y="2674620"/>
          <a:ext cx="1112520" cy="480060"/>
        </a:xfrm>
        <a:prstGeom prst="roundRect">
          <a:avLst/>
        </a:prstGeom>
        <a:ln>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327660</xdr:colOff>
      <xdr:row>14</xdr:row>
      <xdr:rowOff>114300</xdr:rowOff>
    </xdr:from>
    <xdr:to>
      <xdr:col>9</xdr:col>
      <xdr:colOff>220980</xdr:colOff>
      <xdr:row>17</xdr:row>
      <xdr:rowOff>45720</xdr:rowOff>
    </xdr:to>
    <xdr:sp macro="" textlink="">
      <xdr:nvSpPr>
        <xdr:cNvPr id="24" name="Rectangle: Rounded Corners 23">
          <a:extLst>
            <a:ext uri="{FF2B5EF4-FFF2-40B4-BE49-F238E27FC236}">
              <a16:creationId xmlns:a16="http://schemas.microsoft.com/office/drawing/2014/main" id="{36AC20C2-BAC9-49BA-A68B-F2CDA803B038}"/>
            </a:ext>
          </a:extLst>
        </xdr:cNvPr>
        <xdr:cNvSpPr/>
      </xdr:nvSpPr>
      <xdr:spPr>
        <a:xfrm>
          <a:off x="4594860" y="2674620"/>
          <a:ext cx="1112520" cy="480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114300</xdr:colOff>
      <xdr:row>14</xdr:row>
      <xdr:rowOff>114300</xdr:rowOff>
    </xdr:from>
    <xdr:to>
      <xdr:col>12</xdr:col>
      <xdr:colOff>7620</xdr:colOff>
      <xdr:row>17</xdr:row>
      <xdr:rowOff>45720</xdr:rowOff>
    </xdr:to>
    <xdr:sp macro="" textlink="">
      <xdr:nvSpPr>
        <xdr:cNvPr id="25" name="Rectangle: Rounded Corners 24">
          <a:extLst>
            <a:ext uri="{FF2B5EF4-FFF2-40B4-BE49-F238E27FC236}">
              <a16:creationId xmlns:a16="http://schemas.microsoft.com/office/drawing/2014/main" id="{5FFE8477-A63F-4542-81D7-8E68521B8B64}"/>
            </a:ext>
          </a:extLst>
        </xdr:cNvPr>
        <xdr:cNvSpPr/>
      </xdr:nvSpPr>
      <xdr:spPr>
        <a:xfrm>
          <a:off x="6210300" y="2674620"/>
          <a:ext cx="1112520" cy="480060"/>
        </a:xfrm>
        <a:prstGeom prst="round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266700</xdr:colOff>
      <xdr:row>14</xdr:row>
      <xdr:rowOff>106680</xdr:rowOff>
    </xdr:from>
    <xdr:to>
      <xdr:col>12</xdr:col>
      <xdr:colOff>160020</xdr:colOff>
      <xdr:row>17</xdr:row>
      <xdr:rowOff>38100</xdr:rowOff>
    </xdr:to>
    <xdr:sp macro="" textlink="">
      <xdr:nvSpPr>
        <xdr:cNvPr id="26" name="Rectangle: Rounded Corners 25">
          <a:extLst>
            <a:ext uri="{FF2B5EF4-FFF2-40B4-BE49-F238E27FC236}">
              <a16:creationId xmlns:a16="http://schemas.microsoft.com/office/drawing/2014/main" id="{30834E9D-6EEE-448C-9ADD-1D2CDDF3DF53}"/>
            </a:ext>
          </a:extLst>
        </xdr:cNvPr>
        <xdr:cNvSpPr/>
      </xdr:nvSpPr>
      <xdr:spPr>
        <a:xfrm>
          <a:off x="6362700" y="2667000"/>
          <a:ext cx="1112520" cy="4800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7</xdr:col>
      <xdr:colOff>388620</xdr:colOff>
      <xdr:row>14</xdr:row>
      <xdr:rowOff>175260</xdr:rowOff>
    </xdr:from>
    <xdr:to>
      <xdr:col>8</xdr:col>
      <xdr:colOff>45720</xdr:colOff>
      <xdr:row>17</xdr:row>
      <xdr:rowOff>7620</xdr:rowOff>
    </xdr:to>
    <xdr:pic>
      <xdr:nvPicPr>
        <xdr:cNvPr id="28" name="Graphic 27" descr="Coins with solid fill">
          <a:extLst>
            <a:ext uri="{FF2B5EF4-FFF2-40B4-BE49-F238E27FC236}">
              <a16:creationId xmlns:a16="http://schemas.microsoft.com/office/drawing/2014/main" id="{B0EDC55E-34C6-0528-1703-4E2B811DAF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655820" y="2735580"/>
          <a:ext cx="266700" cy="381000"/>
        </a:xfrm>
        <a:prstGeom prst="rect">
          <a:avLst/>
        </a:prstGeom>
      </xdr:spPr>
    </xdr:pic>
    <xdr:clientData/>
  </xdr:twoCellAnchor>
  <xdr:twoCellAnchor editAs="oneCell">
    <xdr:from>
      <xdr:col>10</xdr:col>
      <xdr:colOff>320040</xdr:colOff>
      <xdr:row>14</xdr:row>
      <xdr:rowOff>167640</xdr:rowOff>
    </xdr:from>
    <xdr:to>
      <xdr:col>11</xdr:col>
      <xdr:colOff>15240</xdr:colOff>
      <xdr:row>17</xdr:row>
      <xdr:rowOff>38100</xdr:rowOff>
    </xdr:to>
    <xdr:pic>
      <xdr:nvPicPr>
        <xdr:cNvPr id="30" name="Graphic 29" descr="Business Growth with solid fill">
          <a:extLst>
            <a:ext uri="{FF2B5EF4-FFF2-40B4-BE49-F238E27FC236}">
              <a16:creationId xmlns:a16="http://schemas.microsoft.com/office/drawing/2014/main" id="{46308B96-0A74-E34F-54FA-C8F1E6AA9FB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416040" y="2727960"/>
          <a:ext cx="304800" cy="419100"/>
        </a:xfrm>
        <a:prstGeom prst="rect">
          <a:avLst/>
        </a:prstGeom>
      </xdr:spPr>
    </xdr:pic>
    <xdr:clientData/>
  </xdr:twoCellAnchor>
  <xdr:twoCellAnchor>
    <xdr:from>
      <xdr:col>8</xdr:col>
      <xdr:colOff>7620</xdr:colOff>
      <xdr:row>15</xdr:row>
      <xdr:rowOff>22860</xdr:rowOff>
    </xdr:from>
    <xdr:to>
      <xdr:col>9</xdr:col>
      <xdr:colOff>190500</xdr:colOff>
      <xdr:row>16</xdr:row>
      <xdr:rowOff>106680</xdr:rowOff>
    </xdr:to>
    <xdr:sp macro="" textlink="Pivot!C46">
      <xdr:nvSpPr>
        <xdr:cNvPr id="32" name="Rectangle 31">
          <a:extLst>
            <a:ext uri="{FF2B5EF4-FFF2-40B4-BE49-F238E27FC236}">
              <a16:creationId xmlns:a16="http://schemas.microsoft.com/office/drawing/2014/main" id="{C5AE6701-092F-45E3-8FC5-9DB479F28455}"/>
            </a:ext>
          </a:extLst>
        </xdr:cNvPr>
        <xdr:cNvSpPr/>
      </xdr:nvSpPr>
      <xdr:spPr>
        <a:xfrm>
          <a:off x="4884420" y="2766060"/>
          <a:ext cx="792480" cy="266700"/>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fld id="{275309A0-C0BA-472F-892C-253CBC207746}" type="TxLink">
            <a:rPr lang="en-US" sz="1100" b="1" i="0" u="none" strike="noStrike">
              <a:solidFill>
                <a:srgbClr val="000000"/>
              </a:solidFill>
              <a:latin typeface="Calibri"/>
              <a:ea typeface="Calibri"/>
              <a:cs typeface="Calibri"/>
            </a:rPr>
            <a:pPr algn="l"/>
            <a:t>1782570</a:t>
          </a:fld>
          <a:endParaRPr lang="en-US" sz="1100" b="1"/>
        </a:p>
      </xdr:txBody>
    </xdr:sp>
    <xdr:clientData/>
  </xdr:twoCellAnchor>
  <xdr:twoCellAnchor>
    <xdr:from>
      <xdr:col>11</xdr:col>
      <xdr:colOff>7620</xdr:colOff>
      <xdr:row>15</xdr:row>
      <xdr:rowOff>38100</xdr:rowOff>
    </xdr:from>
    <xdr:to>
      <xdr:col>12</xdr:col>
      <xdr:colOff>99060</xdr:colOff>
      <xdr:row>16</xdr:row>
      <xdr:rowOff>83820</xdr:rowOff>
    </xdr:to>
    <xdr:sp macro="" textlink="Pivot!C74">
      <xdr:nvSpPr>
        <xdr:cNvPr id="33" name="Rectangle 32">
          <a:extLst>
            <a:ext uri="{FF2B5EF4-FFF2-40B4-BE49-F238E27FC236}">
              <a16:creationId xmlns:a16="http://schemas.microsoft.com/office/drawing/2014/main" id="{AB18CDED-F5CC-4BE2-9E31-1F04F6EA2D0D}"/>
            </a:ext>
          </a:extLst>
        </xdr:cNvPr>
        <xdr:cNvSpPr/>
      </xdr:nvSpPr>
      <xdr:spPr>
        <a:xfrm>
          <a:off x="6713220" y="2781300"/>
          <a:ext cx="701040" cy="228600"/>
        </a:xfrm>
        <a:prstGeom prst="rect">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b="1" i="0" u="none" strike="noStrike">
              <a:solidFill>
                <a:srgbClr val="000000"/>
              </a:solidFill>
              <a:latin typeface="Calibri"/>
              <a:ea typeface="Calibri"/>
              <a:cs typeface="Calibri"/>
            </a:rPr>
            <a:t>  </a:t>
          </a:r>
          <a:fld id="{C9FA2456-894E-4586-8A27-5BFAD995C913}" type="TxLink">
            <a:rPr lang="en-US" sz="1100" b="1" i="0" u="none" strike="noStrike">
              <a:solidFill>
                <a:srgbClr val="000000"/>
              </a:solidFill>
              <a:latin typeface="Calibri"/>
              <a:ea typeface="Calibri"/>
              <a:cs typeface="Calibri"/>
            </a:rPr>
            <a:pPr algn="l"/>
            <a:t>1607</a:t>
          </a:fld>
          <a:endParaRPr lang="en-US" sz="1100" b="1"/>
        </a:p>
      </xdr:txBody>
    </xdr:sp>
    <xdr:clientData/>
  </xdr:twoCellAnchor>
</xdr:wsDr>
</file>

<file path=xl/drawings/drawing7.xml><?xml version="1.0" encoding="utf-8"?>
<c:userShapes xmlns:c="http://schemas.openxmlformats.org/drawingml/2006/chart">
  <cdr:relSizeAnchor xmlns:cdr="http://schemas.openxmlformats.org/drawingml/2006/chartDrawing">
    <cdr:from>
      <cdr:x>0.36806</cdr:x>
      <cdr:y>0</cdr:y>
    </cdr:from>
    <cdr:to>
      <cdr:x>0.69514</cdr:x>
      <cdr:y>0.22293</cdr:y>
    </cdr:to>
    <cdr:sp macro="" textlink="">
      <cdr:nvSpPr>
        <cdr:cNvPr id="2" name="Rectangle 1">
          <a:extLst xmlns:a="http://schemas.openxmlformats.org/drawingml/2006/main">
            <a:ext uri="{FF2B5EF4-FFF2-40B4-BE49-F238E27FC236}">
              <a16:creationId xmlns:a16="http://schemas.microsoft.com/office/drawing/2014/main" id="{A9999B48-C2E7-4727-A2EB-E40F10160E7F}"/>
            </a:ext>
          </a:extLst>
        </cdr:cNvPr>
        <cdr:cNvSpPr/>
      </cdr:nvSpPr>
      <cdr:spPr>
        <a:xfrm xmlns:a="http://schemas.openxmlformats.org/drawingml/2006/main">
          <a:off x="1346200" y="0"/>
          <a:ext cx="1196340" cy="266700"/>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1">
          <a:schemeClr val="accent1"/>
        </a:lnRef>
        <a:fillRef xmlns:a="http://schemas.openxmlformats.org/drawingml/2006/main" idx="2">
          <a:schemeClr val="accent1"/>
        </a:fillRef>
        <a:effectRef xmlns:a="http://schemas.openxmlformats.org/drawingml/2006/main" idx="1">
          <a:schemeClr val="accent1"/>
        </a:effectRef>
        <a:fontRef xmlns:a="http://schemas.openxmlformats.org/drawingml/2006/main" idx="minor">
          <a:schemeClr val="dk1"/>
        </a:fontRef>
      </cdr:style>
      <cdr:txBody>
        <a:bodyPr xmlns:a="http://schemas.openxmlformats.org/drawingml/2006/main"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l"/>
          <a:r>
            <a:rPr lang="en-IN" sz="1100" b="1"/>
            <a:t>SA:ES</a:t>
          </a:r>
          <a:r>
            <a:rPr lang="en-IN" sz="1100" b="1" baseline="0"/>
            <a:t> BY REGION </a:t>
          </a:r>
          <a:endParaRPr lang="en-IN" sz="1100" b="1"/>
        </a:p>
      </cdr:txBody>
    </cdr:sp>
  </cdr:relSizeAnchor>
</c:userShapes>
</file>

<file path=xl/drawings/drawing8.xml><?xml version="1.0" encoding="utf-8"?>
<xdr:wsDr xmlns:xdr="http://schemas.openxmlformats.org/drawingml/2006/spreadsheetDrawing" xmlns:a="http://schemas.openxmlformats.org/drawingml/2006/main">
  <xdr:twoCellAnchor>
    <xdr:from>
      <xdr:col>3</xdr:col>
      <xdr:colOff>358140</xdr:colOff>
      <xdr:row>0</xdr:row>
      <xdr:rowOff>167640</xdr:rowOff>
    </xdr:from>
    <xdr:to>
      <xdr:col>18</xdr:col>
      <xdr:colOff>22860</xdr:colOff>
      <xdr:row>28</xdr:row>
      <xdr:rowOff>30480</xdr:rowOff>
    </xdr:to>
    <xdr:sp macro="" textlink="">
      <xdr:nvSpPr>
        <xdr:cNvPr id="2" name="Rectangle: Rounded Corners 1">
          <a:extLst>
            <a:ext uri="{FF2B5EF4-FFF2-40B4-BE49-F238E27FC236}">
              <a16:creationId xmlns:a16="http://schemas.microsoft.com/office/drawing/2014/main" id="{58245A41-9BB9-4BA8-B79C-53D2E231BAD1}"/>
            </a:ext>
          </a:extLst>
        </xdr:cNvPr>
        <xdr:cNvSpPr/>
      </xdr:nvSpPr>
      <xdr:spPr>
        <a:xfrm>
          <a:off x="2186940" y="167640"/>
          <a:ext cx="8808720" cy="4983480"/>
        </a:xfrm>
        <a:prstGeom prst="roundRect">
          <a:avLst>
            <a:gd name="adj" fmla="val 984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548640</xdr:colOff>
      <xdr:row>0</xdr:row>
      <xdr:rowOff>144780</xdr:rowOff>
    </xdr:from>
    <xdr:to>
      <xdr:col>20</xdr:col>
      <xdr:colOff>213360</xdr:colOff>
      <xdr:row>28</xdr:row>
      <xdr:rowOff>7620</xdr:rowOff>
    </xdr:to>
    <xdr:sp macro="" textlink="">
      <xdr:nvSpPr>
        <xdr:cNvPr id="3" name="Rectangle: Rounded Corners 2">
          <a:extLst>
            <a:ext uri="{FF2B5EF4-FFF2-40B4-BE49-F238E27FC236}">
              <a16:creationId xmlns:a16="http://schemas.microsoft.com/office/drawing/2014/main" id="{F0A026F9-7AB2-4664-95EA-467BBE031AB3}"/>
            </a:ext>
          </a:extLst>
        </xdr:cNvPr>
        <xdr:cNvSpPr/>
      </xdr:nvSpPr>
      <xdr:spPr>
        <a:xfrm>
          <a:off x="3596640" y="144780"/>
          <a:ext cx="8808720" cy="4983480"/>
        </a:xfrm>
        <a:prstGeom prst="roundRect">
          <a:avLst>
            <a:gd name="adj" fmla="val 984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6</xdr:col>
      <xdr:colOff>15240</xdr:colOff>
      <xdr:row>3</xdr:row>
      <xdr:rowOff>53340</xdr:rowOff>
    </xdr:from>
    <xdr:to>
      <xdr:col>15</xdr:col>
      <xdr:colOff>571500</xdr:colOff>
      <xdr:row>8</xdr:row>
      <xdr:rowOff>60960</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B500397B-8C64-4C9F-9697-DF6B01E220AE}"/>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3672840" y="601980"/>
              <a:ext cx="6042660"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144780</xdr:colOff>
      <xdr:row>3</xdr:row>
      <xdr:rowOff>38100</xdr:rowOff>
    </xdr:from>
    <xdr:to>
      <xdr:col>19</xdr:col>
      <xdr:colOff>198120</xdr:colOff>
      <xdr:row>8</xdr:row>
      <xdr:rowOff>68580</xdr:rowOff>
    </xdr:to>
    <mc:AlternateContent xmlns:mc="http://schemas.openxmlformats.org/markup-compatibility/2006" xmlns:a14="http://schemas.microsoft.com/office/drawing/2010/main">
      <mc:Choice Requires="a14">
        <xdr:graphicFrame macro="">
          <xdr:nvGraphicFramePr>
            <xdr:cNvPr id="5" name="Region 2">
              <a:extLst>
                <a:ext uri="{FF2B5EF4-FFF2-40B4-BE49-F238E27FC236}">
                  <a16:creationId xmlns:a16="http://schemas.microsoft.com/office/drawing/2014/main" id="{66FF29DE-F95C-4A72-A881-57CC1C6C24F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898380" y="586740"/>
              <a:ext cx="18821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8</xdr:row>
      <xdr:rowOff>160020</xdr:rowOff>
    </xdr:from>
    <xdr:to>
      <xdr:col>19</xdr:col>
      <xdr:colOff>198120</xdr:colOff>
      <xdr:row>12</xdr:row>
      <xdr:rowOff>38099</xdr:rowOff>
    </xdr:to>
    <mc:AlternateContent xmlns:mc="http://schemas.openxmlformats.org/markup-compatibility/2006" xmlns:a14="http://schemas.microsoft.com/office/drawing/2010/main">
      <mc:Choice Requires="a14">
        <xdr:graphicFrame macro="">
          <xdr:nvGraphicFramePr>
            <xdr:cNvPr id="6" name="Item 2">
              <a:extLst>
                <a:ext uri="{FF2B5EF4-FFF2-40B4-BE49-F238E27FC236}">
                  <a16:creationId xmlns:a16="http://schemas.microsoft.com/office/drawing/2014/main" id="{79F020FE-CBC9-4C75-B123-F1875B5A15CE}"/>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3657600" y="1623060"/>
              <a:ext cx="812292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228600</xdr:colOff>
      <xdr:row>13</xdr:row>
      <xdr:rowOff>60960</xdr:rowOff>
    </xdr:from>
    <xdr:to>
      <xdr:col>19</xdr:col>
      <xdr:colOff>182880</xdr:colOff>
      <xdr:row>20</xdr:row>
      <xdr:rowOff>22860</xdr:rowOff>
    </xdr:to>
    <xdr:sp macro="" textlink="">
      <xdr:nvSpPr>
        <xdr:cNvPr id="7" name="Rectangle 6">
          <a:extLst>
            <a:ext uri="{FF2B5EF4-FFF2-40B4-BE49-F238E27FC236}">
              <a16:creationId xmlns:a16="http://schemas.microsoft.com/office/drawing/2014/main" id="{86551079-8063-4ED4-9DD7-EF5367A1602E}"/>
            </a:ext>
          </a:extLst>
        </xdr:cNvPr>
        <xdr:cNvSpPr/>
      </xdr:nvSpPr>
      <xdr:spPr>
        <a:xfrm>
          <a:off x="8153400" y="2438400"/>
          <a:ext cx="3611880" cy="12420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220980</xdr:colOff>
      <xdr:row>20</xdr:row>
      <xdr:rowOff>137160</xdr:rowOff>
    </xdr:from>
    <xdr:to>
      <xdr:col>19</xdr:col>
      <xdr:colOff>160020</xdr:colOff>
      <xdr:row>27</xdr:row>
      <xdr:rowOff>99060</xdr:rowOff>
    </xdr:to>
    <xdr:sp macro="" textlink="">
      <xdr:nvSpPr>
        <xdr:cNvPr id="8" name="Rectangle 7">
          <a:extLst>
            <a:ext uri="{FF2B5EF4-FFF2-40B4-BE49-F238E27FC236}">
              <a16:creationId xmlns:a16="http://schemas.microsoft.com/office/drawing/2014/main" id="{35E38F4D-88CF-4B5E-8D33-B3B9FB918195}"/>
            </a:ext>
          </a:extLst>
        </xdr:cNvPr>
        <xdr:cNvSpPr/>
      </xdr:nvSpPr>
      <xdr:spPr>
        <a:xfrm>
          <a:off x="8145780" y="3794760"/>
          <a:ext cx="3596640" cy="12420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419100</xdr:colOff>
      <xdr:row>16</xdr:row>
      <xdr:rowOff>22860</xdr:rowOff>
    </xdr:from>
    <xdr:to>
      <xdr:col>12</xdr:col>
      <xdr:colOff>541020</xdr:colOff>
      <xdr:row>27</xdr:row>
      <xdr:rowOff>83820</xdr:rowOff>
    </xdr:to>
    <xdr:sp macro="" textlink="">
      <xdr:nvSpPr>
        <xdr:cNvPr id="9" name="Rectangle 8">
          <a:extLst>
            <a:ext uri="{FF2B5EF4-FFF2-40B4-BE49-F238E27FC236}">
              <a16:creationId xmlns:a16="http://schemas.microsoft.com/office/drawing/2014/main" id="{99B26720-806F-4C1E-BA38-2A58CB5E9DE6}"/>
            </a:ext>
          </a:extLst>
        </xdr:cNvPr>
        <xdr:cNvSpPr/>
      </xdr:nvSpPr>
      <xdr:spPr>
        <a:xfrm>
          <a:off x="4076700" y="2948940"/>
          <a:ext cx="3779520" cy="20726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5</xdr:col>
      <xdr:colOff>541020</xdr:colOff>
      <xdr:row>11</xdr:row>
      <xdr:rowOff>160020</xdr:rowOff>
    </xdr:from>
    <xdr:to>
      <xdr:col>6</xdr:col>
      <xdr:colOff>495300</xdr:colOff>
      <xdr:row>14</xdr:row>
      <xdr:rowOff>99060</xdr:rowOff>
    </xdr:to>
    <xdr:pic>
      <xdr:nvPicPr>
        <xdr:cNvPr id="10" name="Graphic 9" descr="Bar chart with solid fill">
          <a:extLst>
            <a:ext uri="{FF2B5EF4-FFF2-40B4-BE49-F238E27FC236}">
              <a16:creationId xmlns:a16="http://schemas.microsoft.com/office/drawing/2014/main" id="{5A030AD2-7F63-492A-AB98-46D459E200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89020" y="2171700"/>
          <a:ext cx="563880" cy="487680"/>
        </a:xfrm>
        <a:prstGeom prst="rect">
          <a:avLst/>
        </a:prstGeom>
      </xdr:spPr>
    </xdr:pic>
    <xdr:clientData/>
  </xdr:twoCellAnchor>
  <xdr:twoCellAnchor>
    <xdr:from>
      <xdr:col>6</xdr:col>
      <xdr:colOff>464820</xdr:colOff>
      <xdr:row>12</xdr:row>
      <xdr:rowOff>160020</xdr:rowOff>
    </xdr:from>
    <xdr:to>
      <xdr:col>8</xdr:col>
      <xdr:colOff>68580</xdr:colOff>
      <xdr:row>14</xdr:row>
      <xdr:rowOff>60960</xdr:rowOff>
    </xdr:to>
    <xdr:sp macro="" textlink="">
      <xdr:nvSpPr>
        <xdr:cNvPr id="11" name="Rectangle 10">
          <a:extLst>
            <a:ext uri="{FF2B5EF4-FFF2-40B4-BE49-F238E27FC236}">
              <a16:creationId xmlns:a16="http://schemas.microsoft.com/office/drawing/2014/main" id="{F0469343-7026-43AF-B0A2-77143049C4FE}"/>
            </a:ext>
          </a:extLst>
        </xdr:cNvPr>
        <xdr:cNvSpPr/>
      </xdr:nvSpPr>
      <xdr:spPr>
        <a:xfrm>
          <a:off x="4122420" y="2354580"/>
          <a:ext cx="822960" cy="266700"/>
        </a:xfrm>
        <a:prstGeom prst="rect">
          <a:avLst/>
        </a:prstGeom>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a:t>ANALYTICS</a:t>
          </a:r>
        </a:p>
      </xdr:txBody>
    </xdr:sp>
    <xdr:clientData/>
  </xdr:twoCellAnchor>
  <xdr:twoCellAnchor>
    <xdr:from>
      <xdr:col>3</xdr:col>
      <xdr:colOff>541020</xdr:colOff>
      <xdr:row>5</xdr:row>
      <xdr:rowOff>91440</xdr:rowOff>
    </xdr:from>
    <xdr:to>
      <xdr:col>5</xdr:col>
      <xdr:colOff>365760</xdr:colOff>
      <xdr:row>7</xdr:row>
      <xdr:rowOff>60960</xdr:rowOff>
    </xdr:to>
    <xdr:sp macro="" textlink="">
      <xdr:nvSpPr>
        <xdr:cNvPr id="12" name="Rectangle: Rounded Corners 11">
          <a:extLst>
            <a:ext uri="{FF2B5EF4-FFF2-40B4-BE49-F238E27FC236}">
              <a16:creationId xmlns:a16="http://schemas.microsoft.com/office/drawing/2014/main" id="{311EEB6D-A5B3-4881-BAF8-43897D6661A5}"/>
            </a:ext>
          </a:extLst>
        </xdr:cNvPr>
        <xdr:cNvSpPr/>
      </xdr:nvSpPr>
      <xdr:spPr>
        <a:xfrm>
          <a:off x="2369820" y="1005840"/>
          <a:ext cx="104394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cap="none" spc="50">
              <a:ln w="9525" cmpd="sng">
                <a:solidFill>
                  <a:schemeClr val="accent1"/>
                </a:solidFill>
                <a:prstDash val="solid"/>
              </a:ln>
              <a:solidFill>
                <a:srgbClr val="70AD47">
                  <a:tint val="1000"/>
                </a:srgbClr>
              </a:solidFill>
              <a:effectLst>
                <a:glow rad="38100">
                  <a:schemeClr val="accent1">
                    <a:alpha val="40000"/>
                  </a:schemeClr>
                </a:glow>
              </a:effectLst>
            </a:rPr>
            <a:t>DASHBOARD</a:t>
          </a:r>
        </a:p>
      </xdr:txBody>
    </xdr:sp>
    <xdr:clientData/>
  </xdr:twoCellAnchor>
  <xdr:twoCellAnchor>
    <xdr:from>
      <xdr:col>3</xdr:col>
      <xdr:colOff>525780</xdr:colOff>
      <xdr:row>8</xdr:row>
      <xdr:rowOff>106680</xdr:rowOff>
    </xdr:from>
    <xdr:to>
      <xdr:col>5</xdr:col>
      <xdr:colOff>259080</xdr:colOff>
      <xdr:row>10</xdr:row>
      <xdr:rowOff>76200</xdr:rowOff>
    </xdr:to>
    <xdr:sp macro="" textlink="">
      <xdr:nvSpPr>
        <xdr:cNvPr id="13" name="Rectangle: Rounded Corners 12">
          <a:extLst>
            <a:ext uri="{FF2B5EF4-FFF2-40B4-BE49-F238E27FC236}">
              <a16:creationId xmlns:a16="http://schemas.microsoft.com/office/drawing/2014/main" id="{4422F950-0EF6-496E-8DEA-7AD2473D8EBB}"/>
            </a:ext>
          </a:extLst>
        </xdr:cNvPr>
        <xdr:cNvSpPr/>
      </xdr:nvSpPr>
      <xdr:spPr>
        <a:xfrm>
          <a:off x="2354580" y="1569720"/>
          <a:ext cx="952500" cy="335280"/>
        </a:xfrm>
        <a:prstGeom prst="round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 PRODUCTS</a:t>
          </a:r>
        </a:p>
      </xdr:txBody>
    </xdr:sp>
    <xdr:clientData/>
  </xdr:twoCellAnchor>
  <xdr:twoCellAnchor>
    <xdr:from>
      <xdr:col>3</xdr:col>
      <xdr:colOff>518160</xdr:colOff>
      <xdr:row>11</xdr:row>
      <xdr:rowOff>152400</xdr:rowOff>
    </xdr:from>
    <xdr:to>
      <xdr:col>5</xdr:col>
      <xdr:colOff>297180</xdr:colOff>
      <xdr:row>13</xdr:row>
      <xdr:rowOff>121920</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08E9924C-3210-407F-95DC-4CB773976930}"/>
            </a:ext>
          </a:extLst>
        </xdr:cNvPr>
        <xdr:cNvSpPr/>
      </xdr:nvSpPr>
      <xdr:spPr>
        <a:xfrm>
          <a:off x="2346960" y="2164080"/>
          <a:ext cx="99822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SALESMANS</a:t>
          </a:r>
        </a:p>
      </xdr:txBody>
    </xdr:sp>
    <xdr:clientData/>
  </xdr:twoCellAnchor>
  <xdr:twoCellAnchor>
    <xdr:from>
      <xdr:col>3</xdr:col>
      <xdr:colOff>510540</xdr:colOff>
      <xdr:row>15</xdr:row>
      <xdr:rowOff>83820</xdr:rowOff>
    </xdr:from>
    <xdr:to>
      <xdr:col>5</xdr:col>
      <xdr:colOff>243840</xdr:colOff>
      <xdr:row>17</xdr:row>
      <xdr:rowOff>53340</xdr:rowOff>
    </xdr:to>
    <xdr:sp macro="" textlink="">
      <xdr:nvSpPr>
        <xdr:cNvPr id="15" name="Rectangle: Rounded Corners 14">
          <a:extLst>
            <a:ext uri="{FF2B5EF4-FFF2-40B4-BE49-F238E27FC236}">
              <a16:creationId xmlns:a16="http://schemas.microsoft.com/office/drawing/2014/main" id="{99FB028B-D942-4D55-9757-B94EDC4D954B}"/>
            </a:ext>
          </a:extLst>
        </xdr:cNvPr>
        <xdr:cNvSpPr/>
      </xdr:nvSpPr>
      <xdr:spPr>
        <a:xfrm>
          <a:off x="2339340" y="2827020"/>
          <a:ext cx="9525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ABOUT</a:t>
          </a:r>
        </a:p>
      </xdr:txBody>
    </xdr:sp>
    <xdr:clientData/>
  </xdr:twoCellAnchor>
  <xdr:twoCellAnchor>
    <xdr:from>
      <xdr:col>6</xdr:col>
      <xdr:colOff>403860</xdr:colOff>
      <xdr:row>16</xdr:row>
      <xdr:rowOff>30480</xdr:rowOff>
    </xdr:from>
    <xdr:to>
      <xdr:col>12</xdr:col>
      <xdr:colOff>533400</xdr:colOff>
      <xdr:row>27</xdr:row>
      <xdr:rowOff>60960</xdr:rowOff>
    </xdr:to>
    <xdr:graphicFrame macro="">
      <xdr:nvGraphicFramePr>
        <xdr:cNvPr id="29" name="Chart 28">
          <a:extLst>
            <a:ext uri="{FF2B5EF4-FFF2-40B4-BE49-F238E27FC236}">
              <a16:creationId xmlns:a16="http://schemas.microsoft.com/office/drawing/2014/main" id="{DBE61615-EFA2-4471-B73E-3CB253C9DF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45720</xdr:colOff>
      <xdr:row>16</xdr:row>
      <xdr:rowOff>45720</xdr:rowOff>
    </xdr:from>
    <xdr:to>
      <xdr:col>10</xdr:col>
      <xdr:colOff>68580</xdr:colOff>
      <xdr:row>17</xdr:row>
      <xdr:rowOff>53340</xdr:rowOff>
    </xdr:to>
    <xdr:sp macro="" textlink="">
      <xdr:nvSpPr>
        <xdr:cNvPr id="20" name="Rectangle 19">
          <a:extLst>
            <a:ext uri="{FF2B5EF4-FFF2-40B4-BE49-F238E27FC236}">
              <a16:creationId xmlns:a16="http://schemas.microsoft.com/office/drawing/2014/main" id="{082561C8-F287-4A3B-8944-3CDF4A4133FF}"/>
            </a:ext>
          </a:extLst>
        </xdr:cNvPr>
        <xdr:cNvSpPr/>
      </xdr:nvSpPr>
      <xdr:spPr>
        <a:xfrm>
          <a:off x="4312920" y="2971800"/>
          <a:ext cx="1851660" cy="19050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n-IN" sz="1100" b="1"/>
            <a:t>SA:ES</a:t>
          </a:r>
          <a:r>
            <a:rPr lang="en-IN" sz="1100" b="1" baseline="0"/>
            <a:t> BY PRODUCT BY QTY. </a:t>
          </a:r>
          <a:endParaRPr lang="en-IN" sz="1100" b="1"/>
        </a:p>
      </xdr:txBody>
    </xdr:sp>
    <xdr:clientData/>
  </xdr:twoCellAnchor>
  <xdr:twoCellAnchor>
    <xdr:from>
      <xdr:col>13</xdr:col>
      <xdr:colOff>228600</xdr:colOff>
      <xdr:row>12</xdr:row>
      <xdr:rowOff>129540</xdr:rowOff>
    </xdr:from>
    <xdr:to>
      <xdr:col>19</xdr:col>
      <xdr:colOff>121920</xdr:colOff>
      <xdr:row>20</xdr:row>
      <xdr:rowOff>30480</xdr:rowOff>
    </xdr:to>
    <xdr:graphicFrame macro="">
      <xdr:nvGraphicFramePr>
        <xdr:cNvPr id="18" name="Chart 17">
          <a:extLst>
            <a:ext uri="{FF2B5EF4-FFF2-40B4-BE49-F238E27FC236}">
              <a16:creationId xmlns:a16="http://schemas.microsoft.com/office/drawing/2014/main" id="{6D4D318A-4FF6-4FC3-9216-E9E5BA9169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144780</xdr:colOff>
      <xdr:row>12</xdr:row>
      <xdr:rowOff>114300</xdr:rowOff>
    </xdr:from>
    <xdr:to>
      <xdr:col>17</xdr:col>
      <xdr:colOff>426720</xdr:colOff>
      <xdr:row>13</xdr:row>
      <xdr:rowOff>152400</xdr:rowOff>
    </xdr:to>
    <xdr:sp macro="" textlink="">
      <xdr:nvSpPr>
        <xdr:cNvPr id="19" name="Rectangle 18">
          <a:extLst>
            <a:ext uri="{FF2B5EF4-FFF2-40B4-BE49-F238E27FC236}">
              <a16:creationId xmlns:a16="http://schemas.microsoft.com/office/drawing/2014/main" id="{94402C98-A243-4ABF-86EB-4CB7840DFA26}"/>
            </a:ext>
          </a:extLst>
        </xdr:cNvPr>
        <xdr:cNvSpPr/>
      </xdr:nvSpPr>
      <xdr:spPr>
        <a:xfrm>
          <a:off x="9288780" y="2308860"/>
          <a:ext cx="1501140" cy="22098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baseline="0"/>
            <a:t>3 Top Selling Prducts </a:t>
          </a:r>
          <a:endParaRPr lang="en-IN" sz="1100" b="1"/>
        </a:p>
      </xdr:txBody>
    </xdr:sp>
    <xdr:clientData/>
  </xdr:twoCellAnchor>
  <xdr:twoCellAnchor>
    <xdr:from>
      <xdr:col>13</xdr:col>
      <xdr:colOff>259080</xdr:colOff>
      <xdr:row>20</xdr:row>
      <xdr:rowOff>137160</xdr:rowOff>
    </xdr:from>
    <xdr:to>
      <xdr:col>19</xdr:col>
      <xdr:colOff>190500</xdr:colOff>
      <xdr:row>27</xdr:row>
      <xdr:rowOff>76200</xdr:rowOff>
    </xdr:to>
    <xdr:graphicFrame macro="">
      <xdr:nvGraphicFramePr>
        <xdr:cNvPr id="21" name="Chart 20">
          <a:extLst>
            <a:ext uri="{FF2B5EF4-FFF2-40B4-BE49-F238E27FC236}">
              <a16:creationId xmlns:a16="http://schemas.microsoft.com/office/drawing/2014/main" id="{D641389D-6F93-4864-9D88-63334BC66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137160</xdr:colOff>
      <xdr:row>21</xdr:row>
      <xdr:rowOff>0</xdr:rowOff>
    </xdr:from>
    <xdr:to>
      <xdr:col>18</xdr:col>
      <xdr:colOff>68580</xdr:colOff>
      <xdr:row>22</xdr:row>
      <xdr:rowOff>129540</xdr:rowOff>
    </xdr:to>
    <xdr:sp macro="" textlink="">
      <xdr:nvSpPr>
        <xdr:cNvPr id="17" name="Rectangle 16">
          <a:extLst>
            <a:ext uri="{FF2B5EF4-FFF2-40B4-BE49-F238E27FC236}">
              <a16:creationId xmlns:a16="http://schemas.microsoft.com/office/drawing/2014/main" id="{C2437FA2-F856-470A-B2F3-29907AC826AA}"/>
            </a:ext>
          </a:extLst>
        </xdr:cNvPr>
        <xdr:cNvSpPr/>
      </xdr:nvSpPr>
      <xdr:spPr>
        <a:xfrm>
          <a:off x="9281160" y="3840480"/>
          <a:ext cx="1760220" cy="31242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baseline="0"/>
            <a:t>3 Bottom Selling Products </a:t>
          </a:r>
          <a:endParaRPr lang="en-IN" sz="11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358140</xdr:colOff>
      <xdr:row>0</xdr:row>
      <xdr:rowOff>167640</xdr:rowOff>
    </xdr:from>
    <xdr:to>
      <xdr:col>18</xdr:col>
      <xdr:colOff>22860</xdr:colOff>
      <xdr:row>28</xdr:row>
      <xdr:rowOff>30480</xdr:rowOff>
    </xdr:to>
    <xdr:sp macro="" textlink="">
      <xdr:nvSpPr>
        <xdr:cNvPr id="2" name="Rectangle: Rounded Corners 1">
          <a:extLst>
            <a:ext uri="{FF2B5EF4-FFF2-40B4-BE49-F238E27FC236}">
              <a16:creationId xmlns:a16="http://schemas.microsoft.com/office/drawing/2014/main" id="{22AAD4E7-CE91-4AE9-9AB7-C7434ED415BB}"/>
            </a:ext>
          </a:extLst>
        </xdr:cNvPr>
        <xdr:cNvSpPr/>
      </xdr:nvSpPr>
      <xdr:spPr>
        <a:xfrm>
          <a:off x="2186940" y="167640"/>
          <a:ext cx="8808720" cy="4983480"/>
        </a:xfrm>
        <a:prstGeom prst="roundRect">
          <a:avLst>
            <a:gd name="adj" fmla="val 984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381000</xdr:colOff>
      <xdr:row>0</xdr:row>
      <xdr:rowOff>167640</xdr:rowOff>
    </xdr:from>
    <xdr:to>
      <xdr:col>20</xdr:col>
      <xdr:colOff>45720</xdr:colOff>
      <xdr:row>28</xdr:row>
      <xdr:rowOff>30480</xdr:rowOff>
    </xdr:to>
    <xdr:sp macro="" textlink="">
      <xdr:nvSpPr>
        <xdr:cNvPr id="3" name="Rectangle: Rounded Corners 2">
          <a:extLst>
            <a:ext uri="{FF2B5EF4-FFF2-40B4-BE49-F238E27FC236}">
              <a16:creationId xmlns:a16="http://schemas.microsoft.com/office/drawing/2014/main" id="{15C744BE-CDAB-49BA-91B9-F0E27BBB0F82}"/>
            </a:ext>
          </a:extLst>
        </xdr:cNvPr>
        <xdr:cNvSpPr/>
      </xdr:nvSpPr>
      <xdr:spPr>
        <a:xfrm>
          <a:off x="3429000" y="167640"/>
          <a:ext cx="8808720" cy="4983480"/>
        </a:xfrm>
        <a:prstGeom prst="roundRect">
          <a:avLst>
            <a:gd name="adj" fmla="val 984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6</xdr:col>
      <xdr:colOff>15240</xdr:colOff>
      <xdr:row>3</xdr:row>
      <xdr:rowOff>53340</xdr:rowOff>
    </xdr:from>
    <xdr:to>
      <xdr:col>15</xdr:col>
      <xdr:colOff>571500</xdr:colOff>
      <xdr:row>8</xdr:row>
      <xdr:rowOff>60960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339E0412-9AF4-4229-8EC5-83471DB7F489}"/>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3672840" y="601980"/>
              <a:ext cx="6042660"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144780</xdr:colOff>
      <xdr:row>3</xdr:row>
      <xdr:rowOff>38100</xdr:rowOff>
    </xdr:from>
    <xdr:to>
      <xdr:col>19</xdr:col>
      <xdr:colOff>198120</xdr:colOff>
      <xdr:row>8</xdr:row>
      <xdr:rowOff>68580</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DF2DFD04-D455-4606-A5D1-28A5AC87EAB3}"/>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9898380" y="586740"/>
              <a:ext cx="18821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8</xdr:row>
      <xdr:rowOff>160020</xdr:rowOff>
    </xdr:from>
    <xdr:to>
      <xdr:col>19</xdr:col>
      <xdr:colOff>198120</xdr:colOff>
      <xdr:row>12</xdr:row>
      <xdr:rowOff>38099</xdr:rowOff>
    </xdr:to>
    <mc:AlternateContent xmlns:mc="http://schemas.openxmlformats.org/markup-compatibility/2006" xmlns:a14="http://schemas.microsoft.com/office/drawing/2010/main">
      <mc:Choice Requires="a14">
        <xdr:graphicFrame macro="">
          <xdr:nvGraphicFramePr>
            <xdr:cNvPr id="6" name="Item 3">
              <a:extLst>
                <a:ext uri="{FF2B5EF4-FFF2-40B4-BE49-F238E27FC236}">
                  <a16:creationId xmlns:a16="http://schemas.microsoft.com/office/drawing/2014/main" id="{A06A4134-D791-4DAA-8851-D213D722AC34}"/>
                </a:ext>
              </a:extLst>
            </xdr:cNvPr>
            <xdr:cNvGraphicFramePr/>
          </xdr:nvGraphicFramePr>
          <xdr:xfrm>
            <a:off x="0" y="0"/>
            <a:ext cx="0" cy="0"/>
          </xdr:xfrm>
          <a:graphic>
            <a:graphicData uri="http://schemas.microsoft.com/office/drawing/2010/slicer">
              <sle:slicer xmlns:sle="http://schemas.microsoft.com/office/drawing/2010/slicer" name="Item 3"/>
            </a:graphicData>
          </a:graphic>
        </xdr:graphicFrame>
      </mc:Choice>
      <mc:Fallback xmlns="">
        <xdr:sp macro="" textlink="">
          <xdr:nvSpPr>
            <xdr:cNvPr id="0" name=""/>
            <xdr:cNvSpPr>
              <a:spLocks noTextEdit="1"/>
            </xdr:cNvSpPr>
          </xdr:nvSpPr>
          <xdr:spPr>
            <a:xfrm>
              <a:off x="3657600" y="1623060"/>
              <a:ext cx="812292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152400</xdr:colOff>
      <xdr:row>12</xdr:row>
      <xdr:rowOff>152400</xdr:rowOff>
    </xdr:from>
    <xdr:to>
      <xdr:col>19</xdr:col>
      <xdr:colOff>106680</xdr:colOff>
      <xdr:row>20</xdr:row>
      <xdr:rowOff>53340</xdr:rowOff>
    </xdr:to>
    <xdr:sp macro="" textlink="">
      <xdr:nvSpPr>
        <xdr:cNvPr id="7" name="Rectangle 6">
          <a:extLst>
            <a:ext uri="{FF2B5EF4-FFF2-40B4-BE49-F238E27FC236}">
              <a16:creationId xmlns:a16="http://schemas.microsoft.com/office/drawing/2014/main" id="{9C684188-DD6F-46B6-8CEA-C2474D1E94FA}"/>
            </a:ext>
          </a:extLst>
        </xdr:cNvPr>
        <xdr:cNvSpPr/>
      </xdr:nvSpPr>
      <xdr:spPr>
        <a:xfrm>
          <a:off x="8077200" y="2346960"/>
          <a:ext cx="3611880" cy="13639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175260</xdr:colOff>
      <xdr:row>20</xdr:row>
      <xdr:rowOff>137160</xdr:rowOff>
    </xdr:from>
    <xdr:to>
      <xdr:col>19</xdr:col>
      <xdr:colOff>83820</xdr:colOff>
      <xdr:row>27</xdr:row>
      <xdr:rowOff>99060</xdr:rowOff>
    </xdr:to>
    <xdr:sp macro="" textlink="">
      <xdr:nvSpPr>
        <xdr:cNvPr id="8" name="Rectangle 7">
          <a:extLst>
            <a:ext uri="{FF2B5EF4-FFF2-40B4-BE49-F238E27FC236}">
              <a16:creationId xmlns:a16="http://schemas.microsoft.com/office/drawing/2014/main" id="{1937EB85-D82B-4D79-A8E7-6024472AE8F0}"/>
            </a:ext>
          </a:extLst>
        </xdr:cNvPr>
        <xdr:cNvSpPr/>
      </xdr:nvSpPr>
      <xdr:spPr>
        <a:xfrm>
          <a:off x="8100060" y="3794760"/>
          <a:ext cx="3566160" cy="12420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419100</xdr:colOff>
      <xdr:row>16</xdr:row>
      <xdr:rowOff>22860</xdr:rowOff>
    </xdr:from>
    <xdr:to>
      <xdr:col>12</xdr:col>
      <xdr:colOff>541020</xdr:colOff>
      <xdr:row>27</xdr:row>
      <xdr:rowOff>83820</xdr:rowOff>
    </xdr:to>
    <xdr:sp macro="" textlink="">
      <xdr:nvSpPr>
        <xdr:cNvPr id="9" name="Rectangle 8">
          <a:extLst>
            <a:ext uri="{FF2B5EF4-FFF2-40B4-BE49-F238E27FC236}">
              <a16:creationId xmlns:a16="http://schemas.microsoft.com/office/drawing/2014/main" id="{427DE2F8-61DB-428C-9D34-3F0E7DC6391A}"/>
            </a:ext>
          </a:extLst>
        </xdr:cNvPr>
        <xdr:cNvSpPr/>
      </xdr:nvSpPr>
      <xdr:spPr>
        <a:xfrm>
          <a:off x="4076700" y="2948940"/>
          <a:ext cx="3779520" cy="20726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5</xdr:col>
      <xdr:colOff>541020</xdr:colOff>
      <xdr:row>11</xdr:row>
      <xdr:rowOff>160020</xdr:rowOff>
    </xdr:from>
    <xdr:to>
      <xdr:col>6</xdr:col>
      <xdr:colOff>495300</xdr:colOff>
      <xdr:row>14</xdr:row>
      <xdr:rowOff>99060</xdr:rowOff>
    </xdr:to>
    <xdr:pic>
      <xdr:nvPicPr>
        <xdr:cNvPr id="10" name="Graphic 9" descr="Bar chart with solid fill">
          <a:extLst>
            <a:ext uri="{FF2B5EF4-FFF2-40B4-BE49-F238E27FC236}">
              <a16:creationId xmlns:a16="http://schemas.microsoft.com/office/drawing/2014/main" id="{3EAE4D39-EBF2-4319-9200-F7D677A70F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89020" y="2171700"/>
          <a:ext cx="563880" cy="487680"/>
        </a:xfrm>
        <a:prstGeom prst="rect">
          <a:avLst/>
        </a:prstGeom>
      </xdr:spPr>
    </xdr:pic>
    <xdr:clientData/>
  </xdr:twoCellAnchor>
  <xdr:twoCellAnchor>
    <xdr:from>
      <xdr:col>6</xdr:col>
      <xdr:colOff>464820</xdr:colOff>
      <xdr:row>12</xdr:row>
      <xdr:rowOff>160020</xdr:rowOff>
    </xdr:from>
    <xdr:to>
      <xdr:col>8</xdr:col>
      <xdr:colOff>68580</xdr:colOff>
      <xdr:row>14</xdr:row>
      <xdr:rowOff>60960</xdr:rowOff>
    </xdr:to>
    <xdr:sp macro="" textlink="">
      <xdr:nvSpPr>
        <xdr:cNvPr id="11" name="Rectangle 10">
          <a:extLst>
            <a:ext uri="{FF2B5EF4-FFF2-40B4-BE49-F238E27FC236}">
              <a16:creationId xmlns:a16="http://schemas.microsoft.com/office/drawing/2014/main" id="{995E6A37-5904-4371-8DD7-ACD07905530C}"/>
            </a:ext>
          </a:extLst>
        </xdr:cNvPr>
        <xdr:cNvSpPr/>
      </xdr:nvSpPr>
      <xdr:spPr>
        <a:xfrm>
          <a:off x="4122420" y="2354580"/>
          <a:ext cx="822960" cy="266700"/>
        </a:xfrm>
        <a:prstGeom prst="rect">
          <a:avLst/>
        </a:prstGeom>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a:t>ANALYTICS</a:t>
          </a:r>
        </a:p>
      </xdr:txBody>
    </xdr:sp>
    <xdr:clientData/>
  </xdr:twoCellAnchor>
  <xdr:twoCellAnchor>
    <xdr:from>
      <xdr:col>3</xdr:col>
      <xdr:colOff>464820</xdr:colOff>
      <xdr:row>5</xdr:row>
      <xdr:rowOff>91440</xdr:rowOff>
    </xdr:from>
    <xdr:to>
      <xdr:col>5</xdr:col>
      <xdr:colOff>274320</xdr:colOff>
      <xdr:row>7</xdr:row>
      <xdr:rowOff>60960</xdr:rowOff>
    </xdr:to>
    <xdr:sp macro="" textlink="">
      <xdr:nvSpPr>
        <xdr:cNvPr id="12" name="Rectangle: Rounded Corners 11">
          <a:extLst>
            <a:ext uri="{FF2B5EF4-FFF2-40B4-BE49-F238E27FC236}">
              <a16:creationId xmlns:a16="http://schemas.microsoft.com/office/drawing/2014/main" id="{570AC39D-617D-4F23-9302-84E0A50DC061}"/>
            </a:ext>
          </a:extLst>
        </xdr:cNvPr>
        <xdr:cNvSpPr/>
      </xdr:nvSpPr>
      <xdr:spPr>
        <a:xfrm>
          <a:off x="2293620" y="1005840"/>
          <a:ext cx="10287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0" cap="none" spc="0">
              <a:ln w="10160">
                <a:solidFill>
                  <a:schemeClr val="bg1"/>
                </a:solidFill>
                <a:prstDash val="solid"/>
              </a:ln>
              <a:solidFill>
                <a:schemeClr val="bg1"/>
              </a:solidFill>
              <a:effectLst>
                <a:outerShdw blurRad="38100" dist="22860" dir="5400000" algn="tl" rotWithShape="0">
                  <a:srgbClr val="000000">
                    <a:alpha val="30000"/>
                  </a:srgbClr>
                </a:outerShdw>
              </a:effectLst>
            </a:rPr>
            <a:t>DASHBOARD</a:t>
          </a:r>
          <a:endParaRPr lang="en-IN" sz="1100" b="0">
            <a:ln w="10160">
              <a:solidFill>
                <a:schemeClr val="bg1"/>
              </a:solidFill>
              <a:prstDash val="solid"/>
            </a:ln>
            <a:solidFill>
              <a:schemeClr val="bg1"/>
            </a:solidFill>
          </a:endParaRPr>
        </a:p>
      </xdr:txBody>
    </xdr:sp>
    <xdr:clientData/>
  </xdr:twoCellAnchor>
  <xdr:twoCellAnchor>
    <xdr:from>
      <xdr:col>3</xdr:col>
      <xdr:colOff>525780</xdr:colOff>
      <xdr:row>8</xdr:row>
      <xdr:rowOff>106680</xdr:rowOff>
    </xdr:from>
    <xdr:to>
      <xdr:col>5</xdr:col>
      <xdr:colOff>259080</xdr:colOff>
      <xdr:row>10</xdr:row>
      <xdr:rowOff>76200</xdr:rowOff>
    </xdr:to>
    <xdr:sp macro="" textlink="">
      <xdr:nvSpPr>
        <xdr:cNvPr id="13" name="Rectangle: Rounded Corners 12">
          <a:extLst>
            <a:ext uri="{FF2B5EF4-FFF2-40B4-BE49-F238E27FC236}">
              <a16:creationId xmlns:a16="http://schemas.microsoft.com/office/drawing/2014/main" id="{1E510F4D-AFB8-4214-901C-8603C25291EE}"/>
            </a:ext>
          </a:extLst>
        </xdr:cNvPr>
        <xdr:cNvSpPr/>
      </xdr:nvSpPr>
      <xdr:spPr>
        <a:xfrm>
          <a:off x="2354580" y="1569720"/>
          <a:ext cx="9525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PRODUCTS</a:t>
          </a:r>
        </a:p>
      </xdr:txBody>
    </xdr:sp>
    <xdr:clientData/>
  </xdr:twoCellAnchor>
  <xdr:twoCellAnchor>
    <xdr:from>
      <xdr:col>3</xdr:col>
      <xdr:colOff>518160</xdr:colOff>
      <xdr:row>11</xdr:row>
      <xdr:rowOff>152400</xdr:rowOff>
    </xdr:from>
    <xdr:to>
      <xdr:col>5</xdr:col>
      <xdr:colOff>297180</xdr:colOff>
      <xdr:row>13</xdr:row>
      <xdr:rowOff>121920</xdr:rowOff>
    </xdr:to>
    <xdr:sp macro="" textlink="">
      <xdr:nvSpPr>
        <xdr:cNvPr id="14" name="Rectangle: Rounded Corners 13">
          <a:extLst>
            <a:ext uri="{FF2B5EF4-FFF2-40B4-BE49-F238E27FC236}">
              <a16:creationId xmlns:a16="http://schemas.microsoft.com/office/drawing/2014/main" id="{A138B089-B67C-43B0-9D39-365EC9B0F2AD}"/>
            </a:ext>
          </a:extLst>
        </xdr:cNvPr>
        <xdr:cNvSpPr/>
      </xdr:nvSpPr>
      <xdr:spPr>
        <a:xfrm>
          <a:off x="2346960" y="2164080"/>
          <a:ext cx="998220" cy="33528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100" b="0" cap="none" spc="0">
              <a:ln w="0"/>
              <a:solidFill>
                <a:schemeClr val="tx1"/>
              </a:solidFill>
              <a:effectLst>
                <a:outerShdw blurRad="38100" dist="19050" dir="2700000" algn="tl" rotWithShape="0">
                  <a:schemeClr val="dk1">
                    <a:alpha val="40000"/>
                  </a:schemeClr>
                </a:outerShdw>
              </a:effectLst>
            </a:rPr>
            <a:t>SALESMANS</a:t>
          </a:r>
          <a:endParaRPr lang="en-IN" sz="1100"/>
        </a:p>
      </xdr:txBody>
    </xdr:sp>
    <xdr:clientData/>
  </xdr:twoCellAnchor>
  <xdr:twoCellAnchor>
    <xdr:from>
      <xdr:col>3</xdr:col>
      <xdr:colOff>510540</xdr:colOff>
      <xdr:row>15</xdr:row>
      <xdr:rowOff>83820</xdr:rowOff>
    </xdr:from>
    <xdr:to>
      <xdr:col>5</xdr:col>
      <xdr:colOff>243840</xdr:colOff>
      <xdr:row>17</xdr:row>
      <xdr:rowOff>53340</xdr:rowOff>
    </xdr:to>
    <xdr:sp macro="" textlink="">
      <xdr:nvSpPr>
        <xdr:cNvPr id="15" name="Rectangle: Rounded Corners 14">
          <a:hlinkClick xmlns:r="http://schemas.openxmlformats.org/officeDocument/2006/relationships" r:id="rId3"/>
          <a:extLst>
            <a:ext uri="{FF2B5EF4-FFF2-40B4-BE49-F238E27FC236}">
              <a16:creationId xmlns:a16="http://schemas.microsoft.com/office/drawing/2014/main" id="{3E083D59-AE57-4CE3-8FFA-4F6188C10206}"/>
            </a:ext>
          </a:extLst>
        </xdr:cNvPr>
        <xdr:cNvSpPr/>
      </xdr:nvSpPr>
      <xdr:spPr>
        <a:xfrm>
          <a:off x="2339340" y="2827020"/>
          <a:ext cx="9525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ABOUT</a:t>
          </a:r>
        </a:p>
      </xdr:txBody>
    </xdr:sp>
    <xdr:clientData/>
  </xdr:twoCellAnchor>
  <xdr:twoCellAnchor>
    <xdr:from>
      <xdr:col>6</xdr:col>
      <xdr:colOff>419101</xdr:colOff>
      <xdr:row>16</xdr:row>
      <xdr:rowOff>22860</xdr:rowOff>
    </xdr:from>
    <xdr:to>
      <xdr:col>12</xdr:col>
      <xdr:colOff>495301</xdr:colOff>
      <xdr:row>27</xdr:row>
      <xdr:rowOff>68580</xdr:rowOff>
    </xdr:to>
    <xdr:graphicFrame macro="">
      <xdr:nvGraphicFramePr>
        <xdr:cNvPr id="22" name="Chart 21">
          <a:extLst>
            <a:ext uri="{FF2B5EF4-FFF2-40B4-BE49-F238E27FC236}">
              <a16:creationId xmlns:a16="http://schemas.microsoft.com/office/drawing/2014/main" id="{41816A0B-DEB5-4DEC-8090-A697E6F92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182880</xdr:colOff>
      <xdr:row>16</xdr:row>
      <xdr:rowOff>38100</xdr:rowOff>
    </xdr:from>
    <xdr:to>
      <xdr:col>11</xdr:col>
      <xdr:colOff>320040</xdr:colOff>
      <xdr:row>17</xdr:row>
      <xdr:rowOff>121920</xdr:rowOff>
    </xdr:to>
    <xdr:sp macro="" textlink="">
      <xdr:nvSpPr>
        <xdr:cNvPr id="17" name="Rectangle 16">
          <a:extLst>
            <a:ext uri="{FF2B5EF4-FFF2-40B4-BE49-F238E27FC236}">
              <a16:creationId xmlns:a16="http://schemas.microsoft.com/office/drawing/2014/main" id="{E060D154-91BD-4300-AE24-7FE732ED0E32}"/>
            </a:ext>
          </a:extLst>
        </xdr:cNvPr>
        <xdr:cNvSpPr/>
      </xdr:nvSpPr>
      <xdr:spPr>
        <a:xfrm>
          <a:off x="5059680" y="2964180"/>
          <a:ext cx="1965960" cy="26670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l"/>
          <a:r>
            <a:rPr lang="en-IN" sz="1100" b="1"/>
            <a:t>SA:ESMAN</a:t>
          </a:r>
          <a:r>
            <a:rPr lang="en-IN" sz="1100" b="1" baseline="0"/>
            <a:t> PERFORMACE</a:t>
          </a:r>
          <a:endParaRPr lang="en-IN" sz="1100" b="1"/>
        </a:p>
      </xdr:txBody>
    </xdr:sp>
    <xdr:clientData/>
  </xdr:twoCellAnchor>
  <xdr:twoCellAnchor>
    <xdr:from>
      <xdr:col>13</xdr:col>
      <xdr:colOff>121920</xdr:colOff>
      <xdr:row>12</xdr:row>
      <xdr:rowOff>175260</xdr:rowOff>
    </xdr:from>
    <xdr:to>
      <xdr:col>19</xdr:col>
      <xdr:colOff>83820</xdr:colOff>
      <xdr:row>20</xdr:row>
      <xdr:rowOff>53340</xdr:rowOff>
    </xdr:to>
    <xdr:graphicFrame macro="">
      <xdr:nvGraphicFramePr>
        <xdr:cNvPr id="23" name="Chart 22">
          <a:extLst>
            <a:ext uri="{FF2B5EF4-FFF2-40B4-BE49-F238E27FC236}">
              <a16:creationId xmlns:a16="http://schemas.microsoft.com/office/drawing/2014/main" id="{1D38E5F2-1E7B-4C72-B962-BA28BB0E6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426720</xdr:colOff>
      <xdr:row>12</xdr:row>
      <xdr:rowOff>167640</xdr:rowOff>
    </xdr:from>
    <xdr:to>
      <xdr:col>17</xdr:col>
      <xdr:colOff>373380</xdr:colOff>
      <xdr:row>14</xdr:row>
      <xdr:rowOff>53340</xdr:rowOff>
    </xdr:to>
    <xdr:sp macro="" textlink="">
      <xdr:nvSpPr>
        <xdr:cNvPr id="19" name="Rectangle 18">
          <a:extLst>
            <a:ext uri="{FF2B5EF4-FFF2-40B4-BE49-F238E27FC236}">
              <a16:creationId xmlns:a16="http://schemas.microsoft.com/office/drawing/2014/main" id="{C336D258-FC4B-4A4B-AFC2-30767A60CC30}"/>
            </a:ext>
          </a:extLst>
        </xdr:cNvPr>
        <xdr:cNvSpPr/>
      </xdr:nvSpPr>
      <xdr:spPr>
        <a:xfrm>
          <a:off x="8961120" y="2362200"/>
          <a:ext cx="1775460" cy="25146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baseline="0"/>
            <a:t>3 Top Performing Salesman</a:t>
          </a:r>
          <a:endParaRPr lang="en-IN" sz="1100" b="1"/>
        </a:p>
      </xdr:txBody>
    </xdr:sp>
    <xdr:clientData/>
  </xdr:twoCellAnchor>
  <xdr:twoCellAnchor>
    <xdr:from>
      <xdr:col>13</xdr:col>
      <xdr:colOff>121920</xdr:colOff>
      <xdr:row>20</xdr:row>
      <xdr:rowOff>91441</xdr:rowOff>
    </xdr:from>
    <xdr:to>
      <xdr:col>19</xdr:col>
      <xdr:colOff>60959</xdr:colOff>
      <xdr:row>27</xdr:row>
      <xdr:rowOff>129541</xdr:rowOff>
    </xdr:to>
    <xdr:graphicFrame macro="">
      <xdr:nvGraphicFramePr>
        <xdr:cNvPr id="24" name="Chart 23">
          <a:extLst>
            <a:ext uri="{FF2B5EF4-FFF2-40B4-BE49-F238E27FC236}">
              <a16:creationId xmlns:a16="http://schemas.microsoft.com/office/drawing/2014/main" id="{56F243BE-CA79-4991-8EF5-72BC8B4F6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434340</xdr:colOff>
      <xdr:row>20</xdr:row>
      <xdr:rowOff>76200</xdr:rowOff>
    </xdr:from>
    <xdr:to>
      <xdr:col>17</xdr:col>
      <xdr:colOff>419100</xdr:colOff>
      <xdr:row>21</xdr:row>
      <xdr:rowOff>121920</xdr:rowOff>
    </xdr:to>
    <xdr:sp macro="" textlink="">
      <xdr:nvSpPr>
        <xdr:cNvPr id="21" name="Rectangle 20">
          <a:extLst>
            <a:ext uri="{FF2B5EF4-FFF2-40B4-BE49-F238E27FC236}">
              <a16:creationId xmlns:a16="http://schemas.microsoft.com/office/drawing/2014/main" id="{F7F9BC52-C278-442F-975D-163C4CD30E74}"/>
            </a:ext>
          </a:extLst>
        </xdr:cNvPr>
        <xdr:cNvSpPr/>
      </xdr:nvSpPr>
      <xdr:spPr>
        <a:xfrm>
          <a:off x="8968740" y="3733800"/>
          <a:ext cx="1813560" cy="228600"/>
        </a:xfrm>
        <a:prstGeom prst="rect">
          <a:avLst/>
        </a:prstGeom>
        <a:solidFill>
          <a:schemeClr val="bg1"/>
        </a:solidFill>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baseline="0"/>
            <a:t>3 Poor Performace Saleman </a:t>
          </a:r>
          <a:endParaRPr lang="en-IN" sz="1100" b="1"/>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358140</xdr:colOff>
      <xdr:row>0</xdr:row>
      <xdr:rowOff>167640</xdr:rowOff>
    </xdr:from>
    <xdr:to>
      <xdr:col>18</xdr:col>
      <xdr:colOff>22860</xdr:colOff>
      <xdr:row>28</xdr:row>
      <xdr:rowOff>30480</xdr:rowOff>
    </xdr:to>
    <xdr:sp macro="" textlink="">
      <xdr:nvSpPr>
        <xdr:cNvPr id="2" name="Rectangle: Rounded Corners 1">
          <a:extLst>
            <a:ext uri="{FF2B5EF4-FFF2-40B4-BE49-F238E27FC236}">
              <a16:creationId xmlns:a16="http://schemas.microsoft.com/office/drawing/2014/main" id="{BD36490E-FE4D-43E4-838E-BFEA5C654EC3}"/>
            </a:ext>
          </a:extLst>
        </xdr:cNvPr>
        <xdr:cNvSpPr/>
      </xdr:nvSpPr>
      <xdr:spPr>
        <a:xfrm>
          <a:off x="2186940" y="167640"/>
          <a:ext cx="8808720" cy="4983480"/>
        </a:xfrm>
        <a:prstGeom prst="roundRect">
          <a:avLst>
            <a:gd name="adj" fmla="val 984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548640</xdr:colOff>
      <xdr:row>0</xdr:row>
      <xdr:rowOff>144780</xdr:rowOff>
    </xdr:from>
    <xdr:to>
      <xdr:col>20</xdr:col>
      <xdr:colOff>213360</xdr:colOff>
      <xdr:row>28</xdr:row>
      <xdr:rowOff>7620</xdr:rowOff>
    </xdr:to>
    <xdr:sp macro="" textlink="">
      <xdr:nvSpPr>
        <xdr:cNvPr id="3" name="Rectangle: Rounded Corners 2">
          <a:extLst>
            <a:ext uri="{FF2B5EF4-FFF2-40B4-BE49-F238E27FC236}">
              <a16:creationId xmlns:a16="http://schemas.microsoft.com/office/drawing/2014/main" id="{62C84B6A-1D7E-438E-8B57-E72CC6B9FCD1}"/>
            </a:ext>
          </a:extLst>
        </xdr:cNvPr>
        <xdr:cNvSpPr/>
      </xdr:nvSpPr>
      <xdr:spPr>
        <a:xfrm>
          <a:off x="3596640" y="144780"/>
          <a:ext cx="8808720" cy="4983480"/>
        </a:xfrm>
        <a:prstGeom prst="roundRect">
          <a:avLst>
            <a:gd name="adj" fmla="val 984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6</xdr:col>
      <xdr:colOff>15240</xdr:colOff>
      <xdr:row>3</xdr:row>
      <xdr:rowOff>53340</xdr:rowOff>
    </xdr:from>
    <xdr:to>
      <xdr:col>15</xdr:col>
      <xdr:colOff>571500</xdr:colOff>
      <xdr:row>8</xdr:row>
      <xdr:rowOff>60960</xdr:rowOff>
    </xdr:to>
    <mc:AlternateContent xmlns:mc="http://schemas.openxmlformats.org/markup-compatibility/2006" xmlns:tsle="http://schemas.microsoft.com/office/drawing/2012/timeslicer">
      <mc:Choice Requires="tsle">
        <xdr:graphicFrame macro="">
          <xdr:nvGraphicFramePr>
            <xdr:cNvPr id="4" name="Date 4">
              <a:extLst>
                <a:ext uri="{FF2B5EF4-FFF2-40B4-BE49-F238E27FC236}">
                  <a16:creationId xmlns:a16="http://schemas.microsoft.com/office/drawing/2014/main" id="{2A38795F-15B6-498C-93C3-2291D2DB7444}"/>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3672840" y="601980"/>
              <a:ext cx="6042660" cy="922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144780</xdr:colOff>
      <xdr:row>3</xdr:row>
      <xdr:rowOff>38100</xdr:rowOff>
    </xdr:from>
    <xdr:to>
      <xdr:col>19</xdr:col>
      <xdr:colOff>198120</xdr:colOff>
      <xdr:row>8</xdr:row>
      <xdr:rowOff>68580</xdr:rowOff>
    </xdr:to>
    <mc:AlternateContent xmlns:mc="http://schemas.openxmlformats.org/markup-compatibility/2006" xmlns:a14="http://schemas.microsoft.com/office/drawing/2010/main">
      <mc:Choice Requires="a14">
        <xdr:graphicFrame macro="">
          <xdr:nvGraphicFramePr>
            <xdr:cNvPr id="5" name="Region 4">
              <a:extLst>
                <a:ext uri="{FF2B5EF4-FFF2-40B4-BE49-F238E27FC236}">
                  <a16:creationId xmlns:a16="http://schemas.microsoft.com/office/drawing/2014/main" id="{5EF8B995-47A3-450E-8CC6-ED1037A91DA3}"/>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9898380" y="586740"/>
              <a:ext cx="18821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8</xdr:row>
      <xdr:rowOff>160020</xdr:rowOff>
    </xdr:from>
    <xdr:to>
      <xdr:col>19</xdr:col>
      <xdr:colOff>198120</xdr:colOff>
      <xdr:row>12</xdr:row>
      <xdr:rowOff>38099</xdr:rowOff>
    </xdr:to>
    <mc:AlternateContent xmlns:mc="http://schemas.openxmlformats.org/markup-compatibility/2006" xmlns:a14="http://schemas.microsoft.com/office/drawing/2010/main">
      <mc:Choice Requires="a14">
        <xdr:graphicFrame macro="">
          <xdr:nvGraphicFramePr>
            <xdr:cNvPr id="6" name="Item 4">
              <a:extLst>
                <a:ext uri="{FF2B5EF4-FFF2-40B4-BE49-F238E27FC236}">
                  <a16:creationId xmlns:a16="http://schemas.microsoft.com/office/drawing/2014/main" id="{21D19246-284C-41D7-8ED8-ADF8E450DEBD}"/>
                </a:ext>
              </a:extLst>
            </xdr:cNvPr>
            <xdr:cNvGraphicFramePr/>
          </xdr:nvGraphicFramePr>
          <xdr:xfrm>
            <a:off x="0" y="0"/>
            <a:ext cx="0" cy="0"/>
          </xdr:xfrm>
          <a:graphic>
            <a:graphicData uri="http://schemas.microsoft.com/office/drawing/2010/slicer">
              <sle:slicer xmlns:sle="http://schemas.microsoft.com/office/drawing/2010/slicer" name="Item 4"/>
            </a:graphicData>
          </a:graphic>
        </xdr:graphicFrame>
      </mc:Choice>
      <mc:Fallback xmlns="">
        <xdr:sp macro="" textlink="">
          <xdr:nvSpPr>
            <xdr:cNvPr id="0" name=""/>
            <xdr:cNvSpPr>
              <a:spLocks noTextEdit="1"/>
            </xdr:cNvSpPr>
          </xdr:nvSpPr>
          <xdr:spPr>
            <a:xfrm>
              <a:off x="3657600" y="1623060"/>
              <a:ext cx="812292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457200</xdr:colOff>
      <xdr:row>16</xdr:row>
      <xdr:rowOff>30480</xdr:rowOff>
    </xdr:from>
    <xdr:to>
      <xdr:col>19</xdr:col>
      <xdr:colOff>144780</xdr:colOff>
      <xdr:row>26</xdr:row>
      <xdr:rowOff>83820</xdr:rowOff>
    </xdr:to>
    <xdr:sp macro="" textlink="">
      <xdr:nvSpPr>
        <xdr:cNvPr id="9" name="Rectangle 8">
          <a:extLst>
            <a:ext uri="{FF2B5EF4-FFF2-40B4-BE49-F238E27FC236}">
              <a16:creationId xmlns:a16="http://schemas.microsoft.com/office/drawing/2014/main" id="{DABA97D4-C9DA-402C-BCE1-DB0032C8E810}"/>
            </a:ext>
          </a:extLst>
        </xdr:cNvPr>
        <xdr:cNvSpPr/>
      </xdr:nvSpPr>
      <xdr:spPr>
        <a:xfrm>
          <a:off x="4114800" y="2956560"/>
          <a:ext cx="7612380" cy="18821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a:p>
          <a:pPr algn="l"/>
          <a:endParaRPr lang="en-IN" sz="1100"/>
        </a:p>
        <a:p>
          <a:pPr algn="l"/>
          <a:r>
            <a:rPr lang="en-IN" sz="1100" b="1"/>
            <a:t>Project</a:t>
          </a:r>
          <a:r>
            <a:rPr lang="en-IN" sz="1100" b="1" baseline="0"/>
            <a:t> Developer</a:t>
          </a:r>
          <a:r>
            <a:rPr lang="en-IN" sz="1100" baseline="0"/>
            <a:t>:</a:t>
          </a:r>
        </a:p>
        <a:p>
          <a:pPr algn="l"/>
          <a:r>
            <a:rPr lang="en-IN" sz="1100" i="1" baseline="0"/>
            <a:t>This Wonderful Project is Created by JAIMIN SHAH</a:t>
          </a:r>
        </a:p>
        <a:p>
          <a:pPr algn="l"/>
          <a:endParaRPr lang="en-IN" sz="1100" baseline="0"/>
        </a:p>
        <a:p>
          <a:pPr algn="l"/>
          <a:endParaRPr lang="en-IN" sz="1100" baseline="0"/>
        </a:p>
        <a:p>
          <a:pPr algn="l"/>
          <a:r>
            <a:rPr lang="en-IN" sz="1100" b="1" baseline="0"/>
            <a:t>Version</a:t>
          </a:r>
          <a:r>
            <a:rPr lang="en-IN" sz="1100" b="0" baseline="0"/>
            <a:t>:</a:t>
          </a:r>
        </a:p>
        <a:p>
          <a:pPr algn="l"/>
          <a:r>
            <a:rPr lang="en-IN" sz="1100" i="1" baseline="0"/>
            <a:t>This Project is created in Excel 2021 Version, but you can use excel 2013 or any later version</a:t>
          </a:r>
          <a:endParaRPr lang="en-IN" sz="1100" i="1"/>
        </a:p>
      </xdr:txBody>
    </xdr:sp>
    <xdr:clientData/>
  </xdr:twoCellAnchor>
  <xdr:twoCellAnchor editAs="oneCell">
    <xdr:from>
      <xdr:col>5</xdr:col>
      <xdr:colOff>541020</xdr:colOff>
      <xdr:row>11</xdr:row>
      <xdr:rowOff>160020</xdr:rowOff>
    </xdr:from>
    <xdr:to>
      <xdr:col>6</xdr:col>
      <xdr:colOff>495300</xdr:colOff>
      <xdr:row>14</xdr:row>
      <xdr:rowOff>99060</xdr:rowOff>
    </xdr:to>
    <xdr:pic>
      <xdr:nvPicPr>
        <xdr:cNvPr id="10" name="Graphic 9" descr="Bar chart with solid fill">
          <a:extLst>
            <a:ext uri="{FF2B5EF4-FFF2-40B4-BE49-F238E27FC236}">
              <a16:creationId xmlns:a16="http://schemas.microsoft.com/office/drawing/2014/main" id="{41ECBA9E-5FEA-4C0B-BA1A-7A25BC8540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89020" y="2171700"/>
          <a:ext cx="563880" cy="487680"/>
        </a:xfrm>
        <a:prstGeom prst="rect">
          <a:avLst/>
        </a:prstGeom>
      </xdr:spPr>
    </xdr:pic>
    <xdr:clientData/>
  </xdr:twoCellAnchor>
  <xdr:twoCellAnchor>
    <xdr:from>
      <xdr:col>6</xdr:col>
      <xdr:colOff>464820</xdr:colOff>
      <xdr:row>12</xdr:row>
      <xdr:rowOff>160020</xdr:rowOff>
    </xdr:from>
    <xdr:to>
      <xdr:col>8</xdr:col>
      <xdr:colOff>68580</xdr:colOff>
      <xdr:row>14</xdr:row>
      <xdr:rowOff>60960</xdr:rowOff>
    </xdr:to>
    <xdr:sp macro="" textlink="">
      <xdr:nvSpPr>
        <xdr:cNvPr id="11" name="Rectangle 10">
          <a:extLst>
            <a:ext uri="{FF2B5EF4-FFF2-40B4-BE49-F238E27FC236}">
              <a16:creationId xmlns:a16="http://schemas.microsoft.com/office/drawing/2014/main" id="{86A18F22-E5EE-4780-BBD6-582A01236E13}"/>
            </a:ext>
          </a:extLst>
        </xdr:cNvPr>
        <xdr:cNvSpPr/>
      </xdr:nvSpPr>
      <xdr:spPr>
        <a:xfrm>
          <a:off x="4122420" y="2354580"/>
          <a:ext cx="822960" cy="266700"/>
        </a:xfrm>
        <a:prstGeom prst="rect">
          <a:avLst/>
        </a:prstGeom>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100" b="1"/>
            <a:t>ANALYTICS</a:t>
          </a:r>
        </a:p>
      </xdr:txBody>
    </xdr:sp>
    <xdr:clientData/>
  </xdr:twoCellAnchor>
  <xdr:twoCellAnchor>
    <xdr:from>
      <xdr:col>3</xdr:col>
      <xdr:colOff>541020</xdr:colOff>
      <xdr:row>5</xdr:row>
      <xdr:rowOff>91440</xdr:rowOff>
    </xdr:from>
    <xdr:to>
      <xdr:col>5</xdr:col>
      <xdr:colOff>365760</xdr:colOff>
      <xdr:row>7</xdr:row>
      <xdr:rowOff>60960</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F180F81E-CEFA-428F-ACD0-E1C9CA3FC9EF}"/>
            </a:ext>
          </a:extLst>
        </xdr:cNvPr>
        <xdr:cNvSpPr/>
      </xdr:nvSpPr>
      <xdr:spPr>
        <a:xfrm>
          <a:off x="2369820" y="1005840"/>
          <a:ext cx="104394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cap="none" spc="50">
              <a:ln w="9525" cmpd="sng">
                <a:solidFill>
                  <a:schemeClr val="accent1"/>
                </a:solidFill>
                <a:prstDash val="solid"/>
              </a:ln>
              <a:solidFill>
                <a:srgbClr val="70AD47">
                  <a:tint val="1000"/>
                </a:srgbClr>
              </a:solidFill>
              <a:effectLst>
                <a:glow rad="38100">
                  <a:schemeClr val="accent1">
                    <a:alpha val="40000"/>
                  </a:schemeClr>
                </a:glow>
              </a:effectLst>
            </a:rPr>
            <a:t>DASHBOARD</a:t>
          </a:r>
        </a:p>
      </xdr:txBody>
    </xdr:sp>
    <xdr:clientData/>
  </xdr:twoCellAnchor>
  <xdr:twoCellAnchor>
    <xdr:from>
      <xdr:col>3</xdr:col>
      <xdr:colOff>525780</xdr:colOff>
      <xdr:row>8</xdr:row>
      <xdr:rowOff>106680</xdr:rowOff>
    </xdr:from>
    <xdr:to>
      <xdr:col>5</xdr:col>
      <xdr:colOff>259080</xdr:colOff>
      <xdr:row>10</xdr:row>
      <xdr:rowOff>76200</xdr:rowOff>
    </xdr:to>
    <xdr:sp macro="" textlink="">
      <xdr:nvSpPr>
        <xdr:cNvPr id="13" name="Rectangle: Rounded Corners 12">
          <a:extLst>
            <a:ext uri="{FF2B5EF4-FFF2-40B4-BE49-F238E27FC236}">
              <a16:creationId xmlns:a16="http://schemas.microsoft.com/office/drawing/2014/main" id="{997311E9-4E61-4EA1-990C-B8D22E885983}"/>
            </a:ext>
          </a:extLst>
        </xdr:cNvPr>
        <xdr:cNvSpPr/>
      </xdr:nvSpPr>
      <xdr:spPr>
        <a:xfrm>
          <a:off x="2354580" y="1569720"/>
          <a:ext cx="952500" cy="335280"/>
        </a:xfrm>
        <a:prstGeom prst="round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 PRODUCTS</a:t>
          </a:r>
        </a:p>
      </xdr:txBody>
    </xdr:sp>
    <xdr:clientData/>
  </xdr:twoCellAnchor>
  <xdr:twoCellAnchor>
    <xdr:from>
      <xdr:col>3</xdr:col>
      <xdr:colOff>518160</xdr:colOff>
      <xdr:row>11</xdr:row>
      <xdr:rowOff>152400</xdr:rowOff>
    </xdr:from>
    <xdr:to>
      <xdr:col>5</xdr:col>
      <xdr:colOff>297180</xdr:colOff>
      <xdr:row>13</xdr:row>
      <xdr:rowOff>121920</xdr:rowOff>
    </xdr:to>
    <xdr:sp macro="" textlink="">
      <xdr:nvSpPr>
        <xdr:cNvPr id="14" name="Rectangle: Rounded Corners 13">
          <a:extLst>
            <a:ext uri="{FF2B5EF4-FFF2-40B4-BE49-F238E27FC236}">
              <a16:creationId xmlns:a16="http://schemas.microsoft.com/office/drawing/2014/main" id="{8078A193-449D-47D8-B927-B1F21110DA89}"/>
            </a:ext>
          </a:extLst>
        </xdr:cNvPr>
        <xdr:cNvSpPr/>
      </xdr:nvSpPr>
      <xdr:spPr>
        <a:xfrm>
          <a:off x="2346960" y="2164080"/>
          <a:ext cx="99822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SALESMANS</a:t>
          </a:r>
        </a:p>
      </xdr:txBody>
    </xdr:sp>
    <xdr:clientData/>
  </xdr:twoCellAnchor>
  <xdr:twoCellAnchor>
    <xdr:from>
      <xdr:col>3</xdr:col>
      <xdr:colOff>510540</xdr:colOff>
      <xdr:row>15</xdr:row>
      <xdr:rowOff>83820</xdr:rowOff>
    </xdr:from>
    <xdr:to>
      <xdr:col>5</xdr:col>
      <xdr:colOff>243840</xdr:colOff>
      <xdr:row>17</xdr:row>
      <xdr:rowOff>53340</xdr:rowOff>
    </xdr:to>
    <xdr:sp macro="" textlink="">
      <xdr:nvSpPr>
        <xdr:cNvPr id="15" name="Rectangle: Rounded Corners 14">
          <a:extLst>
            <a:ext uri="{FF2B5EF4-FFF2-40B4-BE49-F238E27FC236}">
              <a16:creationId xmlns:a16="http://schemas.microsoft.com/office/drawing/2014/main" id="{CC364FB7-D43E-40A6-9F7E-7588D86EA6EA}"/>
            </a:ext>
          </a:extLst>
        </xdr:cNvPr>
        <xdr:cNvSpPr/>
      </xdr:nvSpPr>
      <xdr:spPr>
        <a:xfrm>
          <a:off x="2339340" y="2827020"/>
          <a:ext cx="952500" cy="335280"/>
        </a:xfrm>
        <a:prstGeom prst="roundRect">
          <a:avLst/>
        </a:prstGeom>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ABOUT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min Shah" refreshedDate="45465.402408333335" createdVersion="8" refreshedVersion="8" minRefreshableVersion="3" recordCount="9" xr:uid="{A3ECA134-9A01-418A-A765-7363D1E6A052}">
  <cacheSource type="worksheet">
    <worksheetSource ref="A14:E23" sheet="Lecture 7A"/>
  </cacheSource>
  <cacheFields count="5">
    <cacheField name="Item" numFmtId="0">
      <sharedItems count="3">
        <s v="Laptop"/>
        <s v="Chrome Book"/>
        <s v="Mac Book"/>
      </sharedItems>
    </cacheField>
    <cacheField name="Quantity" numFmtId="0">
      <sharedItems containsSemiMixedTypes="0" containsString="0" containsNumber="1" containsInteger="1" minValue="10" maxValue="70" count="7">
        <n v="70"/>
        <n v="20"/>
        <n v="10"/>
        <n v="15"/>
        <n v="60"/>
        <n v="53"/>
        <n v="40"/>
      </sharedItems>
    </cacheField>
    <cacheField name="Unit" numFmtId="0">
      <sharedItems count="1">
        <s v="Each"/>
      </sharedItems>
    </cacheField>
    <cacheField name="Month" numFmtId="0">
      <sharedItems count="3">
        <s v="March"/>
        <s v="April"/>
        <s v="May"/>
      </sharedItems>
    </cacheField>
    <cacheField name="Store" numFmtId="0">
      <sharedItems count="2">
        <s v="Store 1"/>
        <s v="Store 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min Shah" refreshedDate="45465.402408449074" createdVersion="8" refreshedVersion="8" minRefreshableVersion="3" recordCount="10" xr:uid="{074402E9-7B33-4A5E-B507-C8810D85B6A1}">
  <cacheSource type="worksheet">
    <worksheetSource ref="A1:F11" sheet="Lecture 7A"/>
  </cacheSource>
  <cacheFields count="6">
    <cacheField name="Order ID" numFmtId="0">
      <sharedItems containsSemiMixedTypes="0" containsString="0" containsNumber="1" containsInteger="1" minValue="1" maxValue="10" count="10">
        <n v="1"/>
        <n v="2"/>
        <n v="3"/>
        <n v="4"/>
        <n v="5"/>
        <n v="6"/>
        <n v="7"/>
        <n v="8"/>
        <n v="9"/>
        <n v="10"/>
      </sharedItems>
    </cacheField>
    <cacheField name="Product" numFmtId="0">
      <sharedItems count="7">
        <s v="Carrot"/>
        <s v="Broccoli"/>
        <s v="Banana"/>
        <s v="Beans"/>
        <s v="Orange"/>
        <s v="Apple"/>
        <s v="Grapes"/>
      </sharedItems>
    </cacheField>
    <cacheField name="Category" numFmtId="0">
      <sharedItems count="2">
        <s v="Vegetables"/>
        <s v="Fruits"/>
      </sharedItems>
    </cacheField>
    <cacheField name="Amount" numFmtId="0">
      <sharedItems containsSemiMixedTypes="0" containsString="0" containsNumber="1" containsInteger="1" minValue="1000" maxValue="5632" count="10">
        <n v="5632"/>
        <n v="2030"/>
        <n v="1000"/>
        <n v="2500"/>
        <n v="3600"/>
        <n v="4200"/>
        <n v="4300"/>
        <n v="3800"/>
        <n v="3201"/>
        <n v="1500"/>
      </sharedItems>
    </cacheField>
    <cacheField name="Country" numFmtId="0">
      <sharedItems count="7">
        <s v="United States"/>
        <s v="United Kingdom"/>
        <s v="Canada"/>
        <s v="Germany"/>
        <s v="Australia"/>
        <s v="New Zealand"/>
        <s v="France"/>
      </sharedItems>
    </cacheField>
    <cacheField name="Date" numFmtId="15">
      <sharedItems containsNonDate="0" containsDate="1" containsString="0" containsBlank="1" minDate="2024-06-15T00:00:00" maxDate="2024-06-25T00:00:00" count="11">
        <d v="2024-06-15T00:00:00"/>
        <d v="2024-06-16T00:00:00"/>
        <d v="2024-06-17T00:00:00"/>
        <d v="2024-06-18T00:00:00"/>
        <d v="2024-06-19T00:00:00"/>
        <d v="2024-06-20T00:00:00"/>
        <d v="2024-06-21T00:00:00"/>
        <d v="2024-06-22T00:00:00"/>
        <d v="2024-06-23T00:00:00"/>
        <d v="2024-06-24T00:00:00"/>
        <m u="1"/>
      </sharedItems>
    </cacheField>
  </cacheFields>
  <extLst>
    <ext xmlns:x14="http://schemas.microsoft.com/office/spreadsheetml/2009/9/main" uri="{725AE2AE-9491-48be-B2B4-4EB974FC3084}">
      <x14:pivotCacheDefinition pivotCacheId="89813144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imin Shah" refreshedDate="45475.401652430555" createdVersion="8" refreshedVersion="8" minRefreshableVersion="3" recordCount="366" xr:uid="{EAF7861F-41E6-4DF9-8CEB-F3DFFCBC2A21}">
  <cacheSource type="worksheet">
    <worksheetSource ref="A2:H368" sheet="Lecture 13A"/>
  </cacheSource>
  <cacheFields count="11">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10"/>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6">
      <sharedItems containsSemiMixedTypes="0" containsString="0" containsNumber="1" containsInteger="1" minValue="2" maxValue="7" count="6">
        <n v="7"/>
        <n v="6"/>
        <n v="5"/>
        <n v="4"/>
        <n v="3"/>
        <n v="2"/>
      </sharedItems>
    </cacheField>
    <cacheField name="Price" numFmtId="166">
      <sharedItems containsSemiMixedTypes="0" containsString="0" containsNumber="1" containsInteger="1" minValue="190" maxValue="2100"/>
    </cacheField>
    <cacheField name="Amount" numFmtId="166">
      <sharedItems containsSemiMixedTypes="0" containsString="0" containsNumber="1" containsInteger="1" minValue="380" maxValue="14700"/>
    </cacheField>
    <cacheField name="Months (Date)" numFmtId="0" databaseField="0">
      <fieldGroup base="1">
        <rangePr groupBy="months" startDate="2021-01-01T00:00:00" endDate="2022-01-02T00:00:00"/>
        <groupItems count="14">
          <s v="&lt;01-01-2021"/>
          <s v="Jan"/>
          <s v="Feb"/>
          <s v="Mar"/>
          <s v="Apr"/>
          <s v="May"/>
          <s v="Jun"/>
          <s v="Jul"/>
          <s v="Aug"/>
          <s v="Sep"/>
          <s v="Oct"/>
          <s v="Nov"/>
          <s v="Dec"/>
          <s v="&gt;02-01-2022"/>
        </groupItems>
      </fieldGroup>
    </cacheField>
    <cacheField name="Quarters (Date)" numFmtId="0" databaseField="0">
      <fieldGroup base="1">
        <rangePr groupBy="quarters" startDate="2021-01-01T00:00:00" endDate="2022-01-02T00:00:00"/>
        <groupItems count="6">
          <s v="&lt;01-01-2021"/>
          <s v="Qtr1"/>
          <s v="Qtr2"/>
          <s v="Qtr3"/>
          <s v="Qtr4"/>
          <s v="&gt;02-01-2022"/>
        </groupItems>
      </fieldGroup>
    </cacheField>
    <cacheField name="Years (Date)"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18248825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x v="0"/>
  </r>
  <r>
    <x v="1"/>
    <x v="1"/>
    <x v="0"/>
    <x v="1"/>
    <x v="1"/>
  </r>
  <r>
    <x v="2"/>
    <x v="1"/>
    <x v="0"/>
    <x v="2"/>
    <x v="0"/>
  </r>
  <r>
    <x v="0"/>
    <x v="2"/>
    <x v="0"/>
    <x v="0"/>
    <x v="0"/>
  </r>
  <r>
    <x v="1"/>
    <x v="3"/>
    <x v="0"/>
    <x v="1"/>
    <x v="1"/>
  </r>
  <r>
    <x v="2"/>
    <x v="4"/>
    <x v="0"/>
    <x v="2"/>
    <x v="0"/>
  </r>
  <r>
    <x v="2"/>
    <x v="5"/>
    <x v="0"/>
    <x v="0"/>
    <x v="1"/>
  </r>
  <r>
    <x v="0"/>
    <x v="6"/>
    <x v="0"/>
    <x v="1"/>
    <x v="1"/>
  </r>
  <r>
    <x v="2"/>
    <x v="5"/>
    <x v="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x v="0"/>
  </r>
  <r>
    <x v="1"/>
    <x v="1"/>
    <x v="0"/>
    <x v="1"/>
    <x v="1"/>
    <x v="1"/>
  </r>
  <r>
    <x v="2"/>
    <x v="2"/>
    <x v="1"/>
    <x v="2"/>
    <x v="0"/>
    <x v="2"/>
  </r>
  <r>
    <x v="3"/>
    <x v="2"/>
    <x v="1"/>
    <x v="3"/>
    <x v="2"/>
    <x v="3"/>
  </r>
  <r>
    <x v="4"/>
    <x v="3"/>
    <x v="0"/>
    <x v="4"/>
    <x v="3"/>
    <x v="4"/>
  </r>
  <r>
    <x v="5"/>
    <x v="4"/>
    <x v="1"/>
    <x v="5"/>
    <x v="1"/>
    <x v="5"/>
  </r>
  <r>
    <x v="6"/>
    <x v="1"/>
    <x v="0"/>
    <x v="6"/>
    <x v="4"/>
    <x v="6"/>
  </r>
  <r>
    <x v="7"/>
    <x v="2"/>
    <x v="1"/>
    <x v="7"/>
    <x v="5"/>
    <x v="7"/>
  </r>
  <r>
    <x v="8"/>
    <x v="5"/>
    <x v="1"/>
    <x v="8"/>
    <x v="6"/>
    <x v="8"/>
  </r>
  <r>
    <x v="9"/>
    <x v="6"/>
    <x v="1"/>
    <x v="9"/>
    <x v="4"/>
    <x v="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x v="0"/>
    <n v="210"/>
    <n v="1470"/>
  </r>
  <r>
    <n v="2"/>
    <x v="1"/>
    <x v="1"/>
    <x v="1"/>
    <x v="1"/>
    <x v="1"/>
    <n v="2100"/>
    <n v="12600"/>
  </r>
  <r>
    <n v="3"/>
    <x v="2"/>
    <x v="2"/>
    <x v="0"/>
    <x v="2"/>
    <x v="2"/>
    <n v="1200"/>
    <n v="6000"/>
  </r>
  <r>
    <n v="4"/>
    <x v="3"/>
    <x v="3"/>
    <x v="1"/>
    <x v="3"/>
    <x v="3"/>
    <n v="1500"/>
    <n v="6000"/>
  </r>
  <r>
    <n v="5"/>
    <x v="4"/>
    <x v="4"/>
    <x v="0"/>
    <x v="4"/>
    <x v="4"/>
    <n v="300"/>
    <n v="900"/>
  </r>
  <r>
    <n v="6"/>
    <x v="5"/>
    <x v="5"/>
    <x v="0"/>
    <x v="5"/>
    <x v="5"/>
    <n v="190"/>
    <n v="380"/>
  </r>
  <r>
    <n v="7"/>
    <x v="6"/>
    <x v="0"/>
    <x v="0"/>
    <x v="0"/>
    <x v="0"/>
    <n v="210"/>
    <n v="1470"/>
  </r>
  <r>
    <n v="8"/>
    <x v="7"/>
    <x v="1"/>
    <x v="1"/>
    <x v="1"/>
    <x v="1"/>
    <n v="2100"/>
    <n v="12600"/>
  </r>
  <r>
    <n v="9"/>
    <x v="8"/>
    <x v="2"/>
    <x v="1"/>
    <x v="2"/>
    <x v="2"/>
    <n v="1200"/>
    <n v="6000"/>
  </r>
  <r>
    <n v="10"/>
    <x v="9"/>
    <x v="3"/>
    <x v="0"/>
    <x v="3"/>
    <x v="3"/>
    <n v="1500"/>
    <n v="6000"/>
  </r>
  <r>
    <n v="11"/>
    <x v="10"/>
    <x v="4"/>
    <x v="0"/>
    <x v="4"/>
    <x v="4"/>
    <n v="300"/>
    <n v="900"/>
  </r>
  <r>
    <n v="12"/>
    <x v="11"/>
    <x v="5"/>
    <x v="1"/>
    <x v="5"/>
    <x v="5"/>
    <n v="190"/>
    <n v="380"/>
  </r>
  <r>
    <n v="13"/>
    <x v="12"/>
    <x v="5"/>
    <x v="0"/>
    <x v="0"/>
    <x v="5"/>
    <n v="210"/>
    <n v="420"/>
  </r>
  <r>
    <n v="14"/>
    <x v="13"/>
    <x v="0"/>
    <x v="0"/>
    <x v="1"/>
    <x v="0"/>
    <n v="2100"/>
    <n v="14700"/>
  </r>
  <r>
    <n v="15"/>
    <x v="14"/>
    <x v="1"/>
    <x v="0"/>
    <x v="2"/>
    <x v="1"/>
    <n v="1200"/>
    <n v="7200"/>
  </r>
  <r>
    <n v="16"/>
    <x v="15"/>
    <x v="2"/>
    <x v="0"/>
    <x v="3"/>
    <x v="2"/>
    <n v="1500"/>
    <n v="7500"/>
  </r>
  <r>
    <n v="17"/>
    <x v="16"/>
    <x v="3"/>
    <x v="0"/>
    <x v="4"/>
    <x v="3"/>
    <n v="300"/>
    <n v="1200"/>
  </r>
  <r>
    <n v="18"/>
    <x v="17"/>
    <x v="4"/>
    <x v="0"/>
    <x v="5"/>
    <x v="4"/>
    <n v="190"/>
    <n v="570"/>
  </r>
  <r>
    <n v="19"/>
    <x v="18"/>
    <x v="5"/>
    <x v="0"/>
    <x v="0"/>
    <x v="5"/>
    <n v="210"/>
    <n v="420"/>
  </r>
  <r>
    <n v="20"/>
    <x v="19"/>
    <x v="0"/>
    <x v="0"/>
    <x v="2"/>
    <x v="0"/>
    <n v="2100"/>
    <n v="14700"/>
  </r>
  <r>
    <n v="21"/>
    <x v="20"/>
    <x v="1"/>
    <x v="1"/>
    <x v="3"/>
    <x v="1"/>
    <n v="1200"/>
    <n v="7200"/>
  </r>
  <r>
    <n v="22"/>
    <x v="21"/>
    <x v="2"/>
    <x v="0"/>
    <x v="4"/>
    <x v="2"/>
    <n v="300"/>
    <n v="1500"/>
  </r>
  <r>
    <n v="23"/>
    <x v="22"/>
    <x v="3"/>
    <x v="1"/>
    <x v="5"/>
    <x v="3"/>
    <n v="200"/>
    <n v="800"/>
  </r>
  <r>
    <n v="24"/>
    <x v="23"/>
    <x v="4"/>
    <x v="0"/>
    <x v="0"/>
    <x v="4"/>
    <n v="190"/>
    <n v="570"/>
  </r>
  <r>
    <n v="25"/>
    <x v="24"/>
    <x v="5"/>
    <x v="0"/>
    <x v="1"/>
    <x v="5"/>
    <n v="2100"/>
    <n v="4200"/>
  </r>
  <r>
    <n v="26"/>
    <x v="25"/>
    <x v="5"/>
    <x v="0"/>
    <x v="0"/>
    <x v="0"/>
    <n v="210"/>
    <n v="1470"/>
  </r>
  <r>
    <n v="27"/>
    <x v="26"/>
    <x v="0"/>
    <x v="0"/>
    <x v="1"/>
    <x v="1"/>
    <n v="2100"/>
    <n v="12600"/>
  </r>
  <r>
    <n v="28"/>
    <x v="27"/>
    <x v="0"/>
    <x v="1"/>
    <x v="0"/>
    <x v="0"/>
    <n v="210"/>
    <n v="1470"/>
  </r>
  <r>
    <n v="29"/>
    <x v="28"/>
    <x v="0"/>
    <x v="2"/>
    <x v="0"/>
    <x v="0"/>
    <n v="210"/>
    <n v="1470"/>
  </r>
  <r>
    <n v="30"/>
    <x v="29"/>
    <x v="0"/>
    <x v="3"/>
    <x v="0"/>
    <x v="0"/>
    <n v="210"/>
    <n v="1470"/>
  </r>
  <r>
    <n v="31"/>
    <x v="30"/>
    <x v="0"/>
    <x v="0"/>
    <x v="0"/>
    <x v="0"/>
    <n v="210"/>
    <n v="1470"/>
  </r>
  <r>
    <n v="32"/>
    <x v="31"/>
    <x v="0"/>
    <x v="1"/>
    <x v="0"/>
    <x v="0"/>
    <n v="210"/>
    <n v="1470"/>
  </r>
  <r>
    <n v="33"/>
    <x v="32"/>
    <x v="0"/>
    <x v="2"/>
    <x v="0"/>
    <x v="0"/>
    <n v="210"/>
    <n v="1470"/>
  </r>
  <r>
    <n v="34"/>
    <x v="33"/>
    <x v="0"/>
    <x v="3"/>
    <x v="0"/>
    <x v="0"/>
    <n v="210"/>
    <n v="1470"/>
  </r>
  <r>
    <n v="35"/>
    <x v="34"/>
    <x v="1"/>
    <x v="1"/>
    <x v="0"/>
    <x v="0"/>
    <n v="210"/>
    <n v="1470"/>
  </r>
  <r>
    <n v="36"/>
    <x v="35"/>
    <x v="1"/>
    <x v="0"/>
    <x v="0"/>
    <x v="0"/>
    <n v="210"/>
    <n v="1470"/>
  </r>
  <r>
    <n v="37"/>
    <x v="36"/>
    <x v="1"/>
    <x v="2"/>
    <x v="5"/>
    <x v="5"/>
    <n v="190"/>
    <n v="380"/>
  </r>
  <r>
    <n v="38"/>
    <x v="37"/>
    <x v="1"/>
    <x v="3"/>
    <x v="0"/>
    <x v="5"/>
    <n v="210"/>
    <n v="420"/>
  </r>
  <r>
    <n v="39"/>
    <x v="38"/>
    <x v="1"/>
    <x v="1"/>
    <x v="1"/>
    <x v="0"/>
    <n v="2100"/>
    <n v="14700"/>
  </r>
  <r>
    <n v="40"/>
    <x v="39"/>
    <x v="1"/>
    <x v="0"/>
    <x v="2"/>
    <x v="1"/>
    <n v="1200"/>
    <n v="7200"/>
  </r>
  <r>
    <n v="41"/>
    <x v="40"/>
    <x v="1"/>
    <x v="2"/>
    <x v="1"/>
    <x v="0"/>
    <n v="2100"/>
    <n v="14700"/>
  </r>
  <r>
    <n v="42"/>
    <x v="41"/>
    <x v="1"/>
    <x v="3"/>
    <x v="1"/>
    <x v="0"/>
    <n v="2100"/>
    <n v="14700"/>
  </r>
  <r>
    <n v="43"/>
    <x v="42"/>
    <x v="2"/>
    <x v="3"/>
    <x v="1"/>
    <x v="0"/>
    <n v="2100"/>
    <n v="14700"/>
  </r>
  <r>
    <n v="44"/>
    <x v="43"/>
    <x v="3"/>
    <x v="3"/>
    <x v="1"/>
    <x v="0"/>
    <n v="2100"/>
    <n v="14700"/>
  </r>
  <r>
    <n v="45"/>
    <x v="44"/>
    <x v="4"/>
    <x v="3"/>
    <x v="1"/>
    <x v="0"/>
    <n v="2100"/>
    <n v="14700"/>
  </r>
  <r>
    <n v="46"/>
    <x v="45"/>
    <x v="5"/>
    <x v="3"/>
    <x v="1"/>
    <x v="0"/>
    <n v="2100"/>
    <n v="14700"/>
  </r>
  <r>
    <n v="47"/>
    <x v="46"/>
    <x v="5"/>
    <x v="0"/>
    <x v="1"/>
    <x v="0"/>
    <n v="2100"/>
    <n v="14700"/>
  </r>
  <r>
    <n v="48"/>
    <x v="47"/>
    <x v="5"/>
    <x v="1"/>
    <x v="1"/>
    <x v="0"/>
    <n v="2100"/>
    <n v="14700"/>
  </r>
  <r>
    <n v="49"/>
    <x v="48"/>
    <x v="5"/>
    <x v="2"/>
    <x v="1"/>
    <x v="0"/>
    <n v="2100"/>
    <n v="14700"/>
  </r>
  <r>
    <n v="50"/>
    <x v="49"/>
    <x v="5"/>
    <x v="3"/>
    <x v="1"/>
    <x v="0"/>
    <n v="2100"/>
    <n v="14700"/>
  </r>
  <r>
    <n v="51"/>
    <x v="50"/>
    <x v="5"/>
    <x v="0"/>
    <x v="0"/>
    <x v="0"/>
    <n v="210"/>
    <n v="1470"/>
  </r>
  <r>
    <n v="52"/>
    <x v="51"/>
    <x v="5"/>
    <x v="1"/>
    <x v="1"/>
    <x v="1"/>
    <n v="2100"/>
    <n v="12600"/>
  </r>
  <r>
    <n v="53"/>
    <x v="52"/>
    <x v="5"/>
    <x v="2"/>
    <x v="2"/>
    <x v="2"/>
    <n v="1200"/>
    <n v="6000"/>
  </r>
  <r>
    <n v="54"/>
    <x v="53"/>
    <x v="5"/>
    <x v="3"/>
    <x v="3"/>
    <x v="3"/>
    <n v="1500"/>
    <n v="6000"/>
  </r>
  <r>
    <n v="55"/>
    <x v="54"/>
    <x v="0"/>
    <x v="0"/>
    <x v="4"/>
    <x v="4"/>
    <n v="300"/>
    <n v="900"/>
  </r>
  <r>
    <n v="56"/>
    <x v="55"/>
    <x v="1"/>
    <x v="1"/>
    <x v="5"/>
    <x v="5"/>
    <n v="190"/>
    <n v="380"/>
  </r>
  <r>
    <n v="57"/>
    <x v="56"/>
    <x v="2"/>
    <x v="0"/>
    <x v="0"/>
    <x v="0"/>
    <n v="210"/>
    <n v="1470"/>
  </r>
  <r>
    <n v="58"/>
    <x v="57"/>
    <x v="3"/>
    <x v="1"/>
    <x v="1"/>
    <x v="1"/>
    <n v="2100"/>
    <n v="12600"/>
  </r>
  <r>
    <n v="59"/>
    <x v="58"/>
    <x v="4"/>
    <x v="0"/>
    <x v="2"/>
    <x v="2"/>
    <n v="1200"/>
    <n v="6000"/>
  </r>
  <r>
    <n v="60"/>
    <x v="59"/>
    <x v="5"/>
    <x v="0"/>
    <x v="3"/>
    <x v="3"/>
    <n v="1500"/>
    <n v="6000"/>
  </r>
  <r>
    <n v="61"/>
    <x v="60"/>
    <x v="0"/>
    <x v="0"/>
    <x v="4"/>
    <x v="4"/>
    <n v="300"/>
    <n v="900"/>
  </r>
  <r>
    <n v="62"/>
    <x v="61"/>
    <x v="1"/>
    <x v="1"/>
    <x v="5"/>
    <x v="5"/>
    <n v="190"/>
    <n v="380"/>
  </r>
  <r>
    <n v="63"/>
    <x v="62"/>
    <x v="2"/>
    <x v="1"/>
    <x v="0"/>
    <x v="5"/>
    <n v="210"/>
    <n v="420"/>
  </r>
  <r>
    <n v="64"/>
    <x v="63"/>
    <x v="3"/>
    <x v="0"/>
    <x v="1"/>
    <x v="0"/>
    <n v="2100"/>
    <n v="14700"/>
  </r>
  <r>
    <n v="65"/>
    <x v="64"/>
    <x v="4"/>
    <x v="0"/>
    <x v="2"/>
    <x v="1"/>
    <n v="1200"/>
    <n v="7200"/>
  </r>
  <r>
    <n v="66"/>
    <x v="65"/>
    <x v="5"/>
    <x v="1"/>
    <x v="3"/>
    <x v="2"/>
    <n v="1500"/>
    <n v="7500"/>
  </r>
  <r>
    <n v="67"/>
    <x v="66"/>
    <x v="5"/>
    <x v="0"/>
    <x v="4"/>
    <x v="3"/>
    <n v="300"/>
    <n v="1200"/>
  </r>
  <r>
    <n v="68"/>
    <x v="67"/>
    <x v="0"/>
    <x v="0"/>
    <x v="5"/>
    <x v="4"/>
    <n v="190"/>
    <n v="570"/>
  </r>
  <r>
    <n v="69"/>
    <x v="68"/>
    <x v="1"/>
    <x v="0"/>
    <x v="0"/>
    <x v="5"/>
    <n v="210"/>
    <n v="420"/>
  </r>
  <r>
    <n v="70"/>
    <x v="69"/>
    <x v="2"/>
    <x v="0"/>
    <x v="5"/>
    <x v="4"/>
    <n v="190"/>
    <n v="570"/>
  </r>
  <r>
    <n v="71"/>
    <x v="70"/>
    <x v="3"/>
    <x v="0"/>
    <x v="0"/>
    <x v="5"/>
    <n v="210"/>
    <n v="420"/>
  </r>
  <r>
    <n v="72"/>
    <x v="71"/>
    <x v="4"/>
    <x v="0"/>
    <x v="5"/>
    <x v="4"/>
    <n v="190"/>
    <n v="570"/>
  </r>
  <r>
    <n v="73"/>
    <x v="72"/>
    <x v="5"/>
    <x v="0"/>
    <x v="0"/>
    <x v="5"/>
    <n v="210"/>
    <n v="420"/>
  </r>
  <r>
    <n v="74"/>
    <x v="73"/>
    <x v="0"/>
    <x v="0"/>
    <x v="5"/>
    <x v="4"/>
    <n v="190"/>
    <n v="570"/>
  </r>
  <r>
    <n v="75"/>
    <x v="74"/>
    <x v="1"/>
    <x v="1"/>
    <x v="0"/>
    <x v="5"/>
    <n v="210"/>
    <n v="420"/>
  </r>
  <r>
    <n v="76"/>
    <x v="75"/>
    <x v="2"/>
    <x v="0"/>
    <x v="5"/>
    <x v="4"/>
    <n v="190"/>
    <n v="570"/>
  </r>
  <r>
    <n v="77"/>
    <x v="76"/>
    <x v="3"/>
    <x v="1"/>
    <x v="0"/>
    <x v="5"/>
    <n v="210"/>
    <n v="420"/>
  </r>
  <r>
    <n v="78"/>
    <x v="77"/>
    <x v="4"/>
    <x v="0"/>
    <x v="2"/>
    <x v="2"/>
    <n v="1200"/>
    <n v="6000"/>
  </r>
  <r>
    <n v="79"/>
    <x v="78"/>
    <x v="5"/>
    <x v="0"/>
    <x v="3"/>
    <x v="3"/>
    <n v="1500"/>
    <n v="6000"/>
  </r>
  <r>
    <n v="80"/>
    <x v="79"/>
    <x v="5"/>
    <x v="0"/>
    <x v="4"/>
    <x v="4"/>
    <n v="300"/>
    <n v="900"/>
  </r>
  <r>
    <n v="81"/>
    <x v="80"/>
    <x v="0"/>
    <x v="0"/>
    <x v="5"/>
    <x v="5"/>
    <n v="190"/>
    <n v="380"/>
  </r>
  <r>
    <n v="82"/>
    <x v="81"/>
    <x v="0"/>
    <x v="1"/>
    <x v="0"/>
    <x v="0"/>
    <n v="210"/>
    <n v="1470"/>
  </r>
  <r>
    <n v="83"/>
    <x v="82"/>
    <x v="0"/>
    <x v="2"/>
    <x v="1"/>
    <x v="1"/>
    <n v="2100"/>
    <n v="12600"/>
  </r>
  <r>
    <n v="84"/>
    <x v="83"/>
    <x v="0"/>
    <x v="3"/>
    <x v="2"/>
    <x v="2"/>
    <n v="1200"/>
    <n v="6000"/>
  </r>
  <r>
    <n v="85"/>
    <x v="84"/>
    <x v="0"/>
    <x v="0"/>
    <x v="3"/>
    <x v="3"/>
    <n v="1500"/>
    <n v="6000"/>
  </r>
  <r>
    <n v="86"/>
    <x v="85"/>
    <x v="0"/>
    <x v="1"/>
    <x v="4"/>
    <x v="4"/>
    <n v="300"/>
    <n v="900"/>
  </r>
  <r>
    <n v="87"/>
    <x v="86"/>
    <x v="0"/>
    <x v="2"/>
    <x v="5"/>
    <x v="5"/>
    <n v="190"/>
    <n v="380"/>
  </r>
  <r>
    <n v="88"/>
    <x v="87"/>
    <x v="0"/>
    <x v="3"/>
    <x v="0"/>
    <x v="5"/>
    <n v="210"/>
    <n v="420"/>
  </r>
  <r>
    <n v="89"/>
    <x v="88"/>
    <x v="1"/>
    <x v="1"/>
    <x v="4"/>
    <x v="4"/>
    <n v="300"/>
    <n v="900"/>
  </r>
  <r>
    <n v="90"/>
    <x v="89"/>
    <x v="1"/>
    <x v="0"/>
    <x v="4"/>
    <x v="4"/>
    <n v="300"/>
    <n v="900"/>
  </r>
  <r>
    <n v="91"/>
    <x v="90"/>
    <x v="1"/>
    <x v="2"/>
    <x v="4"/>
    <x v="4"/>
    <n v="300"/>
    <n v="900"/>
  </r>
  <r>
    <n v="92"/>
    <x v="91"/>
    <x v="1"/>
    <x v="3"/>
    <x v="4"/>
    <x v="4"/>
    <n v="300"/>
    <n v="900"/>
  </r>
  <r>
    <n v="93"/>
    <x v="92"/>
    <x v="1"/>
    <x v="1"/>
    <x v="4"/>
    <x v="4"/>
    <n v="300"/>
    <n v="900"/>
  </r>
  <r>
    <n v="94"/>
    <x v="93"/>
    <x v="1"/>
    <x v="0"/>
    <x v="4"/>
    <x v="4"/>
    <n v="300"/>
    <n v="900"/>
  </r>
  <r>
    <n v="95"/>
    <x v="94"/>
    <x v="1"/>
    <x v="2"/>
    <x v="4"/>
    <x v="4"/>
    <n v="300"/>
    <n v="900"/>
  </r>
  <r>
    <n v="96"/>
    <x v="95"/>
    <x v="1"/>
    <x v="3"/>
    <x v="4"/>
    <x v="4"/>
    <n v="300"/>
    <n v="900"/>
  </r>
  <r>
    <n v="97"/>
    <x v="96"/>
    <x v="2"/>
    <x v="3"/>
    <x v="4"/>
    <x v="4"/>
    <n v="300"/>
    <n v="900"/>
  </r>
  <r>
    <n v="98"/>
    <x v="97"/>
    <x v="3"/>
    <x v="3"/>
    <x v="4"/>
    <x v="4"/>
    <n v="300"/>
    <n v="900"/>
  </r>
  <r>
    <n v="99"/>
    <x v="98"/>
    <x v="4"/>
    <x v="3"/>
    <x v="0"/>
    <x v="4"/>
    <n v="190"/>
    <n v="570"/>
  </r>
  <r>
    <n v="100"/>
    <x v="99"/>
    <x v="5"/>
    <x v="3"/>
    <x v="1"/>
    <x v="5"/>
    <n v="2100"/>
    <n v="4200"/>
  </r>
  <r>
    <n v="101"/>
    <x v="100"/>
    <x v="5"/>
    <x v="0"/>
    <x v="0"/>
    <x v="0"/>
    <n v="210"/>
    <n v="1470"/>
  </r>
  <r>
    <n v="102"/>
    <x v="101"/>
    <x v="5"/>
    <x v="1"/>
    <x v="1"/>
    <x v="1"/>
    <n v="2100"/>
    <n v="12600"/>
  </r>
  <r>
    <n v="103"/>
    <x v="102"/>
    <x v="5"/>
    <x v="2"/>
    <x v="2"/>
    <x v="2"/>
    <n v="1200"/>
    <n v="6000"/>
  </r>
  <r>
    <n v="104"/>
    <x v="103"/>
    <x v="5"/>
    <x v="3"/>
    <x v="1"/>
    <x v="1"/>
    <n v="2100"/>
    <n v="12600"/>
  </r>
  <r>
    <n v="105"/>
    <x v="104"/>
    <x v="5"/>
    <x v="0"/>
    <x v="2"/>
    <x v="2"/>
    <n v="1200"/>
    <n v="6000"/>
  </r>
  <r>
    <n v="106"/>
    <x v="105"/>
    <x v="5"/>
    <x v="1"/>
    <x v="5"/>
    <x v="5"/>
    <n v="190"/>
    <n v="380"/>
  </r>
  <r>
    <n v="107"/>
    <x v="106"/>
    <x v="5"/>
    <x v="2"/>
    <x v="1"/>
    <x v="1"/>
    <n v="2100"/>
    <n v="12600"/>
  </r>
  <r>
    <n v="108"/>
    <x v="107"/>
    <x v="5"/>
    <x v="3"/>
    <x v="2"/>
    <x v="2"/>
    <n v="1200"/>
    <n v="6000"/>
  </r>
  <r>
    <n v="109"/>
    <x v="108"/>
    <x v="0"/>
    <x v="0"/>
    <x v="1"/>
    <x v="1"/>
    <n v="2100"/>
    <n v="12600"/>
  </r>
  <r>
    <n v="110"/>
    <x v="109"/>
    <x v="1"/>
    <x v="1"/>
    <x v="2"/>
    <x v="2"/>
    <n v="1200"/>
    <n v="6000"/>
  </r>
  <r>
    <n v="111"/>
    <x v="110"/>
    <x v="2"/>
    <x v="0"/>
    <x v="1"/>
    <x v="1"/>
    <n v="2100"/>
    <n v="12600"/>
  </r>
  <r>
    <n v="112"/>
    <x v="111"/>
    <x v="3"/>
    <x v="1"/>
    <x v="2"/>
    <x v="2"/>
    <n v="1200"/>
    <n v="6000"/>
  </r>
  <r>
    <n v="113"/>
    <x v="112"/>
    <x v="4"/>
    <x v="0"/>
    <x v="0"/>
    <x v="5"/>
    <n v="210"/>
    <n v="420"/>
  </r>
  <r>
    <n v="114"/>
    <x v="113"/>
    <x v="5"/>
    <x v="0"/>
    <x v="1"/>
    <x v="0"/>
    <n v="2100"/>
    <n v="14700"/>
  </r>
  <r>
    <n v="115"/>
    <x v="114"/>
    <x v="0"/>
    <x v="0"/>
    <x v="2"/>
    <x v="1"/>
    <n v="1200"/>
    <n v="7200"/>
  </r>
  <r>
    <n v="116"/>
    <x v="115"/>
    <x v="1"/>
    <x v="1"/>
    <x v="3"/>
    <x v="2"/>
    <n v="1500"/>
    <n v="7500"/>
  </r>
  <r>
    <n v="117"/>
    <x v="116"/>
    <x v="2"/>
    <x v="1"/>
    <x v="4"/>
    <x v="3"/>
    <n v="300"/>
    <n v="1200"/>
  </r>
  <r>
    <n v="118"/>
    <x v="117"/>
    <x v="3"/>
    <x v="0"/>
    <x v="5"/>
    <x v="4"/>
    <n v="190"/>
    <n v="570"/>
  </r>
  <r>
    <n v="119"/>
    <x v="118"/>
    <x v="4"/>
    <x v="0"/>
    <x v="0"/>
    <x v="5"/>
    <n v="210"/>
    <n v="420"/>
  </r>
  <r>
    <n v="120"/>
    <x v="119"/>
    <x v="5"/>
    <x v="1"/>
    <x v="2"/>
    <x v="0"/>
    <n v="2100"/>
    <n v="14700"/>
  </r>
  <r>
    <n v="121"/>
    <x v="120"/>
    <x v="5"/>
    <x v="0"/>
    <x v="3"/>
    <x v="1"/>
    <n v="1200"/>
    <n v="7200"/>
  </r>
  <r>
    <n v="122"/>
    <x v="121"/>
    <x v="0"/>
    <x v="0"/>
    <x v="4"/>
    <x v="2"/>
    <n v="300"/>
    <n v="1500"/>
  </r>
  <r>
    <n v="123"/>
    <x v="122"/>
    <x v="1"/>
    <x v="0"/>
    <x v="5"/>
    <x v="3"/>
    <n v="200"/>
    <n v="800"/>
  </r>
  <r>
    <n v="124"/>
    <x v="123"/>
    <x v="2"/>
    <x v="0"/>
    <x v="0"/>
    <x v="4"/>
    <n v="190"/>
    <n v="570"/>
  </r>
  <r>
    <n v="125"/>
    <x v="124"/>
    <x v="3"/>
    <x v="0"/>
    <x v="1"/>
    <x v="5"/>
    <n v="2100"/>
    <n v="4200"/>
  </r>
  <r>
    <n v="126"/>
    <x v="125"/>
    <x v="4"/>
    <x v="0"/>
    <x v="0"/>
    <x v="0"/>
    <n v="210"/>
    <n v="1470"/>
  </r>
  <r>
    <n v="127"/>
    <x v="126"/>
    <x v="5"/>
    <x v="0"/>
    <x v="1"/>
    <x v="1"/>
    <n v="2100"/>
    <n v="12600"/>
  </r>
  <r>
    <n v="128"/>
    <x v="127"/>
    <x v="0"/>
    <x v="0"/>
    <x v="2"/>
    <x v="2"/>
    <n v="1200"/>
    <n v="6000"/>
  </r>
  <r>
    <n v="129"/>
    <x v="128"/>
    <x v="1"/>
    <x v="1"/>
    <x v="3"/>
    <x v="3"/>
    <n v="1500"/>
    <n v="6000"/>
  </r>
  <r>
    <n v="130"/>
    <x v="129"/>
    <x v="2"/>
    <x v="0"/>
    <x v="4"/>
    <x v="4"/>
    <n v="300"/>
    <n v="900"/>
  </r>
  <r>
    <n v="131"/>
    <x v="130"/>
    <x v="3"/>
    <x v="1"/>
    <x v="5"/>
    <x v="5"/>
    <n v="190"/>
    <n v="380"/>
  </r>
  <r>
    <n v="132"/>
    <x v="131"/>
    <x v="4"/>
    <x v="0"/>
    <x v="0"/>
    <x v="0"/>
    <n v="210"/>
    <n v="1470"/>
  </r>
  <r>
    <n v="133"/>
    <x v="132"/>
    <x v="5"/>
    <x v="0"/>
    <x v="1"/>
    <x v="1"/>
    <n v="2100"/>
    <n v="12600"/>
  </r>
  <r>
    <n v="134"/>
    <x v="133"/>
    <x v="5"/>
    <x v="0"/>
    <x v="2"/>
    <x v="2"/>
    <n v="1200"/>
    <n v="6000"/>
  </r>
  <r>
    <n v="135"/>
    <x v="134"/>
    <x v="0"/>
    <x v="0"/>
    <x v="3"/>
    <x v="3"/>
    <n v="1500"/>
    <n v="6000"/>
  </r>
  <r>
    <n v="136"/>
    <x v="135"/>
    <x v="0"/>
    <x v="1"/>
    <x v="4"/>
    <x v="4"/>
    <n v="300"/>
    <n v="900"/>
  </r>
  <r>
    <n v="137"/>
    <x v="136"/>
    <x v="0"/>
    <x v="2"/>
    <x v="5"/>
    <x v="5"/>
    <n v="190"/>
    <n v="380"/>
  </r>
  <r>
    <n v="138"/>
    <x v="137"/>
    <x v="0"/>
    <x v="3"/>
    <x v="0"/>
    <x v="5"/>
    <n v="210"/>
    <n v="420"/>
  </r>
  <r>
    <n v="139"/>
    <x v="138"/>
    <x v="0"/>
    <x v="0"/>
    <x v="1"/>
    <x v="0"/>
    <n v="2100"/>
    <n v="14700"/>
  </r>
  <r>
    <n v="140"/>
    <x v="139"/>
    <x v="0"/>
    <x v="1"/>
    <x v="2"/>
    <x v="1"/>
    <n v="1200"/>
    <n v="7200"/>
  </r>
  <r>
    <n v="141"/>
    <x v="140"/>
    <x v="0"/>
    <x v="2"/>
    <x v="3"/>
    <x v="2"/>
    <n v="1500"/>
    <n v="7500"/>
  </r>
  <r>
    <n v="142"/>
    <x v="141"/>
    <x v="0"/>
    <x v="3"/>
    <x v="4"/>
    <x v="3"/>
    <n v="300"/>
    <n v="1200"/>
  </r>
  <r>
    <n v="143"/>
    <x v="142"/>
    <x v="1"/>
    <x v="1"/>
    <x v="5"/>
    <x v="4"/>
    <n v="190"/>
    <n v="570"/>
  </r>
  <r>
    <n v="144"/>
    <x v="143"/>
    <x v="1"/>
    <x v="0"/>
    <x v="4"/>
    <x v="3"/>
    <n v="300"/>
    <n v="1200"/>
  </r>
  <r>
    <n v="145"/>
    <x v="144"/>
    <x v="1"/>
    <x v="2"/>
    <x v="4"/>
    <x v="3"/>
    <n v="300"/>
    <n v="1200"/>
  </r>
  <r>
    <n v="146"/>
    <x v="145"/>
    <x v="1"/>
    <x v="3"/>
    <x v="4"/>
    <x v="3"/>
    <n v="300"/>
    <n v="1200"/>
  </r>
  <r>
    <n v="147"/>
    <x v="146"/>
    <x v="1"/>
    <x v="1"/>
    <x v="4"/>
    <x v="3"/>
    <n v="300"/>
    <n v="1200"/>
  </r>
  <r>
    <n v="148"/>
    <x v="147"/>
    <x v="1"/>
    <x v="0"/>
    <x v="4"/>
    <x v="3"/>
    <n v="300"/>
    <n v="1200"/>
  </r>
  <r>
    <n v="149"/>
    <x v="148"/>
    <x v="1"/>
    <x v="2"/>
    <x v="4"/>
    <x v="3"/>
    <n v="300"/>
    <n v="1200"/>
  </r>
  <r>
    <n v="150"/>
    <x v="149"/>
    <x v="1"/>
    <x v="3"/>
    <x v="4"/>
    <x v="3"/>
    <n v="300"/>
    <n v="1200"/>
  </r>
  <r>
    <n v="151"/>
    <x v="150"/>
    <x v="2"/>
    <x v="3"/>
    <x v="4"/>
    <x v="3"/>
    <n v="300"/>
    <n v="1200"/>
  </r>
  <r>
    <n v="152"/>
    <x v="151"/>
    <x v="3"/>
    <x v="3"/>
    <x v="1"/>
    <x v="1"/>
    <n v="2100"/>
    <n v="12600"/>
  </r>
  <r>
    <n v="153"/>
    <x v="152"/>
    <x v="4"/>
    <x v="3"/>
    <x v="2"/>
    <x v="2"/>
    <n v="1200"/>
    <n v="6000"/>
  </r>
  <r>
    <n v="154"/>
    <x v="153"/>
    <x v="5"/>
    <x v="3"/>
    <x v="3"/>
    <x v="3"/>
    <n v="1500"/>
    <n v="6000"/>
  </r>
  <r>
    <n v="155"/>
    <x v="154"/>
    <x v="5"/>
    <x v="0"/>
    <x v="4"/>
    <x v="4"/>
    <n v="300"/>
    <n v="900"/>
  </r>
  <r>
    <n v="156"/>
    <x v="155"/>
    <x v="5"/>
    <x v="1"/>
    <x v="5"/>
    <x v="5"/>
    <n v="190"/>
    <n v="380"/>
  </r>
  <r>
    <n v="157"/>
    <x v="156"/>
    <x v="5"/>
    <x v="2"/>
    <x v="0"/>
    <x v="0"/>
    <n v="210"/>
    <n v="1470"/>
  </r>
  <r>
    <n v="158"/>
    <x v="157"/>
    <x v="5"/>
    <x v="3"/>
    <x v="1"/>
    <x v="1"/>
    <n v="2100"/>
    <n v="12600"/>
  </r>
  <r>
    <n v="159"/>
    <x v="158"/>
    <x v="5"/>
    <x v="0"/>
    <x v="2"/>
    <x v="2"/>
    <n v="1200"/>
    <n v="6000"/>
  </r>
  <r>
    <n v="160"/>
    <x v="159"/>
    <x v="5"/>
    <x v="1"/>
    <x v="3"/>
    <x v="3"/>
    <n v="1500"/>
    <n v="6000"/>
  </r>
  <r>
    <n v="161"/>
    <x v="160"/>
    <x v="5"/>
    <x v="2"/>
    <x v="4"/>
    <x v="4"/>
    <n v="300"/>
    <n v="900"/>
  </r>
  <r>
    <n v="162"/>
    <x v="161"/>
    <x v="5"/>
    <x v="3"/>
    <x v="5"/>
    <x v="5"/>
    <n v="190"/>
    <n v="380"/>
  </r>
  <r>
    <n v="163"/>
    <x v="162"/>
    <x v="0"/>
    <x v="0"/>
    <x v="0"/>
    <x v="5"/>
    <n v="210"/>
    <n v="420"/>
  </r>
  <r>
    <n v="164"/>
    <x v="163"/>
    <x v="1"/>
    <x v="1"/>
    <x v="1"/>
    <x v="0"/>
    <n v="2100"/>
    <n v="14700"/>
  </r>
  <r>
    <n v="165"/>
    <x v="164"/>
    <x v="2"/>
    <x v="0"/>
    <x v="2"/>
    <x v="1"/>
    <n v="1200"/>
    <n v="7200"/>
  </r>
  <r>
    <n v="166"/>
    <x v="165"/>
    <x v="3"/>
    <x v="1"/>
    <x v="3"/>
    <x v="2"/>
    <n v="1500"/>
    <n v="7500"/>
  </r>
  <r>
    <n v="167"/>
    <x v="166"/>
    <x v="4"/>
    <x v="0"/>
    <x v="4"/>
    <x v="3"/>
    <n v="300"/>
    <n v="1200"/>
  </r>
  <r>
    <n v="168"/>
    <x v="167"/>
    <x v="5"/>
    <x v="0"/>
    <x v="5"/>
    <x v="4"/>
    <n v="190"/>
    <n v="570"/>
  </r>
  <r>
    <n v="169"/>
    <x v="168"/>
    <x v="0"/>
    <x v="0"/>
    <x v="0"/>
    <x v="5"/>
    <n v="210"/>
    <n v="420"/>
  </r>
  <r>
    <n v="170"/>
    <x v="169"/>
    <x v="1"/>
    <x v="1"/>
    <x v="2"/>
    <x v="0"/>
    <n v="2100"/>
    <n v="14700"/>
  </r>
  <r>
    <n v="171"/>
    <x v="170"/>
    <x v="2"/>
    <x v="1"/>
    <x v="3"/>
    <x v="1"/>
    <n v="1200"/>
    <n v="7200"/>
  </r>
  <r>
    <n v="172"/>
    <x v="171"/>
    <x v="3"/>
    <x v="0"/>
    <x v="4"/>
    <x v="2"/>
    <n v="300"/>
    <n v="1500"/>
  </r>
  <r>
    <n v="173"/>
    <x v="172"/>
    <x v="4"/>
    <x v="0"/>
    <x v="5"/>
    <x v="3"/>
    <n v="200"/>
    <n v="800"/>
  </r>
  <r>
    <n v="174"/>
    <x v="173"/>
    <x v="5"/>
    <x v="1"/>
    <x v="0"/>
    <x v="4"/>
    <n v="190"/>
    <n v="570"/>
  </r>
  <r>
    <n v="175"/>
    <x v="174"/>
    <x v="5"/>
    <x v="0"/>
    <x v="1"/>
    <x v="5"/>
    <n v="2100"/>
    <n v="4200"/>
  </r>
  <r>
    <n v="176"/>
    <x v="175"/>
    <x v="0"/>
    <x v="0"/>
    <x v="0"/>
    <x v="0"/>
    <n v="210"/>
    <n v="1470"/>
  </r>
  <r>
    <n v="177"/>
    <x v="176"/>
    <x v="1"/>
    <x v="0"/>
    <x v="0"/>
    <x v="4"/>
    <n v="190"/>
    <n v="570"/>
  </r>
  <r>
    <n v="178"/>
    <x v="177"/>
    <x v="2"/>
    <x v="0"/>
    <x v="0"/>
    <x v="4"/>
    <n v="190"/>
    <n v="570"/>
  </r>
  <r>
    <n v="179"/>
    <x v="178"/>
    <x v="3"/>
    <x v="0"/>
    <x v="0"/>
    <x v="4"/>
    <n v="190"/>
    <n v="570"/>
  </r>
  <r>
    <n v="180"/>
    <x v="179"/>
    <x v="4"/>
    <x v="0"/>
    <x v="0"/>
    <x v="4"/>
    <n v="190"/>
    <n v="570"/>
  </r>
  <r>
    <n v="181"/>
    <x v="180"/>
    <x v="5"/>
    <x v="0"/>
    <x v="0"/>
    <x v="4"/>
    <n v="190"/>
    <n v="570"/>
  </r>
  <r>
    <n v="182"/>
    <x v="181"/>
    <x v="0"/>
    <x v="0"/>
    <x v="0"/>
    <x v="4"/>
    <n v="190"/>
    <n v="570"/>
  </r>
  <r>
    <n v="183"/>
    <x v="182"/>
    <x v="1"/>
    <x v="1"/>
    <x v="0"/>
    <x v="4"/>
    <n v="190"/>
    <n v="570"/>
  </r>
  <r>
    <n v="184"/>
    <x v="183"/>
    <x v="2"/>
    <x v="0"/>
    <x v="2"/>
    <x v="2"/>
    <n v="1200"/>
    <n v="6000"/>
  </r>
  <r>
    <n v="185"/>
    <x v="184"/>
    <x v="3"/>
    <x v="1"/>
    <x v="3"/>
    <x v="3"/>
    <n v="1500"/>
    <n v="6000"/>
  </r>
  <r>
    <n v="186"/>
    <x v="185"/>
    <x v="4"/>
    <x v="0"/>
    <x v="4"/>
    <x v="4"/>
    <n v="300"/>
    <n v="900"/>
  </r>
  <r>
    <n v="187"/>
    <x v="186"/>
    <x v="5"/>
    <x v="0"/>
    <x v="5"/>
    <x v="5"/>
    <n v="190"/>
    <n v="380"/>
  </r>
  <r>
    <n v="188"/>
    <x v="187"/>
    <x v="5"/>
    <x v="0"/>
    <x v="0"/>
    <x v="5"/>
    <n v="210"/>
    <n v="420"/>
  </r>
  <r>
    <n v="189"/>
    <x v="188"/>
    <x v="0"/>
    <x v="0"/>
    <x v="1"/>
    <x v="0"/>
    <n v="2100"/>
    <n v="14700"/>
  </r>
  <r>
    <n v="190"/>
    <x v="189"/>
    <x v="0"/>
    <x v="1"/>
    <x v="2"/>
    <x v="1"/>
    <n v="1200"/>
    <n v="7200"/>
  </r>
  <r>
    <n v="191"/>
    <x v="190"/>
    <x v="0"/>
    <x v="2"/>
    <x v="3"/>
    <x v="2"/>
    <n v="1500"/>
    <n v="7500"/>
  </r>
  <r>
    <n v="192"/>
    <x v="191"/>
    <x v="0"/>
    <x v="3"/>
    <x v="4"/>
    <x v="3"/>
    <n v="300"/>
    <n v="1200"/>
  </r>
  <r>
    <n v="193"/>
    <x v="192"/>
    <x v="0"/>
    <x v="0"/>
    <x v="5"/>
    <x v="4"/>
    <n v="190"/>
    <n v="570"/>
  </r>
  <r>
    <n v="194"/>
    <x v="193"/>
    <x v="0"/>
    <x v="1"/>
    <x v="0"/>
    <x v="5"/>
    <n v="210"/>
    <n v="420"/>
  </r>
  <r>
    <n v="195"/>
    <x v="194"/>
    <x v="0"/>
    <x v="2"/>
    <x v="2"/>
    <x v="0"/>
    <n v="2100"/>
    <n v="14700"/>
  </r>
  <r>
    <n v="196"/>
    <x v="195"/>
    <x v="0"/>
    <x v="3"/>
    <x v="3"/>
    <x v="1"/>
    <n v="1200"/>
    <n v="7200"/>
  </r>
  <r>
    <n v="197"/>
    <x v="196"/>
    <x v="1"/>
    <x v="1"/>
    <x v="4"/>
    <x v="2"/>
    <n v="300"/>
    <n v="1500"/>
  </r>
  <r>
    <n v="198"/>
    <x v="197"/>
    <x v="1"/>
    <x v="0"/>
    <x v="5"/>
    <x v="3"/>
    <n v="200"/>
    <n v="800"/>
  </r>
  <r>
    <n v="199"/>
    <x v="198"/>
    <x v="1"/>
    <x v="2"/>
    <x v="0"/>
    <x v="4"/>
    <n v="190"/>
    <n v="570"/>
  </r>
  <r>
    <n v="200"/>
    <x v="199"/>
    <x v="1"/>
    <x v="3"/>
    <x v="1"/>
    <x v="5"/>
    <n v="2100"/>
    <n v="4200"/>
  </r>
  <r>
    <n v="201"/>
    <x v="200"/>
    <x v="1"/>
    <x v="1"/>
    <x v="0"/>
    <x v="0"/>
    <n v="210"/>
    <n v="1470"/>
  </r>
  <r>
    <n v="202"/>
    <x v="201"/>
    <x v="1"/>
    <x v="0"/>
    <x v="1"/>
    <x v="1"/>
    <n v="2100"/>
    <n v="12600"/>
  </r>
  <r>
    <n v="203"/>
    <x v="202"/>
    <x v="1"/>
    <x v="2"/>
    <x v="2"/>
    <x v="2"/>
    <n v="1200"/>
    <n v="6000"/>
  </r>
  <r>
    <n v="204"/>
    <x v="203"/>
    <x v="1"/>
    <x v="3"/>
    <x v="3"/>
    <x v="3"/>
    <n v="1500"/>
    <n v="6000"/>
  </r>
  <r>
    <n v="205"/>
    <x v="204"/>
    <x v="2"/>
    <x v="3"/>
    <x v="4"/>
    <x v="4"/>
    <n v="300"/>
    <n v="900"/>
  </r>
  <r>
    <n v="206"/>
    <x v="205"/>
    <x v="3"/>
    <x v="3"/>
    <x v="5"/>
    <x v="5"/>
    <n v="190"/>
    <n v="380"/>
  </r>
  <r>
    <n v="207"/>
    <x v="206"/>
    <x v="4"/>
    <x v="3"/>
    <x v="0"/>
    <x v="0"/>
    <n v="210"/>
    <n v="1470"/>
  </r>
  <r>
    <n v="208"/>
    <x v="207"/>
    <x v="5"/>
    <x v="3"/>
    <x v="1"/>
    <x v="1"/>
    <n v="2100"/>
    <n v="12600"/>
  </r>
  <r>
    <n v="209"/>
    <x v="208"/>
    <x v="5"/>
    <x v="0"/>
    <x v="2"/>
    <x v="2"/>
    <n v="1200"/>
    <n v="6000"/>
  </r>
  <r>
    <n v="210"/>
    <x v="209"/>
    <x v="5"/>
    <x v="1"/>
    <x v="3"/>
    <x v="3"/>
    <n v="1500"/>
    <n v="6000"/>
  </r>
  <r>
    <n v="211"/>
    <x v="210"/>
    <x v="5"/>
    <x v="2"/>
    <x v="4"/>
    <x v="4"/>
    <n v="300"/>
    <n v="900"/>
  </r>
  <r>
    <n v="212"/>
    <x v="211"/>
    <x v="5"/>
    <x v="3"/>
    <x v="5"/>
    <x v="5"/>
    <n v="190"/>
    <n v="380"/>
  </r>
  <r>
    <n v="213"/>
    <x v="212"/>
    <x v="5"/>
    <x v="0"/>
    <x v="0"/>
    <x v="5"/>
    <n v="210"/>
    <n v="420"/>
  </r>
  <r>
    <n v="214"/>
    <x v="213"/>
    <x v="5"/>
    <x v="1"/>
    <x v="1"/>
    <x v="0"/>
    <n v="2100"/>
    <n v="14700"/>
  </r>
  <r>
    <n v="215"/>
    <x v="214"/>
    <x v="5"/>
    <x v="2"/>
    <x v="2"/>
    <x v="1"/>
    <n v="1200"/>
    <n v="7200"/>
  </r>
  <r>
    <n v="216"/>
    <x v="215"/>
    <x v="5"/>
    <x v="3"/>
    <x v="3"/>
    <x v="2"/>
    <n v="1500"/>
    <n v="7500"/>
  </r>
  <r>
    <n v="217"/>
    <x v="216"/>
    <x v="0"/>
    <x v="0"/>
    <x v="4"/>
    <x v="3"/>
    <n v="300"/>
    <n v="1200"/>
  </r>
  <r>
    <n v="218"/>
    <x v="217"/>
    <x v="1"/>
    <x v="1"/>
    <x v="5"/>
    <x v="4"/>
    <n v="190"/>
    <n v="570"/>
  </r>
  <r>
    <n v="219"/>
    <x v="218"/>
    <x v="2"/>
    <x v="0"/>
    <x v="0"/>
    <x v="5"/>
    <n v="210"/>
    <n v="420"/>
  </r>
  <r>
    <n v="220"/>
    <x v="219"/>
    <x v="3"/>
    <x v="1"/>
    <x v="2"/>
    <x v="0"/>
    <n v="2100"/>
    <n v="14700"/>
  </r>
  <r>
    <n v="221"/>
    <x v="220"/>
    <x v="4"/>
    <x v="0"/>
    <x v="3"/>
    <x v="1"/>
    <n v="1200"/>
    <n v="7200"/>
  </r>
  <r>
    <n v="222"/>
    <x v="221"/>
    <x v="5"/>
    <x v="0"/>
    <x v="4"/>
    <x v="2"/>
    <n v="300"/>
    <n v="1500"/>
  </r>
  <r>
    <n v="223"/>
    <x v="222"/>
    <x v="0"/>
    <x v="0"/>
    <x v="5"/>
    <x v="3"/>
    <n v="200"/>
    <n v="800"/>
  </r>
  <r>
    <n v="224"/>
    <x v="223"/>
    <x v="1"/>
    <x v="1"/>
    <x v="0"/>
    <x v="4"/>
    <n v="190"/>
    <n v="570"/>
  </r>
  <r>
    <n v="225"/>
    <x v="224"/>
    <x v="2"/>
    <x v="1"/>
    <x v="1"/>
    <x v="5"/>
    <n v="2100"/>
    <n v="4200"/>
  </r>
  <r>
    <n v="226"/>
    <x v="225"/>
    <x v="3"/>
    <x v="0"/>
    <x v="0"/>
    <x v="0"/>
    <n v="210"/>
    <n v="1470"/>
  </r>
  <r>
    <n v="227"/>
    <x v="226"/>
    <x v="4"/>
    <x v="0"/>
    <x v="1"/>
    <x v="1"/>
    <n v="2100"/>
    <n v="12600"/>
  </r>
  <r>
    <n v="228"/>
    <x v="227"/>
    <x v="5"/>
    <x v="1"/>
    <x v="2"/>
    <x v="2"/>
    <n v="1200"/>
    <n v="6000"/>
  </r>
  <r>
    <n v="229"/>
    <x v="228"/>
    <x v="5"/>
    <x v="0"/>
    <x v="3"/>
    <x v="3"/>
    <n v="1500"/>
    <n v="6000"/>
  </r>
  <r>
    <n v="230"/>
    <x v="229"/>
    <x v="0"/>
    <x v="0"/>
    <x v="4"/>
    <x v="4"/>
    <n v="300"/>
    <n v="900"/>
  </r>
  <r>
    <n v="231"/>
    <x v="230"/>
    <x v="1"/>
    <x v="0"/>
    <x v="5"/>
    <x v="5"/>
    <n v="190"/>
    <n v="380"/>
  </r>
  <r>
    <n v="232"/>
    <x v="231"/>
    <x v="2"/>
    <x v="0"/>
    <x v="0"/>
    <x v="0"/>
    <n v="210"/>
    <n v="1470"/>
  </r>
  <r>
    <n v="233"/>
    <x v="232"/>
    <x v="3"/>
    <x v="0"/>
    <x v="1"/>
    <x v="1"/>
    <n v="2100"/>
    <n v="12600"/>
  </r>
  <r>
    <n v="234"/>
    <x v="233"/>
    <x v="4"/>
    <x v="0"/>
    <x v="1"/>
    <x v="0"/>
    <n v="2100"/>
    <n v="14700"/>
  </r>
  <r>
    <n v="235"/>
    <x v="234"/>
    <x v="5"/>
    <x v="0"/>
    <x v="3"/>
    <x v="3"/>
    <n v="1500"/>
    <n v="6000"/>
  </r>
  <r>
    <n v="236"/>
    <x v="235"/>
    <x v="0"/>
    <x v="0"/>
    <x v="4"/>
    <x v="4"/>
    <n v="300"/>
    <n v="900"/>
  </r>
  <r>
    <n v="237"/>
    <x v="236"/>
    <x v="1"/>
    <x v="1"/>
    <x v="5"/>
    <x v="5"/>
    <n v="190"/>
    <n v="380"/>
  </r>
  <r>
    <n v="238"/>
    <x v="237"/>
    <x v="2"/>
    <x v="0"/>
    <x v="0"/>
    <x v="5"/>
    <n v="210"/>
    <n v="420"/>
  </r>
  <r>
    <n v="239"/>
    <x v="238"/>
    <x v="3"/>
    <x v="1"/>
    <x v="1"/>
    <x v="0"/>
    <n v="2100"/>
    <n v="14700"/>
  </r>
  <r>
    <n v="240"/>
    <x v="239"/>
    <x v="4"/>
    <x v="0"/>
    <x v="2"/>
    <x v="1"/>
    <n v="1200"/>
    <n v="7200"/>
  </r>
  <r>
    <n v="241"/>
    <x v="240"/>
    <x v="5"/>
    <x v="0"/>
    <x v="3"/>
    <x v="2"/>
    <n v="1500"/>
    <n v="7500"/>
  </r>
  <r>
    <n v="242"/>
    <x v="241"/>
    <x v="5"/>
    <x v="0"/>
    <x v="4"/>
    <x v="3"/>
    <n v="300"/>
    <n v="1200"/>
  </r>
  <r>
    <n v="243"/>
    <x v="242"/>
    <x v="0"/>
    <x v="0"/>
    <x v="4"/>
    <x v="4"/>
    <n v="300"/>
    <n v="900"/>
  </r>
  <r>
    <n v="244"/>
    <x v="243"/>
    <x v="0"/>
    <x v="1"/>
    <x v="5"/>
    <x v="5"/>
    <n v="190"/>
    <n v="380"/>
  </r>
  <r>
    <n v="245"/>
    <x v="244"/>
    <x v="0"/>
    <x v="2"/>
    <x v="0"/>
    <x v="5"/>
    <n v="210"/>
    <n v="420"/>
  </r>
  <r>
    <n v="246"/>
    <x v="245"/>
    <x v="0"/>
    <x v="3"/>
    <x v="1"/>
    <x v="0"/>
    <n v="2100"/>
    <n v="14700"/>
  </r>
  <r>
    <n v="247"/>
    <x v="246"/>
    <x v="0"/>
    <x v="0"/>
    <x v="2"/>
    <x v="1"/>
    <n v="1200"/>
    <n v="7200"/>
  </r>
  <r>
    <n v="248"/>
    <x v="247"/>
    <x v="0"/>
    <x v="1"/>
    <x v="3"/>
    <x v="2"/>
    <n v="1500"/>
    <n v="7500"/>
  </r>
  <r>
    <n v="249"/>
    <x v="248"/>
    <x v="0"/>
    <x v="2"/>
    <x v="4"/>
    <x v="3"/>
    <n v="300"/>
    <n v="1200"/>
  </r>
  <r>
    <n v="250"/>
    <x v="249"/>
    <x v="0"/>
    <x v="3"/>
    <x v="4"/>
    <x v="4"/>
    <n v="300"/>
    <n v="900"/>
  </r>
  <r>
    <n v="251"/>
    <x v="250"/>
    <x v="1"/>
    <x v="1"/>
    <x v="5"/>
    <x v="5"/>
    <n v="190"/>
    <n v="380"/>
  </r>
  <r>
    <n v="252"/>
    <x v="251"/>
    <x v="1"/>
    <x v="0"/>
    <x v="0"/>
    <x v="5"/>
    <n v="210"/>
    <n v="420"/>
  </r>
  <r>
    <n v="253"/>
    <x v="252"/>
    <x v="1"/>
    <x v="2"/>
    <x v="1"/>
    <x v="0"/>
    <n v="2100"/>
    <n v="14700"/>
  </r>
  <r>
    <n v="254"/>
    <x v="253"/>
    <x v="1"/>
    <x v="3"/>
    <x v="2"/>
    <x v="1"/>
    <n v="1200"/>
    <n v="7200"/>
  </r>
  <r>
    <n v="255"/>
    <x v="254"/>
    <x v="1"/>
    <x v="1"/>
    <x v="3"/>
    <x v="2"/>
    <n v="1500"/>
    <n v="7500"/>
  </r>
  <r>
    <n v="256"/>
    <x v="255"/>
    <x v="1"/>
    <x v="0"/>
    <x v="4"/>
    <x v="3"/>
    <n v="300"/>
    <n v="1200"/>
  </r>
  <r>
    <n v="257"/>
    <x v="256"/>
    <x v="1"/>
    <x v="2"/>
    <x v="0"/>
    <x v="0"/>
    <n v="210"/>
    <n v="1470"/>
  </r>
  <r>
    <n v="258"/>
    <x v="257"/>
    <x v="1"/>
    <x v="3"/>
    <x v="1"/>
    <x v="1"/>
    <n v="2100"/>
    <n v="12600"/>
  </r>
  <r>
    <n v="259"/>
    <x v="258"/>
    <x v="2"/>
    <x v="3"/>
    <x v="2"/>
    <x v="2"/>
    <n v="1200"/>
    <n v="6000"/>
  </r>
  <r>
    <n v="260"/>
    <x v="259"/>
    <x v="3"/>
    <x v="3"/>
    <x v="3"/>
    <x v="3"/>
    <n v="1500"/>
    <n v="6000"/>
  </r>
  <r>
    <n v="261"/>
    <x v="260"/>
    <x v="4"/>
    <x v="3"/>
    <x v="4"/>
    <x v="4"/>
    <n v="300"/>
    <n v="900"/>
  </r>
  <r>
    <n v="262"/>
    <x v="261"/>
    <x v="5"/>
    <x v="3"/>
    <x v="5"/>
    <x v="5"/>
    <n v="190"/>
    <n v="380"/>
  </r>
  <r>
    <n v="263"/>
    <x v="262"/>
    <x v="5"/>
    <x v="0"/>
    <x v="0"/>
    <x v="5"/>
    <n v="210"/>
    <n v="420"/>
  </r>
  <r>
    <n v="264"/>
    <x v="263"/>
    <x v="5"/>
    <x v="1"/>
    <x v="1"/>
    <x v="0"/>
    <n v="2100"/>
    <n v="14700"/>
  </r>
  <r>
    <n v="265"/>
    <x v="264"/>
    <x v="5"/>
    <x v="2"/>
    <x v="2"/>
    <x v="1"/>
    <n v="1200"/>
    <n v="7200"/>
  </r>
  <r>
    <n v="266"/>
    <x v="265"/>
    <x v="5"/>
    <x v="3"/>
    <x v="3"/>
    <x v="2"/>
    <n v="1500"/>
    <n v="7500"/>
  </r>
  <r>
    <n v="267"/>
    <x v="266"/>
    <x v="5"/>
    <x v="0"/>
    <x v="1"/>
    <x v="0"/>
    <n v="2100"/>
    <n v="14700"/>
  </r>
  <r>
    <n v="268"/>
    <x v="267"/>
    <x v="5"/>
    <x v="1"/>
    <x v="1"/>
    <x v="0"/>
    <n v="2100"/>
    <n v="14700"/>
  </r>
  <r>
    <n v="269"/>
    <x v="268"/>
    <x v="5"/>
    <x v="2"/>
    <x v="1"/>
    <x v="0"/>
    <n v="2100"/>
    <n v="14700"/>
  </r>
  <r>
    <n v="270"/>
    <x v="269"/>
    <x v="5"/>
    <x v="3"/>
    <x v="1"/>
    <x v="0"/>
    <n v="2100"/>
    <n v="14700"/>
  </r>
  <r>
    <n v="271"/>
    <x v="270"/>
    <x v="0"/>
    <x v="0"/>
    <x v="1"/>
    <x v="0"/>
    <n v="2100"/>
    <n v="14700"/>
  </r>
  <r>
    <n v="272"/>
    <x v="271"/>
    <x v="1"/>
    <x v="1"/>
    <x v="1"/>
    <x v="0"/>
    <n v="2100"/>
    <n v="14700"/>
  </r>
  <r>
    <n v="273"/>
    <x v="272"/>
    <x v="2"/>
    <x v="0"/>
    <x v="1"/>
    <x v="0"/>
    <n v="2100"/>
    <n v="14700"/>
  </r>
  <r>
    <n v="274"/>
    <x v="273"/>
    <x v="3"/>
    <x v="1"/>
    <x v="1"/>
    <x v="0"/>
    <n v="2100"/>
    <n v="14700"/>
  </r>
  <r>
    <n v="275"/>
    <x v="274"/>
    <x v="4"/>
    <x v="0"/>
    <x v="1"/>
    <x v="0"/>
    <n v="2100"/>
    <n v="14700"/>
  </r>
  <r>
    <n v="276"/>
    <x v="275"/>
    <x v="5"/>
    <x v="0"/>
    <x v="1"/>
    <x v="0"/>
    <n v="2100"/>
    <n v="14700"/>
  </r>
  <r>
    <n v="277"/>
    <x v="276"/>
    <x v="0"/>
    <x v="0"/>
    <x v="1"/>
    <x v="0"/>
    <n v="2100"/>
    <n v="14700"/>
  </r>
  <r>
    <n v="278"/>
    <x v="277"/>
    <x v="1"/>
    <x v="1"/>
    <x v="2"/>
    <x v="2"/>
    <n v="1200"/>
    <n v="6000"/>
  </r>
  <r>
    <n v="279"/>
    <x v="278"/>
    <x v="2"/>
    <x v="1"/>
    <x v="3"/>
    <x v="3"/>
    <n v="1500"/>
    <n v="6000"/>
  </r>
  <r>
    <n v="280"/>
    <x v="279"/>
    <x v="3"/>
    <x v="0"/>
    <x v="4"/>
    <x v="4"/>
    <n v="300"/>
    <n v="900"/>
  </r>
  <r>
    <n v="281"/>
    <x v="280"/>
    <x v="4"/>
    <x v="0"/>
    <x v="5"/>
    <x v="5"/>
    <n v="190"/>
    <n v="380"/>
  </r>
  <r>
    <n v="282"/>
    <x v="281"/>
    <x v="5"/>
    <x v="1"/>
    <x v="0"/>
    <x v="0"/>
    <n v="210"/>
    <n v="1470"/>
  </r>
  <r>
    <n v="283"/>
    <x v="282"/>
    <x v="5"/>
    <x v="0"/>
    <x v="1"/>
    <x v="1"/>
    <n v="2100"/>
    <n v="12600"/>
  </r>
  <r>
    <n v="284"/>
    <x v="283"/>
    <x v="0"/>
    <x v="0"/>
    <x v="2"/>
    <x v="2"/>
    <n v="1200"/>
    <n v="6000"/>
  </r>
  <r>
    <n v="285"/>
    <x v="284"/>
    <x v="1"/>
    <x v="0"/>
    <x v="3"/>
    <x v="3"/>
    <n v="1500"/>
    <n v="6000"/>
  </r>
  <r>
    <n v="286"/>
    <x v="285"/>
    <x v="2"/>
    <x v="0"/>
    <x v="4"/>
    <x v="4"/>
    <n v="300"/>
    <n v="900"/>
  </r>
  <r>
    <n v="287"/>
    <x v="286"/>
    <x v="3"/>
    <x v="0"/>
    <x v="5"/>
    <x v="5"/>
    <n v="190"/>
    <n v="380"/>
  </r>
  <r>
    <n v="288"/>
    <x v="287"/>
    <x v="4"/>
    <x v="0"/>
    <x v="0"/>
    <x v="5"/>
    <n v="210"/>
    <n v="420"/>
  </r>
  <r>
    <n v="289"/>
    <x v="288"/>
    <x v="5"/>
    <x v="0"/>
    <x v="1"/>
    <x v="0"/>
    <n v="2100"/>
    <n v="14700"/>
  </r>
  <r>
    <n v="290"/>
    <x v="289"/>
    <x v="0"/>
    <x v="0"/>
    <x v="2"/>
    <x v="1"/>
    <n v="1200"/>
    <n v="7200"/>
  </r>
  <r>
    <n v="291"/>
    <x v="290"/>
    <x v="1"/>
    <x v="1"/>
    <x v="3"/>
    <x v="2"/>
    <n v="1500"/>
    <n v="7500"/>
  </r>
  <r>
    <n v="292"/>
    <x v="291"/>
    <x v="2"/>
    <x v="0"/>
    <x v="4"/>
    <x v="3"/>
    <n v="300"/>
    <n v="1200"/>
  </r>
  <r>
    <n v="293"/>
    <x v="292"/>
    <x v="3"/>
    <x v="1"/>
    <x v="3"/>
    <x v="2"/>
    <n v="1500"/>
    <n v="7500"/>
  </r>
  <r>
    <n v="294"/>
    <x v="293"/>
    <x v="4"/>
    <x v="0"/>
    <x v="4"/>
    <x v="3"/>
    <n v="300"/>
    <n v="1200"/>
  </r>
  <r>
    <n v="295"/>
    <x v="294"/>
    <x v="5"/>
    <x v="0"/>
    <x v="3"/>
    <x v="2"/>
    <n v="1500"/>
    <n v="7500"/>
  </r>
  <r>
    <n v="296"/>
    <x v="295"/>
    <x v="5"/>
    <x v="0"/>
    <x v="4"/>
    <x v="3"/>
    <n v="300"/>
    <n v="1200"/>
  </r>
  <r>
    <n v="297"/>
    <x v="296"/>
    <x v="0"/>
    <x v="0"/>
    <x v="3"/>
    <x v="2"/>
    <n v="1500"/>
    <n v="7500"/>
  </r>
  <r>
    <n v="298"/>
    <x v="297"/>
    <x v="0"/>
    <x v="1"/>
    <x v="4"/>
    <x v="3"/>
    <n v="300"/>
    <n v="1200"/>
  </r>
  <r>
    <n v="299"/>
    <x v="298"/>
    <x v="0"/>
    <x v="2"/>
    <x v="3"/>
    <x v="2"/>
    <n v="1500"/>
    <n v="7500"/>
  </r>
  <r>
    <n v="300"/>
    <x v="299"/>
    <x v="0"/>
    <x v="3"/>
    <x v="4"/>
    <x v="3"/>
    <n v="300"/>
    <n v="1200"/>
  </r>
  <r>
    <n v="301"/>
    <x v="300"/>
    <x v="0"/>
    <x v="0"/>
    <x v="3"/>
    <x v="2"/>
    <n v="1500"/>
    <n v="7500"/>
  </r>
  <r>
    <n v="302"/>
    <x v="301"/>
    <x v="0"/>
    <x v="1"/>
    <x v="1"/>
    <x v="1"/>
    <n v="2100"/>
    <n v="12600"/>
  </r>
  <r>
    <n v="303"/>
    <x v="302"/>
    <x v="0"/>
    <x v="2"/>
    <x v="2"/>
    <x v="2"/>
    <n v="1200"/>
    <n v="6000"/>
  </r>
  <r>
    <n v="304"/>
    <x v="303"/>
    <x v="0"/>
    <x v="3"/>
    <x v="3"/>
    <x v="3"/>
    <n v="1500"/>
    <n v="6000"/>
  </r>
  <r>
    <n v="305"/>
    <x v="304"/>
    <x v="1"/>
    <x v="1"/>
    <x v="4"/>
    <x v="4"/>
    <n v="300"/>
    <n v="900"/>
  </r>
  <r>
    <n v="306"/>
    <x v="305"/>
    <x v="1"/>
    <x v="0"/>
    <x v="5"/>
    <x v="5"/>
    <n v="190"/>
    <n v="380"/>
  </r>
  <r>
    <n v="307"/>
    <x v="306"/>
    <x v="1"/>
    <x v="2"/>
    <x v="5"/>
    <x v="5"/>
    <n v="190"/>
    <n v="380"/>
  </r>
  <r>
    <n v="308"/>
    <x v="307"/>
    <x v="1"/>
    <x v="3"/>
    <x v="5"/>
    <x v="5"/>
    <n v="190"/>
    <n v="380"/>
  </r>
  <r>
    <n v="309"/>
    <x v="308"/>
    <x v="1"/>
    <x v="1"/>
    <x v="5"/>
    <x v="5"/>
    <n v="190"/>
    <n v="380"/>
  </r>
  <r>
    <n v="310"/>
    <x v="309"/>
    <x v="1"/>
    <x v="0"/>
    <x v="5"/>
    <x v="5"/>
    <n v="190"/>
    <n v="380"/>
  </r>
  <r>
    <n v="311"/>
    <x v="310"/>
    <x v="1"/>
    <x v="2"/>
    <x v="5"/>
    <x v="5"/>
    <n v="190"/>
    <n v="380"/>
  </r>
  <r>
    <n v="312"/>
    <x v="311"/>
    <x v="1"/>
    <x v="3"/>
    <x v="5"/>
    <x v="5"/>
    <n v="190"/>
    <n v="380"/>
  </r>
  <r>
    <n v="313"/>
    <x v="312"/>
    <x v="2"/>
    <x v="3"/>
    <x v="5"/>
    <x v="5"/>
    <n v="190"/>
    <n v="380"/>
  </r>
  <r>
    <n v="314"/>
    <x v="313"/>
    <x v="3"/>
    <x v="3"/>
    <x v="5"/>
    <x v="5"/>
    <n v="190"/>
    <n v="380"/>
  </r>
  <r>
    <n v="315"/>
    <x v="314"/>
    <x v="4"/>
    <x v="3"/>
    <x v="5"/>
    <x v="5"/>
    <n v="190"/>
    <n v="380"/>
  </r>
  <r>
    <n v="316"/>
    <x v="315"/>
    <x v="5"/>
    <x v="3"/>
    <x v="5"/>
    <x v="5"/>
    <n v="190"/>
    <n v="380"/>
  </r>
  <r>
    <n v="317"/>
    <x v="316"/>
    <x v="5"/>
    <x v="0"/>
    <x v="5"/>
    <x v="5"/>
    <n v="190"/>
    <n v="380"/>
  </r>
  <r>
    <n v="318"/>
    <x v="317"/>
    <x v="5"/>
    <x v="1"/>
    <x v="5"/>
    <x v="4"/>
    <n v="190"/>
    <n v="570"/>
  </r>
  <r>
    <n v="319"/>
    <x v="318"/>
    <x v="5"/>
    <x v="2"/>
    <x v="0"/>
    <x v="5"/>
    <n v="210"/>
    <n v="420"/>
  </r>
  <r>
    <n v="320"/>
    <x v="319"/>
    <x v="5"/>
    <x v="3"/>
    <x v="0"/>
    <x v="5"/>
    <n v="210"/>
    <n v="420"/>
  </r>
  <r>
    <n v="321"/>
    <x v="320"/>
    <x v="5"/>
    <x v="0"/>
    <x v="0"/>
    <x v="5"/>
    <n v="210"/>
    <n v="420"/>
  </r>
  <r>
    <n v="322"/>
    <x v="321"/>
    <x v="5"/>
    <x v="1"/>
    <x v="0"/>
    <x v="5"/>
    <n v="210"/>
    <n v="420"/>
  </r>
  <r>
    <n v="323"/>
    <x v="322"/>
    <x v="5"/>
    <x v="2"/>
    <x v="0"/>
    <x v="5"/>
    <n v="210"/>
    <n v="420"/>
  </r>
  <r>
    <n v="324"/>
    <x v="323"/>
    <x v="5"/>
    <x v="3"/>
    <x v="0"/>
    <x v="5"/>
    <n v="210"/>
    <n v="420"/>
  </r>
  <r>
    <n v="325"/>
    <x v="324"/>
    <x v="0"/>
    <x v="0"/>
    <x v="0"/>
    <x v="5"/>
    <n v="210"/>
    <n v="420"/>
  </r>
  <r>
    <n v="326"/>
    <x v="325"/>
    <x v="1"/>
    <x v="1"/>
    <x v="0"/>
    <x v="5"/>
    <n v="210"/>
    <n v="420"/>
  </r>
  <r>
    <n v="327"/>
    <x v="326"/>
    <x v="2"/>
    <x v="0"/>
    <x v="0"/>
    <x v="5"/>
    <n v="210"/>
    <n v="420"/>
  </r>
  <r>
    <n v="328"/>
    <x v="327"/>
    <x v="3"/>
    <x v="1"/>
    <x v="0"/>
    <x v="5"/>
    <n v="210"/>
    <n v="420"/>
  </r>
  <r>
    <n v="329"/>
    <x v="328"/>
    <x v="4"/>
    <x v="0"/>
    <x v="0"/>
    <x v="5"/>
    <n v="210"/>
    <n v="420"/>
  </r>
  <r>
    <n v="330"/>
    <x v="329"/>
    <x v="5"/>
    <x v="0"/>
    <x v="0"/>
    <x v="5"/>
    <n v="210"/>
    <n v="420"/>
  </r>
  <r>
    <n v="331"/>
    <x v="330"/>
    <x v="0"/>
    <x v="0"/>
    <x v="5"/>
    <x v="5"/>
    <n v="190"/>
    <n v="380"/>
  </r>
  <r>
    <n v="332"/>
    <x v="331"/>
    <x v="1"/>
    <x v="1"/>
    <x v="0"/>
    <x v="0"/>
    <n v="210"/>
    <n v="1470"/>
  </r>
  <r>
    <n v="333"/>
    <x v="332"/>
    <x v="2"/>
    <x v="1"/>
    <x v="1"/>
    <x v="1"/>
    <n v="2100"/>
    <n v="12600"/>
  </r>
  <r>
    <n v="334"/>
    <x v="333"/>
    <x v="3"/>
    <x v="0"/>
    <x v="2"/>
    <x v="2"/>
    <n v="1200"/>
    <n v="6000"/>
  </r>
  <r>
    <n v="335"/>
    <x v="334"/>
    <x v="4"/>
    <x v="0"/>
    <x v="3"/>
    <x v="3"/>
    <n v="1500"/>
    <n v="6000"/>
  </r>
  <r>
    <n v="336"/>
    <x v="335"/>
    <x v="5"/>
    <x v="1"/>
    <x v="3"/>
    <x v="3"/>
    <n v="1500"/>
    <n v="6000"/>
  </r>
  <r>
    <n v="337"/>
    <x v="336"/>
    <x v="5"/>
    <x v="0"/>
    <x v="3"/>
    <x v="3"/>
    <n v="1500"/>
    <n v="6000"/>
  </r>
  <r>
    <n v="338"/>
    <x v="337"/>
    <x v="0"/>
    <x v="0"/>
    <x v="3"/>
    <x v="3"/>
    <n v="1500"/>
    <n v="6000"/>
  </r>
  <r>
    <n v="339"/>
    <x v="338"/>
    <x v="1"/>
    <x v="0"/>
    <x v="3"/>
    <x v="3"/>
    <n v="1500"/>
    <n v="6000"/>
  </r>
  <r>
    <n v="340"/>
    <x v="339"/>
    <x v="2"/>
    <x v="0"/>
    <x v="3"/>
    <x v="3"/>
    <n v="1500"/>
    <n v="6000"/>
  </r>
  <r>
    <n v="341"/>
    <x v="340"/>
    <x v="3"/>
    <x v="0"/>
    <x v="3"/>
    <x v="3"/>
    <n v="1500"/>
    <n v="6000"/>
  </r>
  <r>
    <n v="342"/>
    <x v="341"/>
    <x v="4"/>
    <x v="0"/>
    <x v="3"/>
    <x v="3"/>
    <n v="1500"/>
    <n v="6000"/>
  </r>
  <r>
    <n v="343"/>
    <x v="342"/>
    <x v="5"/>
    <x v="0"/>
    <x v="3"/>
    <x v="3"/>
    <n v="1500"/>
    <n v="6000"/>
  </r>
  <r>
    <n v="344"/>
    <x v="343"/>
    <x v="0"/>
    <x v="0"/>
    <x v="0"/>
    <x v="5"/>
    <n v="210"/>
    <n v="420"/>
  </r>
  <r>
    <n v="345"/>
    <x v="344"/>
    <x v="1"/>
    <x v="1"/>
    <x v="2"/>
    <x v="0"/>
    <n v="2100"/>
    <n v="14700"/>
  </r>
  <r>
    <n v="346"/>
    <x v="345"/>
    <x v="2"/>
    <x v="0"/>
    <x v="3"/>
    <x v="1"/>
    <n v="1200"/>
    <n v="7200"/>
  </r>
  <r>
    <n v="347"/>
    <x v="346"/>
    <x v="3"/>
    <x v="1"/>
    <x v="4"/>
    <x v="2"/>
    <n v="300"/>
    <n v="1500"/>
  </r>
  <r>
    <n v="348"/>
    <x v="347"/>
    <x v="4"/>
    <x v="0"/>
    <x v="5"/>
    <x v="3"/>
    <n v="200"/>
    <n v="800"/>
  </r>
  <r>
    <n v="349"/>
    <x v="348"/>
    <x v="5"/>
    <x v="0"/>
    <x v="0"/>
    <x v="4"/>
    <n v="190"/>
    <n v="570"/>
  </r>
  <r>
    <n v="350"/>
    <x v="349"/>
    <x v="5"/>
    <x v="0"/>
    <x v="1"/>
    <x v="5"/>
    <n v="2100"/>
    <n v="4200"/>
  </r>
  <r>
    <n v="351"/>
    <x v="350"/>
    <x v="0"/>
    <x v="0"/>
    <x v="0"/>
    <x v="0"/>
    <n v="210"/>
    <n v="1470"/>
  </r>
  <r>
    <n v="352"/>
    <x v="351"/>
    <x v="0"/>
    <x v="1"/>
    <x v="1"/>
    <x v="1"/>
    <n v="2100"/>
    <n v="12600"/>
  </r>
  <r>
    <n v="353"/>
    <x v="352"/>
    <x v="0"/>
    <x v="2"/>
    <x v="2"/>
    <x v="2"/>
    <n v="1200"/>
    <n v="6000"/>
  </r>
  <r>
    <n v="354"/>
    <x v="353"/>
    <x v="0"/>
    <x v="3"/>
    <x v="3"/>
    <x v="3"/>
    <n v="1500"/>
    <n v="6000"/>
  </r>
  <r>
    <n v="355"/>
    <x v="354"/>
    <x v="0"/>
    <x v="0"/>
    <x v="4"/>
    <x v="4"/>
    <n v="300"/>
    <n v="900"/>
  </r>
  <r>
    <n v="356"/>
    <x v="355"/>
    <x v="0"/>
    <x v="1"/>
    <x v="5"/>
    <x v="5"/>
    <n v="190"/>
    <n v="380"/>
  </r>
  <r>
    <n v="357"/>
    <x v="356"/>
    <x v="0"/>
    <x v="2"/>
    <x v="0"/>
    <x v="0"/>
    <n v="210"/>
    <n v="1470"/>
  </r>
  <r>
    <n v="358"/>
    <x v="357"/>
    <x v="0"/>
    <x v="3"/>
    <x v="1"/>
    <x v="1"/>
    <n v="2100"/>
    <n v="12600"/>
  </r>
  <r>
    <n v="359"/>
    <x v="358"/>
    <x v="1"/>
    <x v="1"/>
    <x v="1"/>
    <x v="1"/>
    <n v="2100"/>
    <n v="12600"/>
  </r>
  <r>
    <n v="360"/>
    <x v="359"/>
    <x v="1"/>
    <x v="0"/>
    <x v="1"/>
    <x v="1"/>
    <n v="2100"/>
    <n v="12600"/>
  </r>
  <r>
    <n v="361"/>
    <x v="360"/>
    <x v="1"/>
    <x v="2"/>
    <x v="1"/>
    <x v="1"/>
    <n v="2100"/>
    <n v="12600"/>
  </r>
  <r>
    <n v="362"/>
    <x v="361"/>
    <x v="1"/>
    <x v="3"/>
    <x v="1"/>
    <x v="1"/>
    <n v="2100"/>
    <n v="12600"/>
  </r>
  <r>
    <n v="363"/>
    <x v="362"/>
    <x v="1"/>
    <x v="1"/>
    <x v="1"/>
    <x v="1"/>
    <n v="2100"/>
    <n v="12600"/>
  </r>
  <r>
    <n v="364"/>
    <x v="363"/>
    <x v="1"/>
    <x v="0"/>
    <x v="1"/>
    <x v="1"/>
    <n v="2100"/>
    <n v="12600"/>
  </r>
  <r>
    <n v="365"/>
    <x v="364"/>
    <x v="1"/>
    <x v="2"/>
    <x v="2"/>
    <x v="1"/>
    <n v="1200"/>
    <n v="7200"/>
  </r>
  <r>
    <n v="366"/>
    <x v="365"/>
    <x v="1"/>
    <x v="3"/>
    <x v="3"/>
    <x v="2"/>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98B00F-BC77-48ED-B320-A113E722C5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1" firstHeaderRow="1" firstDataRow="2" firstDataCol="1" rowPageCount="1" colPageCount="1"/>
  <pivotFields count="5">
    <pivotField axis="axisCol" showAll="0">
      <items count="4">
        <item x="1"/>
        <item x="0"/>
        <item x="2"/>
        <item t="default"/>
      </items>
    </pivotField>
    <pivotField dataField="1" showAll="0">
      <items count="8">
        <item x="2"/>
        <item x="3"/>
        <item x="1"/>
        <item x="6"/>
        <item x="5"/>
        <item x="4"/>
        <item x="0"/>
        <item t="default"/>
      </items>
    </pivotField>
    <pivotField axis="axisRow" showAll="0">
      <items count="2">
        <item x="0"/>
        <item t="default"/>
      </items>
    </pivotField>
    <pivotField axis="axisRow" showAll="0">
      <items count="4">
        <item x="0"/>
        <item x="1"/>
        <item x="2"/>
        <item t="default"/>
      </items>
    </pivotField>
    <pivotField axis="axisPage" multipleItemSelectionAllowed="1" showAll="0">
      <items count="3">
        <item x="0"/>
        <item x="1"/>
        <item t="default"/>
      </items>
    </pivotField>
  </pivotFields>
  <rowFields count="2">
    <field x="3"/>
    <field x="2"/>
  </rowFields>
  <rowItems count="7">
    <i>
      <x/>
    </i>
    <i r="1">
      <x/>
    </i>
    <i>
      <x v="1"/>
    </i>
    <i r="1">
      <x/>
    </i>
    <i>
      <x v="2"/>
    </i>
    <i r="1">
      <x/>
    </i>
    <i t="grand">
      <x/>
    </i>
  </rowItems>
  <colFields count="1">
    <field x="0"/>
  </colFields>
  <colItems count="4">
    <i>
      <x/>
    </i>
    <i>
      <x v="1"/>
    </i>
    <i>
      <x v="2"/>
    </i>
    <i t="grand">
      <x/>
    </i>
  </colItems>
  <pageFields count="1">
    <pageField fld="4" hier="-1"/>
  </pageFields>
  <dataFields count="1">
    <dataField name="Sum of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FF5A2-D1BF-40AB-B442-08FE341B157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1" firstDataRow="2" firstDataCol="1" rowPageCount="1" colPageCount="1"/>
  <pivotFields count="6">
    <pivotField showAll="0">
      <items count="11">
        <item x="0"/>
        <item x="1"/>
        <item x="2"/>
        <item x="3"/>
        <item x="4"/>
        <item x="5"/>
        <item x="6"/>
        <item x="7"/>
        <item x="8"/>
        <item x="9"/>
        <item t="default"/>
      </items>
    </pivotField>
    <pivotField axis="axisRow" showAll="0">
      <items count="8">
        <item x="5"/>
        <item x="2"/>
        <item x="3"/>
        <item x="1"/>
        <item x="0"/>
        <item x="6"/>
        <item x="4"/>
        <item t="default"/>
      </items>
    </pivotField>
    <pivotField axis="axisRow" showAll="0">
      <items count="3">
        <item x="1"/>
        <item x="0"/>
        <item t="default"/>
      </items>
    </pivotField>
    <pivotField dataField="1" showAll="0">
      <items count="11">
        <item x="2"/>
        <item x="9"/>
        <item x="1"/>
        <item x="3"/>
        <item x="8"/>
        <item x="4"/>
        <item x="7"/>
        <item x="5"/>
        <item x="6"/>
        <item x="0"/>
        <item t="default"/>
      </items>
    </pivotField>
    <pivotField axis="axisPage" showAll="0">
      <items count="8">
        <item x="4"/>
        <item x="2"/>
        <item x="6"/>
        <item x="3"/>
        <item x="5"/>
        <item x="1"/>
        <item x="0"/>
        <item t="default"/>
      </items>
    </pivotField>
    <pivotField axis="axisCol" showAll="0">
      <items count="12">
        <item h="1" m="1" x="10"/>
        <item x="0"/>
        <item h="1" x="1"/>
        <item h="1" x="2"/>
        <item h="1" x="3"/>
        <item h="1" x="4"/>
        <item h="1" x="5"/>
        <item h="1" x="6"/>
        <item h="1" x="7"/>
        <item h="1" x="8"/>
        <item h="1" x="9"/>
        <item t="default"/>
      </items>
    </pivotField>
  </pivotFields>
  <rowFields count="2">
    <field x="1"/>
    <field x="2"/>
  </rowFields>
  <rowItems count="3">
    <i>
      <x v="4"/>
    </i>
    <i r="1">
      <x v="1"/>
    </i>
    <i t="grand">
      <x/>
    </i>
  </rowItems>
  <colFields count="1">
    <field x="5"/>
  </colFields>
  <colItems count="2">
    <i>
      <x v="1"/>
    </i>
    <i t="grand">
      <x/>
    </i>
  </colItems>
  <pageFields count="1">
    <pageField fld="4" hier="-1"/>
  </pageFields>
  <dataFields count="1">
    <dataField name="Sum of Amount" fld="3"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5432B8-519D-4760-8DBA-24B3DD97182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B22" firstHeaderRow="1" firstDataRow="1" firstDataCol="1" rowPageCount="2" colPageCount="1"/>
  <pivotFields count="6">
    <pivotField axis="axisRow" showAll="0">
      <items count="11">
        <item x="0"/>
        <item x="1"/>
        <item x="2"/>
        <item x="3"/>
        <item x="4"/>
        <item x="5"/>
        <item x="6"/>
        <item x="7"/>
        <item x="8"/>
        <item x="9"/>
        <item t="default"/>
      </items>
    </pivotField>
    <pivotField axis="axisRow" showAll="0">
      <items count="8">
        <item x="5"/>
        <item x="2"/>
        <item x="3"/>
        <item x="1"/>
        <item x="0"/>
        <item x="6"/>
        <item x="4"/>
        <item t="default"/>
      </items>
    </pivotField>
    <pivotField axis="axisPage" showAll="0">
      <items count="3">
        <item x="1"/>
        <item x="0"/>
        <item t="default"/>
      </items>
    </pivotField>
    <pivotField dataField="1" showAll="0">
      <items count="11">
        <item x="2"/>
        <item x="9"/>
        <item x="1"/>
        <item x="3"/>
        <item x="8"/>
        <item x="4"/>
        <item x="7"/>
        <item x="5"/>
        <item x="6"/>
        <item x="0"/>
        <item t="default"/>
      </items>
    </pivotField>
    <pivotField axis="axisPage" multipleItemSelectionAllowed="1" showAll="0">
      <items count="8">
        <item x="4"/>
        <item x="2"/>
        <item x="6"/>
        <item x="3"/>
        <item x="5"/>
        <item x="1"/>
        <item x="0"/>
        <item t="default"/>
      </items>
    </pivotField>
    <pivotField showAll="0"/>
  </pivotFields>
  <rowFields count="2">
    <field x="1"/>
    <field x="0"/>
  </rowFields>
  <rowItems count="18">
    <i>
      <x/>
    </i>
    <i r="1">
      <x v="8"/>
    </i>
    <i>
      <x v="1"/>
    </i>
    <i r="1">
      <x v="2"/>
    </i>
    <i r="1">
      <x v="3"/>
    </i>
    <i r="1">
      <x v="7"/>
    </i>
    <i>
      <x v="2"/>
    </i>
    <i r="1">
      <x v="4"/>
    </i>
    <i>
      <x v="3"/>
    </i>
    <i r="1">
      <x v="1"/>
    </i>
    <i r="1">
      <x v="6"/>
    </i>
    <i>
      <x v="4"/>
    </i>
    <i r="1">
      <x/>
    </i>
    <i>
      <x v="5"/>
    </i>
    <i r="1">
      <x v="9"/>
    </i>
    <i>
      <x v="6"/>
    </i>
    <i r="1">
      <x v="5"/>
    </i>
    <i t="grand">
      <x/>
    </i>
  </rowItems>
  <colItems count="1">
    <i/>
  </colItems>
  <pageFields count="2">
    <pageField fld="4" hier="-1"/>
    <pageField fld="2" hier="-1"/>
  </pageField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586056-5A65-4FF8-8DD0-D995EE15F69B}" name="PivotTable1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6">
  <location ref="A113:B117"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measureFilter="1">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66" showAll="0"/>
    <pivotField numFmtId="166" showAll="0"/>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i>
    <i>
      <x v="4"/>
    </i>
    <i>
      <x v="5"/>
    </i>
    <i t="grand">
      <x/>
    </i>
  </rowItems>
  <colItems count="1">
    <i/>
  </colItems>
  <dataFields count="1">
    <dataField name="Sum of Amount" fld="7" baseField="0" baseItem="0"/>
  </dataFields>
  <chartFormats count="4">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AB76A1-369F-4269-B924-6D8712A22D38}" name="PivotTable9"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3">
  <location ref="A103:B110"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66" showAll="0"/>
    <pivotField numFmtId="166" showAll="0"/>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Items count="1">
    <i/>
  </colItems>
  <dataFields count="1">
    <dataField name="Sum of Amount" fld="7" baseField="0" baseItem="0"/>
  </dataFields>
  <chartFormats count="2">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E0F5B2-DC16-41B2-BFA7-7BBFEBD73502}"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3:A30"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6" showAll="0"/>
    <pivotField numFmtId="166"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E21472-C885-4A6A-BB8D-9D6882FC9891}" name="PivotTable7"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49:B54"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66" showAll="0"/>
    <pivotField numFmtId="166" showAll="0"/>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5">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9FF260-2F82-4ACE-A490-98F3D24A3E93}"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3:B46"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6" showAll="0"/>
    <pivotField numFmtId="166" showAll="0"/>
    <pivotField dataField="1" numFmtId="166"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B67AD0-0D35-46F6-9750-10007D367477}" name="PivotTable8"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58:B65"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6" showAll="0"/>
    <pivotField numFmtId="166" showAll="0"/>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showDataAs="percentOfTotal" baseField="0" baseItem="0" numFmtId="10"/>
  </dataFields>
  <chartFormats count="7">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61A6469-981B-473B-9CE9-57A11A9CAF86}" name="PivotTable5"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9">
  <location ref="A86:B90"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measureFilter="1">
      <items count="7">
        <item x="5"/>
        <item x="2"/>
        <item x="0"/>
        <item x="1"/>
        <item x="3"/>
        <item x="4"/>
        <item t="default"/>
      </items>
    </pivotField>
    <pivotField dataField="1" numFmtId="166" showAll="0"/>
    <pivotField numFmtId="166"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v="1"/>
    </i>
    <i>
      <x v="2"/>
    </i>
    <i>
      <x v="3"/>
    </i>
    <i t="grand">
      <x/>
    </i>
  </rowItems>
  <colItems count="1">
    <i/>
  </colItems>
  <dataFields count="1">
    <dataField name="Sum of Qty" fld="5" baseField="0" baseItem="0"/>
  </dataFields>
  <chartFormats count="6">
    <chartFormat chart="15"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57086A2-BAB3-4EE6-AE68-E88D9C8A6935}"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A14"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numFmtId="166" showAll="0"/>
    <pivotField numFmtId="166" showAll="0"/>
    <pivotField numFmtId="166"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8"/>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17E658-C9BE-4151-AC98-4D5EE9D35534}" name="PivotTable1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location ref="A76:B83"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6" showAll="0"/>
    <pivotField numFmtId="166"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dataFields>
  <chartFormats count="4">
    <chartFormat chart="15"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A9EB501-EB69-4F16-BC60-C7DC050B2FCD}" name="PivotTable10"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67:B74"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6" showAll="0"/>
    <pivotField numFmtId="166"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1E90C02-E542-45CB-A679-5DBCD9747192}"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6:A21"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axis="axisRow" showAll="0">
      <items count="5">
        <item x="0"/>
        <item x="2"/>
        <item x="3"/>
        <item x="1"/>
        <item t="default"/>
      </items>
    </pivotField>
    <pivotField showAll="0"/>
    <pivotField numFmtId="166" showAll="0"/>
    <pivotField numFmtId="166"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F5D4764-12FD-451A-947A-EF8CE2F02087}" name="PivotTable6"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A93:B97"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items count="5">
        <item x="0"/>
        <item x="2"/>
        <item x="3"/>
        <item x="1"/>
        <item t="default"/>
      </items>
    </pivotField>
    <pivotField axis="axisRow" showAll="0" measureFilter="1">
      <items count="7">
        <item x="5"/>
        <item x="2"/>
        <item x="0"/>
        <item x="1"/>
        <item x="3"/>
        <item x="4"/>
        <item t="default"/>
      </items>
    </pivotField>
    <pivotField dataField="1" numFmtId="166" showAll="0"/>
    <pivotField numFmtId="166" showAll="0"/>
    <pivotField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4">
    <i>
      <x/>
    </i>
    <i>
      <x v="4"/>
    </i>
    <i>
      <x v="5"/>
    </i>
    <i t="grand">
      <x/>
    </i>
  </rowItems>
  <colItems count="1">
    <i/>
  </colItems>
  <dataFields count="1">
    <dataField name="Sum of Qty" fld="5" baseField="0" baseItem="0"/>
  </dataFields>
  <chartFormats count="8">
    <chartFormat chart="15"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2D6E15D-1F6E-4269-AEE2-A00B86BA6096}" name="PivotTable1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9">
  <location ref="A121:B125" firstHeaderRow="1" firstDataRow="1" firstDataCol="1"/>
  <pivotFields count="11">
    <pivotField showAll="0"/>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measureFilter="1">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66" showAll="0"/>
    <pivotField numFmtId="166" showAll="0"/>
    <pivotField dataField="1" numFmtId="166"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v="1"/>
    </i>
    <i>
      <x v="2"/>
    </i>
    <i>
      <x v="3"/>
    </i>
    <i t="grand">
      <x/>
    </i>
  </rowItems>
  <colItems count="1">
    <i/>
  </colItems>
  <dataFields count="1">
    <dataField name="Sum of Amount" fld="7" baseField="0" baseItem="0"/>
  </dataFields>
  <chartFormats count="7">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4"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ID" xr10:uid="{E2B2A4E0-1E37-4F5A-B3D2-DCA0909B5A8C}" sourceName="Order ID">
  <pivotTables>
    <pivotTable tabId="19" name="PivotTable1"/>
    <pivotTable tabId="21" name="PivotTable2"/>
  </pivotTables>
  <data>
    <tabular pivotCacheId="898131449">
      <items count="10">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2F687A2-CF9C-4726-9C44-CEF8711992E1}" sourceName="Product">
  <pivotTables>
    <pivotTable tabId="19" name="PivotTable1"/>
    <pivotTable tabId="21" name="PivotTable2"/>
  </pivotTables>
  <data>
    <tabular pivotCacheId="898131449">
      <items count="7">
        <i x="5" s="1"/>
        <i x="2" s="1"/>
        <i x="3" s="1"/>
        <i x="1" s="1"/>
        <i x="0" s="1"/>
        <i x="6"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CAE6347-B78A-4FD2-8293-A60DE06FD3EF}" sourceName="Category">
  <pivotTables>
    <pivotTable tabId="19" name="PivotTable1"/>
    <pivotTable tabId="21" name="PivotTable2"/>
  </pivotTables>
  <data>
    <tabular pivotCacheId="89813144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 xr10:uid="{4F5BD212-DE5B-4A86-9039-32EC6D2027CC}" sourceName="Amount">
  <pivotTables>
    <pivotTable tabId="19" name="PivotTable1"/>
    <pivotTable tabId="21" name="PivotTable2"/>
  </pivotTables>
  <data>
    <tabular pivotCacheId="898131449">
      <items count="10">
        <i x="2" s="1"/>
        <i x="9" s="1"/>
        <i x="1" s="1"/>
        <i x="3" s="1"/>
        <i x="8" s="1"/>
        <i x="4" s="1"/>
        <i x="7" s="1"/>
        <i x="5" s="1"/>
        <i x="6"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95643DC-1139-4DC6-BCC9-8A6AB445FBAA}" sourceName="Country">
  <pivotTables>
    <pivotTable tabId="19" name="PivotTable1"/>
    <pivotTable tabId="21" name="PivotTable2"/>
  </pivotTables>
  <data>
    <tabular pivotCacheId="898131449">
      <items count="7">
        <i x="4" s="1"/>
        <i x="2" s="1"/>
        <i x="6" s="1"/>
        <i x="3" s="1"/>
        <i x="5"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727EC7-F17B-4A3E-9161-55C3A61DABA7}" sourceName="Region">
  <pivotTables>
    <pivotTable tabId="54" name="PivotTable2"/>
    <pivotTable tabId="54" name="PivotTable3"/>
    <pivotTable tabId="54" name="PivotTable4"/>
    <pivotTable tabId="54" name="PivotTable7"/>
    <pivotTable tabId="54" name="PivotTable8"/>
    <pivotTable tabId="54" name="PivotTable10"/>
    <pivotTable tabId="54" name="PivotTable11"/>
    <pivotTable tabId="54" name="PivotTable5"/>
    <pivotTable tabId="54" name="PivotTable6"/>
    <pivotTable tabId="54" name="PivotTable9"/>
    <pivotTable tabId="54" name="PivotTable12"/>
    <pivotTable tabId="54" name="PivotTable13"/>
  </pivotTables>
  <data>
    <tabular pivotCacheId="1824882572">
      <items count="4">
        <i x="0" s="1"/>
        <i x="2" s="1"/>
        <i x="3"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E5398720-67C8-4F54-B101-CF8045FA6240}" sourceName="Item">
  <pivotTables>
    <pivotTable tabId="54" name="PivotTable3"/>
    <pivotTable tabId="54" name="PivotTable4"/>
    <pivotTable tabId="54" name="PivotTable7"/>
    <pivotTable tabId="54" name="PivotTable8"/>
    <pivotTable tabId="54" name="PivotTable10"/>
    <pivotTable tabId="54" name="PivotTable11"/>
    <pivotTable tabId="54" name="PivotTable5"/>
    <pivotTable tabId="54" name="PivotTable6"/>
    <pivotTable tabId="54" name="PivotTable9"/>
    <pivotTable tabId="54" name="PivotTable12"/>
    <pivotTable tabId="54" name="PivotTable13"/>
  </pivotTables>
  <data>
    <tabular pivotCacheId="1824882572">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ID" xr10:uid="{443489DD-1B97-477F-97AC-76B63EC7ED6C}" cache="Slicer_Order_ID" caption="Order ID" rowHeight="234950"/>
  <slicer name="Product" xr10:uid="{96611CDD-4143-4DB4-85B1-CF9B31F5A56A}" cache="Slicer_Product" caption="Product" rowHeight="234950"/>
  <slicer name="Category" xr10:uid="{194AFD60-66F3-49B2-AC36-DB98B5B444C5}" cache="Slicer_Category" caption="Category" rowHeight="234950"/>
  <slicer name="Amount" xr10:uid="{9BCDBA61-1482-41E8-9CCC-E42100CFF3FC}" cache="Slicer_Amount" caption="Amount" rowHeight="234950"/>
  <slicer name="Country" xr10:uid="{8E97EEBC-7754-4A43-B4AC-058F72D84409}" cache="Slicer_Country" caption="Count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85056AB-8144-426A-B910-8DA87B010006}" cache="Slicer_Region" caption="Region" columnCount="2" rowHeight="234950"/>
  <slicer name="Item" xr10:uid="{4E7AED72-74D5-4E6D-B3A7-BECDE7CEDC88}" cache="Slicer_Item" caption="Item" columnCount="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2AF9058E-3AD0-4192-B0DC-65EFDD01DCB6}" cache="Slicer_Region" caption="Region" columnCount="2" rowHeight="234950"/>
  <slicer name="Item 1" xr10:uid="{AA6A3F0E-AEAA-4BAD-8572-F0F2186FC008}" cache="Slicer_Item" caption="Item" columnCount="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D065065F-8F1C-4B23-AC38-6A52DB42CE86}" cache="Slicer_Region" caption="Region" columnCount="2" rowHeight="234950"/>
  <slicer name="Item 2" xr10:uid="{0A3F537F-B05A-4E50-8C33-18753FBFFB58}" cache="Slicer_Item" caption="Item" columnCount="6"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C5CA62A3-577D-4FC7-9DEE-1E0D50177B96}" cache="Slicer_Region" caption="Region" columnCount="2" rowHeight="234950"/>
  <slicer name="Item 3" xr10:uid="{99BEA044-923D-4B3E-ACEE-CD9FF17F40C0}" cache="Slicer_Item" caption="Item" columnCount="6"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3D12F952-5C78-4B8C-9453-0E253F5BFE71}" cache="Slicer_Region" caption="Region" columnCount="2" rowHeight="234950"/>
  <slicer name="Item 4" xr10:uid="{6D0B8619-8240-4532-A26F-26863010EEC6}" cache="Slicer_Item" caption="Item" columnCoun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FA42D9E-14C2-44C5-AC71-7515FE9EBCC1}" sourceName="Date">
  <pivotTables>
    <pivotTable tabId="54" name="PivotTable1"/>
    <pivotTable tabId="54" name="PivotTable2"/>
    <pivotTable tabId="54" name="PivotTable3"/>
    <pivotTable tabId="54" name="PivotTable4"/>
    <pivotTable tabId="54" name="PivotTable7"/>
    <pivotTable tabId="54" name="PivotTable8"/>
    <pivotTable tabId="54" name="PivotTable10"/>
    <pivotTable tabId="54" name="PivotTable11"/>
    <pivotTable tabId="54" name="PivotTable5"/>
    <pivotTable tabId="54" name="PivotTable6"/>
    <pivotTable tabId="54" name="PivotTable9"/>
    <pivotTable tabId="54" name="PivotTable12"/>
    <pivotTable tabId="54" name="PivotTable13"/>
  </pivotTables>
  <state minimalRefreshVersion="6" lastRefreshVersion="6" pivotCacheId="1824882572" filterType="unknown">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AE865A3-8E50-4815-9E99-42D56D93CAA4}" cache="NativeTimeline_Date" caption="Date" showSelectionLabel="0" showTimeLevel="0" showHorizontalScrollbar="0" level="2" selectionLevel="2" scrollPosition="2021-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4B9AA1B9-70B7-421E-AC14-749FD1C0CAB2}" cache="NativeTimeline_Date" caption="Date" showSelectionLabel="0" showTimeLevel="0" showHorizontalScrollbar="0" level="2" selectionLevel="2" scrollPosition="2021-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824211B9-E106-4CB8-A314-42504FFA4095}" cache="NativeTimeline_Date" caption="Date" showSelectionLabel="0" showTimeLevel="0" showHorizontalScrollbar="0" level="2" selectionLevel="2" scrollPosition="2021-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F3EE9E69-75DF-40A1-9929-A1EBB3B7A68B}" cache="NativeTimeline_Date" caption="Date" showSelectionLabel="0" showTimeLevel="0" showHorizontalScrollbar="0" level="2" selectionLevel="2" scrollPosition="2021-01-01T00:00:00"/>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B6B091FE-4CF4-4196-A6DF-9807C505DC70}" cache="NativeTimeline_Date" caption="Date" showSelectionLabel="0" showTimeLevel="0" showHorizontalScrollbar="0" level="2" selectionLevel="2" scrollPosition="2021-01-01T00:00:00"/>
</timeline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1.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pivotTable" Target="../pivotTables/pivotTable16.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2" Type="http://schemas.openxmlformats.org/officeDocument/2006/relationships/pivotTable" Target="../pivotTables/pivotTable5.xml"/><Relationship Id="rId16" Type="http://schemas.microsoft.com/office/2011/relationships/timeline" Target="../timelines/timeline1.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5" Type="http://schemas.microsoft.com/office/2007/relationships/slicer" Target="../slicers/slicer2.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 Id="rId14" Type="http://schemas.openxmlformats.org/officeDocument/2006/relationships/drawing" Target="../drawings/drawing5.xml"/></Relationships>
</file>

<file path=xl/worksheets/_rels/sheet5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3.xml"/><Relationship Id="rId1" Type="http://schemas.openxmlformats.org/officeDocument/2006/relationships/drawing" Target="../drawings/drawing6.xml"/></Relationships>
</file>

<file path=xl/worksheets/_rels/sheet53.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4.xml"/><Relationship Id="rId1" Type="http://schemas.openxmlformats.org/officeDocument/2006/relationships/drawing" Target="../drawings/drawing8.xml"/></Relationships>
</file>

<file path=xl/worksheets/_rels/sheet54.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5.xml"/><Relationship Id="rId1" Type="http://schemas.openxmlformats.org/officeDocument/2006/relationships/drawing" Target="../drawings/drawing9.xml"/></Relationships>
</file>

<file path=xl/worksheets/_rels/sheet55.xml.rels><?xml version="1.0" encoding="UTF-8" standalone="yes"?>
<Relationships xmlns="http://schemas.openxmlformats.org/package/2006/relationships"><Relationship Id="rId3" Type="http://schemas.microsoft.com/office/2011/relationships/timeline" Target="../timelines/timeline5.xml"/><Relationship Id="rId2" Type="http://schemas.microsoft.com/office/2007/relationships/slicer" Target="../slicers/slicer6.xml"/><Relationship Id="rId1" Type="http://schemas.openxmlformats.org/officeDocument/2006/relationships/drawing" Target="../drawings/drawing10.xm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6"/>
  <sheetViews>
    <sheetView tabSelected="1" workbookViewId="0">
      <selection activeCell="I3" sqref="I3"/>
    </sheetView>
  </sheetViews>
  <sheetFormatPr defaultRowHeight="14.4" x14ac:dyDescent="0.3"/>
  <cols>
    <col min="1" max="1" width="12.77734375" customWidth="1"/>
    <col min="2" max="2" width="17.44140625" bestFit="1" customWidth="1"/>
    <col min="3" max="3" width="8" bestFit="1" customWidth="1"/>
    <col min="4" max="4" width="11.109375" bestFit="1" customWidth="1"/>
    <col min="5" max="5" width="13.77734375" bestFit="1" customWidth="1"/>
    <col min="6" max="9" width="12.77734375" customWidth="1"/>
    <col min="12" max="12" width="12.33203125" bestFit="1" customWidth="1"/>
    <col min="13" max="13" width="11.44140625" bestFit="1" customWidth="1"/>
  </cols>
  <sheetData>
    <row r="1" spans="1:13" ht="30" customHeight="1" x14ac:dyDescent="0.3">
      <c r="A1" s="2" t="s">
        <v>0</v>
      </c>
      <c r="B1" s="2" t="s">
        <v>1</v>
      </c>
      <c r="C1" s="2" t="s">
        <v>7</v>
      </c>
      <c r="D1" s="2" t="s">
        <v>8</v>
      </c>
      <c r="E1" s="2" t="s">
        <v>9</v>
      </c>
      <c r="F1" s="2" t="s">
        <v>10</v>
      </c>
      <c r="G1" s="2" t="s">
        <v>11</v>
      </c>
      <c r="H1" s="2" t="s">
        <v>12</v>
      </c>
      <c r="I1" s="2" t="s">
        <v>13</v>
      </c>
      <c r="J1" s="9" t="s">
        <v>82</v>
      </c>
      <c r="L1" s="2" t="s">
        <v>93</v>
      </c>
      <c r="M1" s="2" t="s">
        <v>100</v>
      </c>
    </row>
    <row r="2" spans="1:13" x14ac:dyDescent="0.3">
      <c r="A2" s="3">
        <v>1</v>
      </c>
      <c r="B2" s="3" t="s">
        <v>2</v>
      </c>
      <c r="C2" s="3">
        <v>85</v>
      </c>
      <c r="D2" s="3">
        <v>70</v>
      </c>
      <c r="E2" s="3">
        <v>90</v>
      </c>
      <c r="F2" s="3">
        <f>SUM(C2:E2)</f>
        <v>245</v>
      </c>
      <c r="G2" s="4">
        <f>AVERAGE(C2:E2)</f>
        <v>81.666666666666671</v>
      </c>
      <c r="H2" s="3" t="str">
        <f>IF(MIN(C2:E2)&gt;=60,"Pass","Fail")</f>
        <v>Pass</v>
      </c>
      <c r="I2" s="3" t="str">
        <f>IF(G2&gt;=90,"A", IF(G2&gt;=80,"B",IF(G2&gt;=70,"C",IF(G2&gt;=60,"D","F"))))</f>
        <v>B</v>
      </c>
      <c r="J2" s="3" t="s">
        <v>83</v>
      </c>
      <c r="L2" s="2" t="s">
        <v>94</v>
      </c>
      <c r="M2" s="2" t="s">
        <v>101</v>
      </c>
    </row>
    <row r="3" spans="1:13" x14ac:dyDescent="0.3">
      <c r="A3" s="3">
        <v>2</v>
      </c>
      <c r="B3" s="3" t="s">
        <v>3</v>
      </c>
      <c r="C3" s="3">
        <v>75</v>
      </c>
      <c r="D3" s="3">
        <v>46</v>
      </c>
      <c r="E3" s="3">
        <v>82</v>
      </c>
      <c r="F3" s="3">
        <f t="shared" ref="F3:F6" si="0">SUM(C3:E3)</f>
        <v>203</v>
      </c>
      <c r="G3" s="4">
        <f t="shared" ref="G3:G6" si="1">AVERAGE(C3:E3)</f>
        <v>67.666666666666671</v>
      </c>
      <c r="H3" s="3" t="str">
        <f t="shared" ref="H3:H6" si="2">IF(MIN(C3:E3)&gt;=60,"Pass","Fail")</f>
        <v>Fail</v>
      </c>
      <c r="I3" s="3" t="str">
        <f t="shared" ref="I3:I6" si="3">IF(G3&gt;=90,"A", IF(G3&gt;=80,"B",IF(G3&gt;=70,"C",IF(G3&gt;=60,"D","F"))))</f>
        <v>D</v>
      </c>
      <c r="J3" s="3" t="s">
        <v>83</v>
      </c>
      <c r="L3" s="2" t="s">
        <v>95</v>
      </c>
      <c r="M3" s="2" t="s">
        <v>102</v>
      </c>
    </row>
    <row r="4" spans="1:13" x14ac:dyDescent="0.3">
      <c r="A4" s="3">
        <v>3</v>
      </c>
      <c r="B4" s="3" t="s">
        <v>4</v>
      </c>
      <c r="C4" s="3">
        <v>65</v>
      </c>
      <c r="D4" s="3">
        <v>65</v>
      </c>
      <c r="E4" s="3">
        <v>75</v>
      </c>
      <c r="F4" s="3">
        <f t="shared" si="0"/>
        <v>205</v>
      </c>
      <c r="G4" s="4">
        <f t="shared" si="1"/>
        <v>68.333333333333329</v>
      </c>
      <c r="H4" s="3" t="str">
        <f t="shared" si="2"/>
        <v>Pass</v>
      </c>
      <c r="I4" s="3" t="str">
        <f t="shared" si="3"/>
        <v>D</v>
      </c>
      <c r="J4" s="3" t="s">
        <v>83</v>
      </c>
      <c r="L4" s="2" t="s">
        <v>96</v>
      </c>
      <c r="M4" s="2" t="s">
        <v>103</v>
      </c>
    </row>
    <row r="5" spans="1:13" x14ac:dyDescent="0.3">
      <c r="A5" s="3">
        <v>4</v>
      </c>
      <c r="B5" s="3" t="s">
        <v>5</v>
      </c>
      <c r="C5" s="3">
        <v>80</v>
      </c>
      <c r="D5" s="3">
        <v>65</v>
      </c>
      <c r="E5" s="3">
        <v>60</v>
      </c>
      <c r="F5" s="3">
        <f t="shared" si="0"/>
        <v>205</v>
      </c>
      <c r="G5" s="4">
        <f t="shared" si="1"/>
        <v>68.333333333333329</v>
      </c>
      <c r="H5" s="3" t="str">
        <f t="shared" si="2"/>
        <v>Pass</v>
      </c>
      <c r="I5" s="3" t="str">
        <f t="shared" si="3"/>
        <v>D</v>
      </c>
      <c r="J5" s="3" t="s">
        <v>83</v>
      </c>
      <c r="L5" s="2" t="s">
        <v>97</v>
      </c>
      <c r="M5" s="2" t="s">
        <v>104</v>
      </c>
    </row>
    <row r="6" spans="1:13" x14ac:dyDescent="0.3">
      <c r="A6" s="3">
        <v>5</v>
      </c>
      <c r="B6" s="3" t="s">
        <v>6</v>
      </c>
      <c r="C6" s="3">
        <v>64</v>
      </c>
      <c r="D6" s="3">
        <v>80</v>
      </c>
      <c r="E6" s="3">
        <v>76</v>
      </c>
      <c r="F6" s="3">
        <f t="shared" si="0"/>
        <v>220</v>
      </c>
      <c r="G6" s="4">
        <f t="shared" si="1"/>
        <v>73.333333333333329</v>
      </c>
      <c r="H6" s="3" t="str">
        <f t="shared" si="2"/>
        <v>Pass</v>
      </c>
      <c r="I6" s="3" t="str">
        <f t="shared" si="3"/>
        <v>C</v>
      </c>
      <c r="J6" s="3" t="s">
        <v>84</v>
      </c>
      <c r="L6" s="2" t="s">
        <v>98</v>
      </c>
      <c r="M6" s="2" t="s">
        <v>105</v>
      </c>
    </row>
    <row r="7" spans="1:13" x14ac:dyDescent="0.3">
      <c r="F7" s="10">
        <f>SUM(F2:F6)</f>
        <v>1078</v>
      </c>
      <c r="G7" s="5" t="s">
        <v>188</v>
      </c>
      <c r="I7" s="27" t="s">
        <v>188</v>
      </c>
      <c r="J7" s="101">
        <f>SUMIF(J2:J6,"F",F2:F6)</f>
        <v>858</v>
      </c>
      <c r="L7" s="2" t="s">
        <v>99</v>
      </c>
      <c r="M7" s="2" t="s">
        <v>106</v>
      </c>
    </row>
    <row r="8" spans="1:13" x14ac:dyDescent="0.3">
      <c r="F8" s="5" t="s">
        <v>189</v>
      </c>
      <c r="J8" s="110" t="s">
        <v>85</v>
      </c>
      <c r="L8" s="2" t="s">
        <v>93</v>
      </c>
      <c r="M8" s="2" t="s">
        <v>107</v>
      </c>
    </row>
    <row r="9" spans="1:13" x14ac:dyDescent="0.3">
      <c r="L9" s="2" t="s">
        <v>94</v>
      </c>
      <c r="M9" s="2" t="s">
        <v>108</v>
      </c>
    </row>
    <row r="10" spans="1:13" x14ac:dyDescent="0.3">
      <c r="B10" s="11" t="s">
        <v>14</v>
      </c>
      <c r="C10" s="1">
        <f>COUNT(A2:A6)</f>
        <v>5</v>
      </c>
      <c r="D10" t="s">
        <v>86</v>
      </c>
      <c r="L10" s="2" t="s">
        <v>95</v>
      </c>
      <c r="M10" s="2" t="s">
        <v>109</v>
      </c>
    </row>
    <row r="11" spans="1:13" x14ac:dyDescent="0.3">
      <c r="B11" s="11" t="s">
        <v>15</v>
      </c>
      <c r="C11" s="1">
        <f>MAX(C2:E6)</f>
        <v>90</v>
      </c>
      <c r="D11" t="s">
        <v>87</v>
      </c>
      <c r="L11" s="23" t="s">
        <v>96</v>
      </c>
      <c r="M11" s="23" t="s">
        <v>110</v>
      </c>
    </row>
    <row r="12" spans="1:13" x14ac:dyDescent="0.3">
      <c r="B12" s="11" t="s">
        <v>16</v>
      </c>
      <c r="C12" s="1">
        <f>MIN(C2:E6)</f>
        <v>46</v>
      </c>
      <c r="D12" t="s">
        <v>88</v>
      </c>
      <c r="L12" s="24" t="s">
        <v>181</v>
      </c>
      <c r="M12" s="24" t="s">
        <v>182</v>
      </c>
    </row>
    <row r="13" spans="1:13" x14ac:dyDescent="0.3">
      <c r="B13" s="11" t="s">
        <v>17</v>
      </c>
      <c r="C13" s="1">
        <f>MEDIAN(C2:E6)</f>
        <v>75</v>
      </c>
      <c r="D13" t="s">
        <v>89</v>
      </c>
    </row>
    <row r="14" spans="1:13" x14ac:dyDescent="0.3">
      <c r="B14" s="11" t="s">
        <v>18</v>
      </c>
      <c r="C14" s="1">
        <f>_xlfn.MODE.SNGL(C2:E6)</f>
        <v>65</v>
      </c>
      <c r="D14" t="s">
        <v>90</v>
      </c>
    </row>
    <row r="15" spans="1:13" x14ac:dyDescent="0.3">
      <c r="B15" s="11" t="s">
        <v>19</v>
      </c>
      <c r="C15" s="1">
        <f>LARGE(C2:E6,2)</f>
        <v>85</v>
      </c>
      <c r="D15" t="s">
        <v>91</v>
      </c>
    </row>
    <row r="16" spans="1:13" x14ac:dyDescent="0.3">
      <c r="B16" s="11" t="s">
        <v>20</v>
      </c>
      <c r="C16" s="1">
        <f>SMALL(C2:E6,3)</f>
        <v>64</v>
      </c>
      <c r="D16" t="s">
        <v>92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03D4-46A9-416F-9514-0F5F3637724D}">
  <sheetPr codeName="Sheet2"/>
  <dimension ref="A1:E20"/>
  <sheetViews>
    <sheetView topLeftCell="A2" workbookViewId="0">
      <selection activeCell="D21" sqref="D21"/>
    </sheetView>
  </sheetViews>
  <sheetFormatPr defaultRowHeight="14.4" x14ac:dyDescent="0.3"/>
  <cols>
    <col min="1" max="3" width="20.77734375" customWidth="1"/>
  </cols>
  <sheetData>
    <row r="1" spans="1:3" x14ac:dyDescent="0.3">
      <c r="A1" s="1"/>
      <c r="B1" s="1"/>
      <c r="C1" s="1"/>
    </row>
    <row r="2" spans="1:3" ht="19.95" customHeight="1" x14ac:dyDescent="0.3">
      <c r="A2" s="12" t="s">
        <v>21</v>
      </c>
      <c r="B2" s="12" t="s">
        <v>22</v>
      </c>
      <c r="C2" s="12" t="s">
        <v>23</v>
      </c>
    </row>
    <row r="3" spans="1:3" ht="19.95" customHeight="1" x14ac:dyDescent="0.3">
      <c r="A3" s="6" t="s">
        <v>24</v>
      </c>
      <c r="B3" s="7">
        <v>33406</v>
      </c>
      <c r="C3" s="6">
        <v>20000</v>
      </c>
    </row>
    <row r="4" spans="1:3" ht="19.95" customHeight="1" x14ac:dyDescent="0.3">
      <c r="A4" s="6" t="s">
        <v>25</v>
      </c>
      <c r="B4" s="7">
        <v>33409</v>
      </c>
      <c r="C4" s="6">
        <v>15000</v>
      </c>
    </row>
    <row r="5" spans="1:3" ht="19.95" customHeight="1" x14ac:dyDescent="0.3">
      <c r="A5" s="6" t="s">
        <v>26</v>
      </c>
      <c r="B5" s="7">
        <v>33407</v>
      </c>
      <c r="C5" s="6">
        <v>3000</v>
      </c>
    </row>
    <row r="6" spans="1:3" ht="19.95" customHeight="1" x14ac:dyDescent="0.3">
      <c r="A6" s="6" t="s">
        <v>27</v>
      </c>
      <c r="B6" s="7">
        <v>33419</v>
      </c>
      <c r="C6" s="6">
        <v>4500</v>
      </c>
    </row>
    <row r="7" spans="1:3" ht="19.95" customHeight="1" x14ac:dyDescent="0.3">
      <c r="A7" s="6" t="s">
        <v>28</v>
      </c>
      <c r="B7" s="7">
        <v>33409</v>
      </c>
      <c r="C7" s="6">
        <v>10000</v>
      </c>
    </row>
    <row r="8" spans="1:3" ht="19.95" customHeight="1" x14ac:dyDescent="0.3">
      <c r="A8" s="6" t="s">
        <v>29</v>
      </c>
      <c r="B8" s="7">
        <v>33419</v>
      </c>
      <c r="C8" s="6">
        <v>12000</v>
      </c>
    </row>
    <row r="9" spans="1:3" ht="19.95" customHeight="1" x14ac:dyDescent="0.3">
      <c r="A9" s="6" t="s">
        <v>30</v>
      </c>
      <c r="B9" s="7">
        <v>33409</v>
      </c>
      <c r="C9" s="6">
        <v>9000</v>
      </c>
    </row>
    <row r="10" spans="1:3" ht="19.95" customHeight="1" x14ac:dyDescent="0.3">
      <c r="A10" s="6" t="s">
        <v>31</v>
      </c>
      <c r="B10" s="7">
        <v>33419</v>
      </c>
      <c r="C10" s="6">
        <v>8000</v>
      </c>
    </row>
    <row r="11" spans="1:3" ht="19.95" customHeight="1" x14ac:dyDescent="0.3">
      <c r="A11" s="6" t="s">
        <v>32</v>
      </c>
      <c r="B11" s="7">
        <v>33409</v>
      </c>
      <c r="C11" s="6">
        <v>7500</v>
      </c>
    </row>
    <row r="12" spans="1:3" ht="19.95" customHeight="1" x14ac:dyDescent="0.3">
      <c r="A12" s="6" t="s">
        <v>33</v>
      </c>
      <c r="B12" s="7">
        <v>33404</v>
      </c>
      <c r="C12" s="6">
        <v>7200</v>
      </c>
    </row>
    <row r="13" spans="1:3" ht="19.95" customHeight="1" x14ac:dyDescent="0.3">
      <c r="A13" s="6" t="s">
        <v>34</v>
      </c>
      <c r="B13" s="7">
        <v>33414</v>
      </c>
      <c r="C13" s="6">
        <v>8000</v>
      </c>
    </row>
    <row r="14" spans="1:3" ht="19.95" customHeight="1" x14ac:dyDescent="0.3">
      <c r="A14" s="6" t="s">
        <v>35</v>
      </c>
      <c r="B14" s="7">
        <v>33414</v>
      </c>
      <c r="C14" s="6">
        <v>15000</v>
      </c>
    </row>
    <row r="15" spans="1:3" ht="19.95" customHeight="1" x14ac:dyDescent="0.3">
      <c r="A15" s="6" t="s">
        <v>36</v>
      </c>
      <c r="B15" s="7">
        <v>33419</v>
      </c>
      <c r="C15" s="6">
        <v>25000</v>
      </c>
    </row>
    <row r="16" spans="1:3" ht="19.95" customHeight="1" x14ac:dyDescent="0.3">
      <c r="A16" s="6" t="s">
        <v>37</v>
      </c>
      <c r="B16" s="7">
        <v>33409</v>
      </c>
      <c r="C16" s="6">
        <v>30000</v>
      </c>
    </row>
    <row r="17" spans="1:5" ht="19.95" customHeight="1" x14ac:dyDescent="0.3">
      <c r="A17" s="6" t="s">
        <v>38</v>
      </c>
      <c r="B17" s="7">
        <v>33404</v>
      </c>
      <c r="C17" s="6">
        <v>20000</v>
      </c>
    </row>
    <row r="18" spans="1:5" x14ac:dyDescent="0.3">
      <c r="D18" s="1"/>
    </row>
    <row r="19" spans="1:5" x14ac:dyDescent="0.3">
      <c r="A19" s="113" t="s">
        <v>39</v>
      </c>
      <c r="B19" s="113"/>
      <c r="C19" s="113"/>
      <c r="D19" s="1">
        <f>COUNTIF(B3:B17,B10)</f>
        <v>4</v>
      </c>
      <c r="E19" s="11" t="s">
        <v>183</v>
      </c>
    </row>
    <row r="20" spans="1:5" x14ac:dyDescent="0.3">
      <c r="A20" s="114" t="s">
        <v>1057</v>
      </c>
      <c r="B20" s="114"/>
      <c r="C20" s="114"/>
      <c r="D20" s="1">
        <f>COUNTIF(C3:C17,"&gt;10000")</f>
        <v>7</v>
      </c>
      <c r="E20" s="11" t="s">
        <v>183</v>
      </c>
    </row>
  </sheetData>
  <mergeCells count="2">
    <mergeCell ref="A19:C19"/>
    <mergeCell ref="A20:C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558E-FA64-4D5F-B6D7-E3C63F678F44}">
  <sheetPr codeName="Sheet3"/>
  <dimension ref="A1:F13"/>
  <sheetViews>
    <sheetView workbookViewId="0">
      <selection activeCell="F18" sqref="F18"/>
    </sheetView>
  </sheetViews>
  <sheetFormatPr defaultRowHeight="14.4" x14ac:dyDescent="0.3"/>
  <cols>
    <col min="5" max="5" width="14.5546875" bestFit="1" customWidth="1"/>
    <col min="6" max="6" width="13.77734375" bestFit="1" customWidth="1"/>
  </cols>
  <sheetData>
    <row r="1" spans="1:6" x14ac:dyDescent="0.3">
      <c r="A1" s="8" t="s">
        <v>40</v>
      </c>
      <c r="B1" s="8" t="s">
        <v>41</v>
      </c>
      <c r="C1" s="8" t="s">
        <v>42</v>
      </c>
      <c r="D1" s="8" t="s">
        <v>43</v>
      </c>
      <c r="E1" s="8" t="s">
        <v>44</v>
      </c>
      <c r="F1" s="8" t="s">
        <v>45</v>
      </c>
    </row>
    <row r="2" spans="1:6" x14ac:dyDescent="0.3">
      <c r="A2" s="3" t="s">
        <v>46</v>
      </c>
      <c r="B2" s="3">
        <v>1000</v>
      </c>
      <c r="C2" s="3">
        <v>12</v>
      </c>
      <c r="D2" s="3">
        <f>B2*C2</f>
        <v>12000</v>
      </c>
      <c r="E2" s="3">
        <f>IF(AND(A2="Pendrive", B2&gt;20),250,0)</f>
        <v>0</v>
      </c>
      <c r="F2" s="3">
        <f>IF(OR(A2="DVD",A2="CD"),200,0)</f>
        <v>200</v>
      </c>
    </row>
    <row r="3" spans="1:6" x14ac:dyDescent="0.3">
      <c r="A3" s="3" t="s">
        <v>47</v>
      </c>
      <c r="B3" s="3">
        <v>2000</v>
      </c>
      <c r="C3" s="3">
        <v>15</v>
      </c>
      <c r="D3" s="3">
        <f t="shared" ref="D3:D10" si="0">B3*C3</f>
        <v>30000</v>
      </c>
      <c r="E3" s="3">
        <f t="shared" ref="E3:E10" si="1">IF(AND(A3="Pendrive", B3&gt;20),250,0)</f>
        <v>0</v>
      </c>
      <c r="F3" s="3">
        <f t="shared" ref="F3:F10" si="2">IF(OR(A3="DVD",A3="CD"),200,0)</f>
        <v>200</v>
      </c>
    </row>
    <row r="4" spans="1:6" x14ac:dyDescent="0.3">
      <c r="A4" s="3" t="s">
        <v>48</v>
      </c>
      <c r="B4" s="3">
        <v>20</v>
      </c>
      <c r="C4" s="3">
        <v>350</v>
      </c>
      <c r="D4" s="3">
        <f t="shared" si="0"/>
        <v>7000</v>
      </c>
      <c r="E4" s="3">
        <f t="shared" si="1"/>
        <v>0</v>
      </c>
      <c r="F4" s="3">
        <f t="shared" si="2"/>
        <v>0</v>
      </c>
    </row>
    <row r="5" spans="1:6" x14ac:dyDescent="0.3">
      <c r="A5" s="3" t="s">
        <v>46</v>
      </c>
      <c r="B5" s="3">
        <v>500</v>
      </c>
      <c r="C5" s="3">
        <v>15</v>
      </c>
      <c r="D5" s="3">
        <f t="shared" si="0"/>
        <v>7500</v>
      </c>
      <c r="E5" s="3">
        <f t="shared" si="1"/>
        <v>0</v>
      </c>
      <c r="F5" s="3">
        <f t="shared" si="2"/>
        <v>200</v>
      </c>
    </row>
    <row r="6" spans="1:6" x14ac:dyDescent="0.3">
      <c r="A6" s="3" t="s">
        <v>48</v>
      </c>
      <c r="B6" s="3">
        <v>25</v>
      </c>
      <c r="C6" s="3">
        <v>450</v>
      </c>
      <c r="D6" s="3">
        <f t="shared" si="0"/>
        <v>11250</v>
      </c>
      <c r="E6" s="3">
        <f t="shared" si="1"/>
        <v>250</v>
      </c>
      <c r="F6" s="3">
        <f t="shared" si="2"/>
        <v>0</v>
      </c>
    </row>
    <row r="7" spans="1:6" x14ac:dyDescent="0.3">
      <c r="A7" s="3" t="s">
        <v>48</v>
      </c>
      <c r="B7" s="3">
        <v>30</v>
      </c>
      <c r="C7" s="3">
        <v>300</v>
      </c>
      <c r="D7" s="3">
        <f t="shared" si="0"/>
        <v>9000</v>
      </c>
      <c r="E7" s="3">
        <f t="shared" si="1"/>
        <v>250</v>
      </c>
      <c r="F7" s="3">
        <f t="shared" si="2"/>
        <v>0</v>
      </c>
    </row>
    <row r="8" spans="1:6" x14ac:dyDescent="0.3">
      <c r="A8" s="3" t="s">
        <v>49</v>
      </c>
      <c r="B8" s="3">
        <v>5</v>
      </c>
      <c r="C8" s="3">
        <v>1200</v>
      </c>
      <c r="D8" s="3">
        <f t="shared" si="0"/>
        <v>6000</v>
      </c>
      <c r="E8" s="3">
        <f t="shared" si="1"/>
        <v>0</v>
      </c>
      <c r="F8" s="3">
        <f t="shared" si="2"/>
        <v>0</v>
      </c>
    </row>
    <row r="9" spans="1:6" x14ac:dyDescent="0.3">
      <c r="A9" s="3" t="s">
        <v>50</v>
      </c>
      <c r="B9" s="3">
        <v>10</v>
      </c>
      <c r="C9" s="3">
        <v>500</v>
      </c>
      <c r="D9" s="3">
        <f t="shared" si="0"/>
        <v>5000</v>
      </c>
      <c r="E9" s="3">
        <f t="shared" si="1"/>
        <v>0</v>
      </c>
      <c r="F9" s="3">
        <f t="shared" si="2"/>
        <v>0</v>
      </c>
    </row>
    <row r="10" spans="1:6" x14ac:dyDescent="0.3">
      <c r="A10" s="3" t="s">
        <v>46</v>
      </c>
      <c r="B10" s="3">
        <v>2000</v>
      </c>
      <c r="C10" s="3">
        <v>12</v>
      </c>
      <c r="D10" s="3">
        <f t="shared" si="0"/>
        <v>24000</v>
      </c>
      <c r="E10" s="3">
        <f t="shared" si="1"/>
        <v>0</v>
      </c>
      <c r="F10" s="3">
        <f t="shared" si="2"/>
        <v>200</v>
      </c>
    </row>
    <row r="11" spans="1:6" x14ac:dyDescent="0.3">
      <c r="E11" s="5" t="s">
        <v>184</v>
      </c>
      <c r="F11" s="5" t="s">
        <v>185</v>
      </c>
    </row>
    <row r="12" spans="1:6" x14ac:dyDescent="0.3">
      <c r="A12" s="114" t="s">
        <v>51</v>
      </c>
      <c r="B12" s="114"/>
      <c r="C12" s="114"/>
      <c r="D12" s="114"/>
      <c r="E12" s="114"/>
    </row>
    <row r="13" spans="1:6" x14ac:dyDescent="0.3">
      <c r="A13" s="114" t="s">
        <v>52</v>
      </c>
      <c r="B13" s="114"/>
      <c r="C13" s="114"/>
      <c r="D13" s="114"/>
      <c r="E13" s="114"/>
    </row>
  </sheetData>
  <mergeCells count="2">
    <mergeCell ref="A12:E12"/>
    <mergeCell ref="A13:E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027DF-2FF4-4DEF-A81E-9876682BDA17}">
  <sheetPr codeName="Sheet4"/>
  <dimension ref="A1:J18"/>
  <sheetViews>
    <sheetView workbookViewId="0">
      <selection activeCell="F4" sqref="F4"/>
    </sheetView>
  </sheetViews>
  <sheetFormatPr defaultRowHeight="14.4" x14ac:dyDescent="0.3"/>
  <cols>
    <col min="3" max="3" width="10.5546875" bestFit="1" customWidth="1"/>
    <col min="8" max="8" width="10.88671875" bestFit="1" customWidth="1"/>
  </cols>
  <sheetData>
    <row r="1" spans="1:10" x14ac:dyDescent="0.3">
      <c r="A1" s="115" t="s">
        <v>53</v>
      </c>
      <c r="B1" s="115"/>
      <c r="C1" s="115"/>
      <c r="D1" s="115"/>
      <c r="E1" s="115"/>
      <c r="F1" s="115"/>
      <c r="G1" s="115"/>
      <c r="H1" s="115"/>
      <c r="I1" s="115"/>
      <c r="J1" s="115"/>
    </row>
    <row r="2" spans="1:10" x14ac:dyDescent="0.3">
      <c r="A2" s="3" t="s">
        <v>54</v>
      </c>
      <c r="B2" s="3" t="s">
        <v>60</v>
      </c>
      <c r="C2" s="3" t="s">
        <v>66</v>
      </c>
      <c r="D2" s="3" t="s">
        <v>67</v>
      </c>
      <c r="E2" s="3" t="s">
        <v>68</v>
      </c>
      <c r="F2" s="3" t="s">
        <v>69</v>
      </c>
      <c r="G2" s="3" t="s">
        <v>70</v>
      </c>
      <c r="H2" s="3" t="s">
        <v>71</v>
      </c>
      <c r="I2" s="3" t="s">
        <v>72</v>
      </c>
      <c r="J2" s="3" t="s">
        <v>73</v>
      </c>
    </row>
    <row r="3" spans="1:10" x14ac:dyDescent="0.3">
      <c r="A3" s="3" t="s">
        <v>55</v>
      </c>
      <c r="B3" s="3" t="s">
        <v>61</v>
      </c>
      <c r="C3" s="3" t="str">
        <f>IF(D3&gt;=20000,"Manager",IF(D3&gt;=10000,"Officer","Clerk"))</f>
        <v>Manager</v>
      </c>
      <c r="D3" s="3">
        <v>20000</v>
      </c>
      <c r="E3" s="3">
        <f>D3*5%</f>
        <v>1000</v>
      </c>
      <c r="F3" s="3">
        <f>IF(OR(C3="Manager",C3="Officer"), D3*10%,0)</f>
        <v>2000</v>
      </c>
      <c r="G3" s="3">
        <f>IF(C3="Clerk",D3*10%,D3*5%)</f>
        <v>1000</v>
      </c>
      <c r="H3" s="3">
        <f>SUM(D3:G3)</f>
        <v>24000</v>
      </c>
      <c r="I3" s="3">
        <f>D3*12%</f>
        <v>2400</v>
      </c>
      <c r="J3" s="3">
        <f>H3-I3</f>
        <v>21600</v>
      </c>
    </row>
    <row r="4" spans="1:10" x14ac:dyDescent="0.3">
      <c r="A4" s="3" t="s">
        <v>56</v>
      </c>
      <c r="B4" s="3" t="s">
        <v>62</v>
      </c>
      <c r="C4" s="3" t="str">
        <f t="shared" ref="C4:C7" si="0">IF(D4&gt;=20000,"Manager",IF(D4&gt;=10000,"Officer","Clerk"))</f>
        <v>Officer</v>
      </c>
      <c r="D4" s="3">
        <v>10000</v>
      </c>
      <c r="E4" s="3">
        <f t="shared" ref="E4:E7" si="1">D4*5%</f>
        <v>500</v>
      </c>
      <c r="F4" s="3">
        <f t="shared" ref="F4:F7" si="2">IF(OR(C4="Manager",C4="Officer"), D4*10%,0)</f>
        <v>1000</v>
      </c>
      <c r="G4" s="3">
        <f t="shared" ref="G4:G7" si="3">IF(C4="Clerk",D4*10%,D4*5%)</f>
        <v>500</v>
      </c>
      <c r="H4" s="3">
        <f t="shared" ref="H4:H7" si="4">SUM(D4:G4)</f>
        <v>12000</v>
      </c>
      <c r="I4" s="3">
        <f t="shared" ref="I4:I7" si="5">D4*12%</f>
        <v>1200</v>
      </c>
      <c r="J4" s="3">
        <f t="shared" ref="J4:J7" si="6">H4-I4</f>
        <v>10800</v>
      </c>
    </row>
    <row r="5" spans="1:10" x14ac:dyDescent="0.3">
      <c r="A5" s="3" t="s">
        <v>57</v>
      </c>
      <c r="B5" s="3" t="s">
        <v>63</v>
      </c>
      <c r="C5" s="3" t="str">
        <f t="shared" si="0"/>
        <v>Officer</v>
      </c>
      <c r="D5" s="3">
        <v>15000</v>
      </c>
      <c r="E5" s="3">
        <f t="shared" si="1"/>
        <v>750</v>
      </c>
      <c r="F5" s="3">
        <f t="shared" si="2"/>
        <v>1500</v>
      </c>
      <c r="G5" s="3">
        <f t="shared" si="3"/>
        <v>750</v>
      </c>
      <c r="H5" s="3">
        <f t="shared" si="4"/>
        <v>18000</v>
      </c>
      <c r="I5" s="3">
        <f t="shared" si="5"/>
        <v>1800</v>
      </c>
      <c r="J5" s="3">
        <f t="shared" si="6"/>
        <v>16200</v>
      </c>
    </row>
    <row r="6" spans="1:10" x14ac:dyDescent="0.3">
      <c r="A6" s="3" t="s">
        <v>58</v>
      </c>
      <c r="B6" s="3" t="s">
        <v>64</v>
      </c>
      <c r="C6" s="3" t="str">
        <f t="shared" si="0"/>
        <v>Clerk</v>
      </c>
      <c r="D6" s="3">
        <v>7000</v>
      </c>
      <c r="E6" s="3">
        <f t="shared" si="1"/>
        <v>350</v>
      </c>
      <c r="F6" s="3">
        <f t="shared" si="2"/>
        <v>0</v>
      </c>
      <c r="G6" s="3">
        <f t="shared" si="3"/>
        <v>700</v>
      </c>
      <c r="H6" s="3">
        <f t="shared" si="4"/>
        <v>8050</v>
      </c>
      <c r="I6" s="3">
        <f t="shared" si="5"/>
        <v>840</v>
      </c>
      <c r="J6" s="3">
        <f t="shared" si="6"/>
        <v>7210</v>
      </c>
    </row>
    <row r="7" spans="1:10" x14ac:dyDescent="0.3">
      <c r="A7" s="3" t="s">
        <v>59</v>
      </c>
      <c r="B7" s="3" t="s">
        <v>65</v>
      </c>
      <c r="C7" s="3" t="str">
        <f t="shared" si="0"/>
        <v>Clerk</v>
      </c>
      <c r="D7" s="3">
        <v>8000</v>
      </c>
      <c r="E7" s="3">
        <f t="shared" si="1"/>
        <v>400</v>
      </c>
      <c r="F7" s="3">
        <f t="shared" si="2"/>
        <v>0</v>
      </c>
      <c r="G7" s="3">
        <f t="shared" si="3"/>
        <v>800</v>
      </c>
      <c r="H7" s="3">
        <f t="shared" si="4"/>
        <v>9200</v>
      </c>
      <c r="I7" s="3">
        <f t="shared" si="5"/>
        <v>960</v>
      </c>
      <c r="J7" s="3">
        <f t="shared" si="6"/>
        <v>8240</v>
      </c>
    </row>
    <row r="8" spans="1:10" x14ac:dyDescent="0.3">
      <c r="A8" s="5"/>
      <c r="B8" s="5"/>
      <c r="C8" s="5" t="s">
        <v>186</v>
      </c>
      <c r="D8" s="5"/>
      <c r="E8" s="5" t="s">
        <v>187</v>
      </c>
      <c r="F8" s="5" t="s">
        <v>1022</v>
      </c>
      <c r="G8" s="5" t="s">
        <v>188</v>
      </c>
      <c r="H8" s="5" t="s">
        <v>189</v>
      </c>
      <c r="I8" s="5" t="s">
        <v>187</v>
      </c>
      <c r="J8" s="5" t="s">
        <v>187</v>
      </c>
    </row>
    <row r="9" spans="1:10" x14ac:dyDescent="0.3">
      <c r="A9" s="5"/>
      <c r="B9" s="5"/>
      <c r="C9" s="5"/>
      <c r="D9" s="5"/>
      <c r="E9" s="5"/>
      <c r="F9" s="5"/>
      <c r="G9" s="5"/>
      <c r="H9" s="5"/>
      <c r="I9" s="1"/>
      <c r="J9" s="1"/>
    </row>
    <row r="10" spans="1:10" x14ac:dyDescent="0.3">
      <c r="A10" s="114" t="s">
        <v>74</v>
      </c>
      <c r="B10" s="114"/>
      <c r="C10" s="114"/>
      <c r="D10" s="114"/>
      <c r="E10" s="114"/>
      <c r="F10" s="114"/>
      <c r="G10" s="114"/>
      <c r="H10" s="114"/>
    </row>
    <row r="11" spans="1:10" x14ac:dyDescent="0.3">
      <c r="A11" s="114" t="s">
        <v>75</v>
      </c>
      <c r="B11" s="114"/>
      <c r="C11" s="114"/>
      <c r="D11" s="114"/>
      <c r="E11" s="114"/>
      <c r="F11" s="114"/>
      <c r="G11" s="114"/>
      <c r="H11" s="114"/>
    </row>
    <row r="12" spans="1:10" x14ac:dyDescent="0.3">
      <c r="A12" s="114" t="s">
        <v>76</v>
      </c>
      <c r="B12" s="114"/>
      <c r="C12" s="114"/>
      <c r="D12" s="114"/>
      <c r="E12" s="114"/>
      <c r="F12" s="114"/>
      <c r="G12" s="114"/>
      <c r="H12" s="114"/>
    </row>
    <row r="13" spans="1:10" x14ac:dyDescent="0.3">
      <c r="A13" s="114" t="s">
        <v>78</v>
      </c>
      <c r="B13" s="114"/>
      <c r="C13" s="114"/>
      <c r="D13" s="114"/>
      <c r="E13" s="114"/>
      <c r="F13" s="114"/>
      <c r="G13" s="114"/>
      <c r="H13" s="114"/>
    </row>
    <row r="14" spans="1:10" x14ac:dyDescent="0.3">
      <c r="A14" s="114" t="s">
        <v>1023</v>
      </c>
      <c r="B14" s="114"/>
      <c r="C14" s="114"/>
      <c r="D14" s="114"/>
      <c r="E14" s="114"/>
      <c r="F14" s="114"/>
      <c r="G14" s="114"/>
      <c r="H14" s="114"/>
    </row>
    <row r="15" spans="1:10" x14ac:dyDescent="0.3">
      <c r="A15" s="114" t="s">
        <v>77</v>
      </c>
      <c r="B15" s="114"/>
      <c r="C15" s="114"/>
      <c r="D15" s="114"/>
      <c r="E15" s="114"/>
      <c r="F15" s="114"/>
      <c r="G15" s="114"/>
      <c r="H15" s="114"/>
    </row>
    <row r="16" spans="1:10" x14ac:dyDescent="0.3">
      <c r="A16" s="114" t="s">
        <v>79</v>
      </c>
      <c r="B16" s="114"/>
      <c r="C16" s="114"/>
      <c r="D16" s="114"/>
      <c r="E16" s="114"/>
      <c r="F16" s="114"/>
      <c r="G16" s="114"/>
      <c r="H16" s="114"/>
    </row>
    <row r="17" spans="1:8" x14ac:dyDescent="0.3">
      <c r="A17" s="114" t="s">
        <v>80</v>
      </c>
      <c r="B17" s="114"/>
      <c r="C17" s="114"/>
      <c r="D17" s="114"/>
      <c r="E17" s="114"/>
      <c r="F17" s="114"/>
      <c r="G17" s="114"/>
      <c r="H17" s="114"/>
    </row>
    <row r="18" spans="1:8" x14ac:dyDescent="0.3">
      <c r="A18" s="114" t="s">
        <v>81</v>
      </c>
      <c r="B18" s="114"/>
      <c r="C18" s="114"/>
      <c r="D18" s="114"/>
      <c r="E18" s="114"/>
      <c r="F18" s="114"/>
      <c r="G18" s="114"/>
      <c r="H18" s="114"/>
    </row>
  </sheetData>
  <mergeCells count="10">
    <mergeCell ref="A15:H15"/>
    <mergeCell ref="A16:H16"/>
    <mergeCell ref="A17:H17"/>
    <mergeCell ref="A18:H18"/>
    <mergeCell ref="A1:J1"/>
    <mergeCell ref="A10:H10"/>
    <mergeCell ref="A11:H11"/>
    <mergeCell ref="A12:H12"/>
    <mergeCell ref="A13:H13"/>
    <mergeCell ref="A14:H1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5B7E-888B-4B20-8D73-012FEC3A9F0E}">
  <sheetPr codeName="Sheet5"/>
  <dimension ref="A1:D15"/>
  <sheetViews>
    <sheetView workbookViewId="0">
      <selection activeCell="D4" sqref="D4"/>
    </sheetView>
  </sheetViews>
  <sheetFormatPr defaultRowHeight="14.4" x14ac:dyDescent="0.3"/>
  <cols>
    <col min="1" max="1" width="41" bestFit="1" customWidth="1"/>
    <col min="2" max="2" width="16.5546875" customWidth="1"/>
    <col min="3" max="3" width="16.44140625" customWidth="1"/>
    <col min="4" max="4" width="19.88671875" customWidth="1"/>
  </cols>
  <sheetData>
    <row r="1" spans="1:4" x14ac:dyDescent="0.3">
      <c r="A1" s="11" t="s">
        <v>1024</v>
      </c>
    </row>
    <row r="3" spans="1:4" x14ac:dyDescent="0.3">
      <c r="A3" s="13" t="s">
        <v>40</v>
      </c>
      <c r="B3" s="13" t="s">
        <v>111</v>
      </c>
      <c r="C3" s="13" t="s">
        <v>112</v>
      </c>
      <c r="D3" s="13" t="s">
        <v>113</v>
      </c>
    </row>
    <row r="4" spans="1:4" x14ac:dyDescent="0.3">
      <c r="A4" s="14" t="s">
        <v>114</v>
      </c>
      <c r="B4" s="15">
        <v>7857</v>
      </c>
      <c r="C4" s="15">
        <v>13.6</v>
      </c>
      <c r="D4" s="17">
        <f>IFERROR(B4/C4,"Check Price")</f>
        <v>577.72058823529414</v>
      </c>
    </row>
    <row r="5" spans="1:4" x14ac:dyDescent="0.3">
      <c r="A5" s="14" t="s">
        <v>115</v>
      </c>
      <c r="B5" s="15">
        <v>8673</v>
      </c>
      <c r="C5" s="16">
        <v>0</v>
      </c>
      <c r="D5" s="18" t="str">
        <f t="shared" ref="D5:D14" si="0">IFERROR(B5/C5,"Check Price")</f>
        <v>Check Price</v>
      </c>
    </row>
    <row r="6" spans="1:4" x14ac:dyDescent="0.3">
      <c r="A6" s="14" t="s">
        <v>116</v>
      </c>
      <c r="B6" s="15">
        <v>883</v>
      </c>
      <c r="C6" s="15">
        <v>19.54</v>
      </c>
      <c r="D6" s="17">
        <f t="shared" si="0"/>
        <v>45.18935516888434</v>
      </c>
    </row>
    <row r="7" spans="1:4" x14ac:dyDescent="0.3">
      <c r="A7" s="14" t="s">
        <v>117</v>
      </c>
      <c r="B7" s="15">
        <v>7799</v>
      </c>
      <c r="C7" s="15">
        <v>12.23</v>
      </c>
      <c r="D7" s="17">
        <f t="shared" si="0"/>
        <v>637.6941946034342</v>
      </c>
    </row>
    <row r="8" spans="1:4" x14ac:dyDescent="0.3">
      <c r="A8" s="14" t="s">
        <v>119</v>
      </c>
      <c r="B8" s="15">
        <v>7593</v>
      </c>
      <c r="C8" s="15">
        <v>51.29</v>
      </c>
      <c r="D8" s="17">
        <f t="shared" si="0"/>
        <v>148.04055371417431</v>
      </c>
    </row>
    <row r="9" spans="1:4" x14ac:dyDescent="0.3">
      <c r="A9" s="14" t="s">
        <v>118</v>
      </c>
      <c r="B9" s="15">
        <v>1667</v>
      </c>
      <c r="C9" s="15">
        <v>31.75</v>
      </c>
      <c r="D9" s="17">
        <f t="shared" si="0"/>
        <v>52.503937007874015</v>
      </c>
    </row>
    <row r="10" spans="1:4" x14ac:dyDescent="0.3">
      <c r="A10" s="14" t="s">
        <v>120</v>
      </c>
      <c r="B10" s="15">
        <v>4338</v>
      </c>
      <c r="C10" s="15">
        <v>53.12</v>
      </c>
      <c r="D10" s="17">
        <f t="shared" si="0"/>
        <v>81.664156626506028</v>
      </c>
    </row>
    <row r="11" spans="1:4" x14ac:dyDescent="0.3">
      <c r="A11" s="14" t="s">
        <v>121</v>
      </c>
      <c r="B11" s="15">
        <v>4586</v>
      </c>
      <c r="C11" s="15">
        <v>24.37</v>
      </c>
      <c r="D11" s="17">
        <f t="shared" si="0"/>
        <v>188.18219121871152</v>
      </c>
    </row>
    <row r="12" spans="1:4" x14ac:dyDescent="0.3">
      <c r="A12" s="14" t="s">
        <v>122</v>
      </c>
      <c r="B12" s="15">
        <v>2899</v>
      </c>
      <c r="C12" s="15">
        <v>54.74</v>
      </c>
      <c r="D12" s="17">
        <f t="shared" si="0"/>
        <v>52.959444647424185</v>
      </c>
    </row>
    <row r="13" spans="1:4" x14ac:dyDescent="0.3">
      <c r="A13" s="14" t="s">
        <v>123</v>
      </c>
      <c r="B13" s="15">
        <v>3865</v>
      </c>
      <c r="C13" s="16" t="s">
        <v>125</v>
      </c>
      <c r="D13" s="18" t="str">
        <f t="shared" si="0"/>
        <v>Check Price</v>
      </c>
    </row>
    <row r="14" spans="1:4" x14ac:dyDescent="0.3">
      <c r="A14" s="14" t="s">
        <v>124</v>
      </c>
      <c r="B14" s="15">
        <v>5747</v>
      </c>
      <c r="C14" s="15">
        <v>9.8699999999999992</v>
      </c>
      <c r="D14" s="17">
        <f t="shared" si="0"/>
        <v>582.26950354609937</v>
      </c>
    </row>
    <row r="15" spans="1:4" x14ac:dyDescent="0.3">
      <c r="D15" s="85"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77C2C-FD3A-47EB-94E1-1C47735E42A2}">
  <sheetPr codeName="Sheet6"/>
  <dimension ref="A2:G9"/>
  <sheetViews>
    <sheetView workbookViewId="0">
      <selection activeCell="J4" sqref="I3:J4"/>
    </sheetView>
  </sheetViews>
  <sheetFormatPr defaultRowHeight="14.4" x14ac:dyDescent="0.3"/>
  <cols>
    <col min="1" max="1" width="9.77734375" bestFit="1" customWidth="1"/>
    <col min="2" max="2" width="9.6640625" bestFit="1" customWidth="1"/>
    <col min="3" max="3" width="25" bestFit="1" customWidth="1"/>
    <col min="4" max="4" width="22.6640625" bestFit="1" customWidth="1"/>
    <col min="5" max="5" width="11.109375" customWidth="1"/>
    <col min="7" max="7" width="25.109375" bestFit="1" customWidth="1"/>
    <col min="9" max="9" width="10.109375" bestFit="1" customWidth="1"/>
  </cols>
  <sheetData>
    <row r="2" spans="1:7" x14ac:dyDescent="0.3">
      <c r="A2" s="19" t="s">
        <v>126</v>
      </c>
      <c r="B2" s="19" t="s">
        <v>127</v>
      </c>
      <c r="C2" s="19" t="s">
        <v>128</v>
      </c>
      <c r="D2" s="19" t="s">
        <v>129</v>
      </c>
      <c r="E2" s="19" t="s">
        <v>130</v>
      </c>
      <c r="F2" s="19" t="s">
        <v>131</v>
      </c>
      <c r="G2" s="19" t="s">
        <v>132</v>
      </c>
    </row>
    <row r="3" spans="1:7" x14ac:dyDescent="0.3">
      <c r="A3" s="14" t="s">
        <v>133</v>
      </c>
      <c r="B3" s="14" t="s">
        <v>138</v>
      </c>
      <c r="C3" s="14" t="str">
        <f>_xlfn.CONCAT(A3," ",B3)</f>
        <v>bob marley</v>
      </c>
      <c r="D3" s="14" t="str">
        <f>PROPER(C3)</f>
        <v>Bob Marley</v>
      </c>
      <c r="E3" s="14" t="s">
        <v>144</v>
      </c>
      <c r="F3" s="14" t="s">
        <v>150</v>
      </c>
      <c r="G3" s="14" t="str">
        <f>_xlfn.CONCAT(E3,F3)</f>
        <v>SyracuseNY</v>
      </c>
    </row>
    <row r="4" spans="1:7" x14ac:dyDescent="0.3">
      <c r="A4" s="14" t="s">
        <v>134</v>
      </c>
      <c r="B4" s="14" t="s">
        <v>139</v>
      </c>
      <c r="C4" s="14" t="str">
        <f t="shared" ref="C4:C8" si="0">_xlfn.CONCAT(A4," ",B4)</f>
        <v>neil young</v>
      </c>
      <c r="D4" s="14" t="str">
        <f t="shared" ref="D4:D8" si="1">PROPER(C4)</f>
        <v>Neil Young</v>
      </c>
      <c r="E4" s="14" t="s">
        <v>145</v>
      </c>
      <c r="F4" s="14" t="s">
        <v>151</v>
      </c>
      <c r="G4" s="14" t="str">
        <f t="shared" ref="G4:G8" si="2">_xlfn.CONCAT(E4,F4)</f>
        <v>ChicagoIL</v>
      </c>
    </row>
    <row r="5" spans="1:7" x14ac:dyDescent="0.3">
      <c r="A5" s="14" t="s">
        <v>135</v>
      </c>
      <c r="B5" s="14" t="s">
        <v>140</v>
      </c>
      <c r="C5" s="14" t="str">
        <f t="shared" si="0"/>
        <v>mick jagger</v>
      </c>
      <c r="D5" s="14" t="str">
        <f t="shared" si="1"/>
        <v>Mick Jagger</v>
      </c>
      <c r="E5" s="14" t="s">
        <v>146</v>
      </c>
      <c r="F5" s="14" t="s">
        <v>150</v>
      </c>
      <c r="G5" s="14" t="str">
        <f t="shared" si="2"/>
        <v>New YorkNY</v>
      </c>
    </row>
    <row r="6" spans="1:7" x14ac:dyDescent="0.3">
      <c r="A6" s="14" t="s">
        <v>133</v>
      </c>
      <c r="B6" s="14" t="s">
        <v>141</v>
      </c>
      <c r="C6" s="14" t="str">
        <f t="shared" si="0"/>
        <v>bob dylan</v>
      </c>
      <c r="D6" s="14" t="str">
        <f t="shared" si="1"/>
        <v>Bob Dylan</v>
      </c>
      <c r="E6" s="14" t="s">
        <v>147</v>
      </c>
      <c r="F6" s="14" t="s">
        <v>152</v>
      </c>
      <c r="G6" s="14" t="str">
        <f t="shared" si="2"/>
        <v>PhiladelphiaPA</v>
      </c>
    </row>
    <row r="7" spans="1:7" x14ac:dyDescent="0.3">
      <c r="A7" s="14" t="s">
        <v>136</v>
      </c>
      <c r="B7" s="14" t="s">
        <v>142</v>
      </c>
      <c r="C7" s="14" t="str">
        <f t="shared" si="0"/>
        <v>john lennon</v>
      </c>
      <c r="D7" s="14" t="str">
        <f t="shared" si="1"/>
        <v>John Lennon</v>
      </c>
      <c r="E7" s="14" t="s">
        <v>148</v>
      </c>
      <c r="F7" s="14" t="s">
        <v>153</v>
      </c>
      <c r="G7" s="14" t="str">
        <f t="shared" si="2"/>
        <v>Los AngelesCA</v>
      </c>
    </row>
    <row r="8" spans="1:7" x14ac:dyDescent="0.3">
      <c r="A8" s="14" t="s">
        <v>137</v>
      </c>
      <c r="B8" s="14" t="s">
        <v>143</v>
      </c>
      <c r="C8" s="14" t="str">
        <f t="shared" si="0"/>
        <v>donald fagen</v>
      </c>
      <c r="D8" s="14" t="str">
        <f t="shared" si="1"/>
        <v>Donald Fagen</v>
      </c>
      <c r="E8" s="14" t="s">
        <v>149</v>
      </c>
      <c r="F8" s="14" t="s">
        <v>154</v>
      </c>
      <c r="G8" s="14" t="str">
        <f t="shared" si="2"/>
        <v>PhoenixAZ</v>
      </c>
    </row>
    <row r="9" spans="1:7" x14ac:dyDescent="0.3">
      <c r="C9" s="11" t="s">
        <v>191</v>
      </c>
      <c r="D9" s="11" t="s">
        <v>192</v>
      </c>
      <c r="G9" s="11"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0B5A-BBF7-468D-9A53-3D391FC5424C}">
  <sheetPr codeName="Sheet7"/>
  <dimension ref="A1:E18"/>
  <sheetViews>
    <sheetView workbookViewId="0">
      <selection activeCell="E13" sqref="E13"/>
    </sheetView>
  </sheetViews>
  <sheetFormatPr defaultRowHeight="14.4" x14ac:dyDescent="0.3"/>
  <cols>
    <col min="1" max="1" width="20.77734375" customWidth="1"/>
    <col min="2" max="2" width="16.88671875" customWidth="1"/>
    <col min="3" max="3" width="15.77734375" customWidth="1"/>
    <col min="4" max="4" width="14.33203125" customWidth="1"/>
    <col min="5" max="5" width="16" customWidth="1"/>
  </cols>
  <sheetData>
    <row r="1" spans="1:5" x14ac:dyDescent="0.3">
      <c r="B1" s="11" t="s">
        <v>210</v>
      </c>
    </row>
    <row r="2" spans="1:5" x14ac:dyDescent="0.3">
      <c r="A2" s="13" t="s">
        <v>155</v>
      </c>
      <c r="B2" s="13" t="s">
        <v>126</v>
      </c>
      <c r="C2" s="13" t="s">
        <v>127</v>
      </c>
      <c r="D2" s="13" t="s">
        <v>156</v>
      </c>
      <c r="E2" s="13" t="s">
        <v>157</v>
      </c>
    </row>
    <row r="3" spans="1:5" ht="19.95" customHeight="1" x14ac:dyDescent="0.3">
      <c r="A3" s="20" t="s">
        <v>158</v>
      </c>
      <c r="B3" s="20" t="str">
        <f>LEFT(A3,4)</f>
        <v>fred</v>
      </c>
      <c r="C3" s="20" t="str">
        <f>RIGHT(A3,5)</f>
        <v>smith</v>
      </c>
      <c r="D3" s="20">
        <f>LEN(A3)</f>
        <v>10</v>
      </c>
      <c r="E3" s="20">
        <f>FIND("s",A3,1)</f>
        <v>6</v>
      </c>
    </row>
    <row r="4" spans="1:5" ht="19.95" customHeight="1" x14ac:dyDescent="0.3">
      <c r="A4" s="20" t="s">
        <v>159</v>
      </c>
      <c r="B4" s="20" t="str">
        <f>LEFT(A4,5)</f>
        <v>tonya</v>
      </c>
      <c r="C4" s="20" t="str">
        <f>RIGHT(A4,5)</f>
        <v>andry</v>
      </c>
      <c r="D4" s="20">
        <f t="shared" ref="D4:D8" si="0">LEN(A4)</f>
        <v>12</v>
      </c>
      <c r="E4" s="20">
        <f>FIND("y",A5,1)</f>
        <v>4</v>
      </c>
    </row>
    <row r="5" spans="1:5" ht="19.95" customHeight="1" x14ac:dyDescent="0.3">
      <c r="A5" s="20" t="s">
        <v>160</v>
      </c>
      <c r="B5" s="20" t="str">
        <f>LEFT(A5,4)</f>
        <v>toby</v>
      </c>
      <c r="C5" s="20" t="str">
        <f>RIGHT(A5,5)</f>
        <v>marin</v>
      </c>
      <c r="D5" s="20">
        <f t="shared" si="0"/>
        <v>10</v>
      </c>
      <c r="E5" s="20">
        <f>FIND("a",A5,1)</f>
        <v>7</v>
      </c>
    </row>
    <row r="6" spans="1:5" ht="19.95" customHeight="1" x14ac:dyDescent="0.3">
      <c r="A6" s="20" t="s">
        <v>161</v>
      </c>
      <c r="B6" s="20" t="str">
        <f>LEFT(A6,5)</f>
        <v>cindy</v>
      </c>
      <c r="C6" s="20" t="str">
        <f>RIGHT(A6,5)</f>
        <v>brady</v>
      </c>
      <c r="D6" s="20">
        <f t="shared" si="0"/>
        <v>11</v>
      </c>
      <c r="E6" s="20">
        <f>FIND("c",A6,1)</f>
        <v>1</v>
      </c>
    </row>
    <row r="7" spans="1:5" ht="19.95" customHeight="1" x14ac:dyDescent="0.3">
      <c r="A7" s="20" t="s">
        <v>162</v>
      </c>
      <c r="B7" s="20" t="str">
        <f>LEFT(A7,6)</f>
        <v>chance</v>
      </c>
      <c r="C7" s="20" t="str">
        <f>RIGHT(A7,4)</f>
        <v>till</v>
      </c>
      <c r="D7" s="20">
        <f t="shared" si="0"/>
        <v>11</v>
      </c>
      <c r="E7" s="20">
        <f>FIND("l",A7,1)</f>
        <v>10</v>
      </c>
    </row>
    <row r="8" spans="1:5" ht="19.95" customHeight="1" x14ac:dyDescent="0.3">
      <c r="A8" s="20" t="s">
        <v>163</v>
      </c>
      <c r="B8" s="20" t="str">
        <f>LEFT(A8,4)</f>
        <v>anne</v>
      </c>
      <c r="C8" s="20" t="str">
        <f>RIGHT(A8,5)</f>
        <v>stone</v>
      </c>
      <c r="D8" s="20">
        <f t="shared" si="0"/>
        <v>10</v>
      </c>
      <c r="E8" s="20">
        <f>FIND("n",A8,1)</f>
        <v>2</v>
      </c>
    </row>
    <row r="9" spans="1:5" x14ac:dyDescent="0.3">
      <c r="B9" s="11" t="s">
        <v>193</v>
      </c>
      <c r="C9" s="11" t="s">
        <v>194</v>
      </c>
      <c r="D9" s="11" t="s">
        <v>195</v>
      </c>
      <c r="E9" s="11" t="s">
        <v>196</v>
      </c>
    </row>
    <row r="11" spans="1:5" x14ac:dyDescent="0.3">
      <c r="B11" s="11" t="s">
        <v>211</v>
      </c>
    </row>
    <row r="12" spans="1:5" x14ac:dyDescent="0.3">
      <c r="A12" s="13" t="s">
        <v>155</v>
      </c>
      <c r="B12" s="25" t="s">
        <v>209</v>
      </c>
      <c r="C12" s="25" t="s">
        <v>209</v>
      </c>
    </row>
    <row r="13" spans="1:5" x14ac:dyDescent="0.3">
      <c r="A13" s="20" t="s">
        <v>158</v>
      </c>
      <c r="B13" s="14" t="s">
        <v>197</v>
      </c>
      <c r="C13" s="14" t="s">
        <v>203</v>
      </c>
    </row>
    <row r="14" spans="1:5" x14ac:dyDescent="0.3">
      <c r="A14" s="20" t="s">
        <v>159</v>
      </c>
      <c r="B14" s="14" t="s">
        <v>198</v>
      </c>
      <c r="C14" s="14" t="s">
        <v>204</v>
      </c>
    </row>
    <row r="15" spans="1:5" x14ac:dyDescent="0.3">
      <c r="A15" s="20" t="s">
        <v>160</v>
      </c>
      <c r="B15" s="14" t="s">
        <v>199</v>
      </c>
      <c r="C15" s="14" t="s">
        <v>205</v>
      </c>
    </row>
    <row r="16" spans="1:5" x14ac:dyDescent="0.3">
      <c r="A16" s="20" t="s">
        <v>161</v>
      </c>
      <c r="B16" s="14" t="s">
        <v>200</v>
      </c>
      <c r="C16" s="14" t="s">
        <v>206</v>
      </c>
    </row>
    <row r="17" spans="1:3" x14ac:dyDescent="0.3">
      <c r="A17" s="20" t="s">
        <v>162</v>
      </c>
      <c r="B17" s="14" t="s">
        <v>201</v>
      </c>
      <c r="C17" s="14" t="s">
        <v>207</v>
      </c>
    </row>
    <row r="18" spans="1:3" x14ac:dyDescent="0.3">
      <c r="A18" s="20" t="s">
        <v>163</v>
      </c>
      <c r="B18" s="14" t="s">
        <v>202</v>
      </c>
      <c r="C18" s="14"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19EE-1262-4310-AA08-F63566B1976F}">
  <sheetPr codeName="Sheet8"/>
  <dimension ref="A1:E9"/>
  <sheetViews>
    <sheetView workbookViewId="0">
      <selection activeCell="F9" sqref="F9"/>
    </sheetView>
  </sheetViews>
  <sheetFormatPr defaultRowHeight="14.4" x14ac:dyDescent="0.3"/>
  <cols>
    <col min="1" max="1" width="19.88671875" customWidth="1"/>
    <col min="2" max="2" width="17.88671875" customWidth="1"/>
    <col min="3" max="3" width="24.88671875" customWidth="1"/>
    <col min="4" max="4" width="18.21875" customWidth="1"/>
    <col min="5" max="5" width="22.88671875" customWidth="1"/>
  </cols>
  <sheetData>
    <row r="1" spans="1:5" x14ac:dyDescent="0.3">
      <c r="B1" s="11" t="s">
        <v>210</v>
      </c>
    </row>
    <row r="2" spans="1:5" ht="104.4" customHeight="1" x14ac:dyDescent="0.3">
      <c r="A2" s="21" t="s">
        <v>164</v>
      </c>
      <c r="B2" s="22" t="s">
        <v>165</v>
      </c>
      <c r="C2" s="22" t="s">
        <v>180</v>
      </c>
      <c r="D2" s="22" t="s">
        <v>166</v>
      </c>
      <c r="E2" s="22" t="s">
        <v>167</v>
      </c>
    </row>
    <row r="3" spans="1:5" x14ac:dyDescent="0.3">
      <c r="A3" s="14" t="s">
        <v>168</v>
      </c>
      <c r="B3" s="14" t="str">
        <f>LEFT(A3,3)</f>
        <v>315</v>
      </c>
      <c r="C3" s="14" t="s">
        <v>174</v>
      </c>
      <c r="D3" s="14" t="str">
        <f>MID(C3,5,4)</f>
        <v>6911</v>
      </c>
      <c r="E3" s="14" t="str">
        <f>RIGHT(C3,2)</f>
        <v>62</v>
      </c>
    </row>
    <row r="4" spans="1:5" x14ac:dyDescent="0.3">
      <c r="A4" s="14" t="s">
        <v>169</v>
      </c>
      <c r="B4" s="14" t="str">
        <f t="shared" ref="B4:B8" si="0">LEFT(A4,3)</f>
        <v>201</v>
      </c>
      <c r="C4" s="14" t="s">
        <v>175</v>
      </c>
      <c r="D4" s="14" t="str">
        <f t="shared" ref="D4:D8" si="1">MID(C4,5,4)</f>
        <v>7632</v>
      </c>
      <c r="E4" s="14" t="str">
        <f t="shared" ref="E4:E8" si="2">RIGHT(C4,2)</f>
        <v>96</v>
      </c>
    </row>
    <row r="5" spans="1:5" x14ac:dyDescent="0.3">
      <c r="A5" s="14" t="s">
        <v>170</v>
      </c>
      <c r="B5" s="14" t="str">
        <f t="shared" si="0"/>
        <v>214</v>
      </c>
      <c r="C5" s="14" t="s">
        <v>176</v>
      </c>
      <c r="D5" s="14" t="str">
        <f t="shared" si="1"/>
        <v>9528</v>
      </c>
      <c r="E5" s="14" t="str">
        <f t="shared" si="2"/>
        <v>76</v>
      </c>
    </row>
    <row r="6" spans="1:5" x14ac:dyDescent="0.3">
      <c r="A6" s="14" t="s">
        <v>171</v>
      </c>
      <c r="B6" s="14" t="str">
        <f t="shared" si="0"/>
        <v>323</v>
      </c>
      <c r="C6" s="14" t="s">
        <v>177</v>
      </c>
      <c r="D6" s="14" t="str">
        <f t="shared" si="1"/>
        <v>7456</v>
      </c>
      <c r="E6" s="14" t="str">
        <f t="shared" si="2"/>
        <v>51</v>
      </c>
    </row>
    <row r="7" spans="1:5" x14ac:dyDescent="0.3">
      <c r="A7" s="14" t="s">
        <v>172</v>
      </c>
      <c r="B7" s="14" t="str">
        <f t="shared" si="0"/>
        <v>617</v>
      </c>
      <c r="C7" s="14" t="s">
        <v>178</v>
      </c>
      <c r="D7" s="14" t="str">
        <f t="shared" si="1"/>
        <v>5009</v>
      </c>
      <c r="E7" s="14" t="str">
        <f t="shared" si="2"/>
        <v>90</v>
      </c>
    </row>
    <row r="8" spans="1:5" x14ac:dyDescent="0.3">
      <c r="A8" s="14" t="s">
        <v>173</v>
      </c>
      <c r="B8" s="14" t="str">
        <f t="shared" si="0"/>
        <v>623</v>
      </c>
      <c r="C8" s="14" t="s">
        <v>179</v>
      </c>
      <c r="D8" s="14" t="str">
        <f t="shared" si="1"/>
        <v>3762</v>
      </c>
      <c r="E8" s="14" t="str">
        <f t="shared" si="2"/>
        <v>62</v>
      </c>
    </row>
    <row r="9" spans="1:5" x14ac:dyDescent="0.3">
      <c r="B9" s="11" t="s">
        <v>193</v>
      </c>
      <c r="C9" s="11"/>
      <c r="D9" s="11" t="s">
        <v>212</v>
      </c>
      <c r="E9" s="11" t="s">
        <v>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5DA8-CF72-42F5-A8A7-874CD46586E9}">
  <sheetPr codeName="Sheet9"/>
  <dimension ref="A2:P17"/>
  <sheetViews>
    <sheetView workbookViewId="0">
      <selection activeCell="I4" sqref="I4"/>
    </sheetView>
  </sheetViews>
  <sheetFormatPr defaultRowHeight="14.4" x14ac:dyDescent="0.3"/>
  <cols>
    <col min="1" max="1" width="9.88671875" bestFit="1" customWidth="1"/>
    <col min="2" max="2" width="13.88671875" customWidth="1"/>
    <col min="4" max="4" width="13.88671875" bestFit="1" customWidth="1"/>
    <col min="6" max="6" width="17.21875" bestFit="1" customWidth="1"/>
    <col min="7" max="7" width="11.44140625" bestFit="1" customWidth="1"/>
    <col min="8" max="8" width="17.88671875" bestFit="1" customWidth="1"/>
    <col min="9" max="9" width="22.77734375" bestFit="1" customWidth="1"/>
    <col min="13" max="13" width="9.88671875" bestFit="1" customWidth="1"/>
    <col min="14" max="14" width="10.33203125" bestFit="1" customWidth="1"/>
    <col min="15" max="16" width="15.44140625" bestFit="1" customWidth="1"/>
  </cols>
  <sheetData>
    <row r="2" spans="1:16" x14ac:dyDescent="0.3">
      <c r="A2" s="27" t="s">
        <v>213</v>
      </c>
      <c r="B2" s="27" t="s">
        <v>214</v>
      </c>
      <c r="C2" s="27" t="s">
        <v>215</v>
      </c>
      <c r="D2" s="27" t="s">
        <v>216</v>
      </c>
      <c r="E2" s="27" t="s">
        <v>217</v>
      </c>
      <c r="F2" s="27" t="s">
        <v>218</v>
      </c>
      <c r="G2" s="27" t="s">
        <v>219</v>
      </c>
      <c r="H2" s="27" t="s">
        <v>220</v>
      </c>
      <c r="I2" s="27" t="s">
        <v>221</v>
      </c>
    </row>
    <row r="3" spans="1:16" x14ac:dyDescent="0.3">
      <c r="A3" s="26">
        <v>42125</v>
      </c>
      <c r="B3" s="26">
        <v>42144</v>
      </c>
      <c r="C3" s="14">
        <f>MONTH(B3)</f>
        <v>5</v>
      </c>
      <c r="D3" s="14">
        <f>DAY(B3)</f>
        <v>20</v>
      </c>
      <c r="E3" s="14">
        <f>YEAR(B3)</f>
        <v>2015</v>
      </c>
      <c r="F3" s="26">
        <f>B3+7</f>
        <v>42151</v>
      </c>
      <c r="G3" s="28">
        <f ca="1">TODAY()</f>
        <v>45507</v>
      </c>
      <c r="H3" s="29">
        <f ca="1">NOW()</f>
        <v>45507.269559259257</v>
      </c>
      <c r="I3" s="14">
        <f>DAYS360(A3,B3)</f>
        <v>19</v>
      </c>
      <c r="M3" s="48"/>
      <c r="N3" s="74"/>
      <c r="O3" s="102"/>
      <c r="P3" s="102"/>
    </row>
    <row r="4" spans="1:16" x14ac:dyDescent="0.3">
      <c r="A4" s="26">
        <v>42082</v>
      </c>
      <c r="B4" s="26">
        <v>42141</v>
      </c>
      <c r="C4" s="14">
        <f t="shared" ref="C4:C8" si="0">MONTH(B4)</f>
        <v>5</v>
      </c>
      <c r="D4" s="14">
        <f t="shared" ref="D4:D8" si="1">DAY(B4)</f>
        <v>17</v>
      </c>
      <c r="E4" s="14">
        <f t="shared" ref="E4:E8" si="2">YEAR(B4)</f>
        <v>2015</v>
      </c>
      <c r="F4" s="26">
        <f t="shared" ref="F4:F8" si="3">B4+7</f>
        <v>42148</v>
      </c>
      <c r="G4" s="28">
        <f t="shared" ref="G4:G8" ca="1" si="4">TODAY()</f>
        <v>45507</v>
      </c>
      <c r="H4" s="29">
        <f t="shared" ref="H4:H8" ca="1" si="5">NOW()</f>
        <v>45507.269559259257</v>
      </c>
      <c r="I4" s="14">
        <f t="shared" ref="I4:I8" si="6">DAYS360(A4,B4)</f>
        <v>58</v>
      </c>
    </row>
    <row r="5" spans="1:16" x14ac:dyDescent="0.3">
      <c r="A5" s="26">
        <v>42021</v>
      </c>
      <c r="B5" s="26">
        <v>42170</v>
      </c>
      <c r="C5" s="14">
        <f t="shared" si="0"/>
        <v>6</v>
      </c>
      <c r="D5" s="14">
        <f t="shared" si="1"/>
        <v>15</v>
      </c>
      <c r="E5" s="14">
        <f t="shared" si="2"/>
        <v>2015</v>
      </c>
      <c r="F5" s="26">
        <f t="shared" si="3"/>
        <v>42177</v>
      </c>
      <c r="G5" s="28">
        <f t="shared" ca="1" si="4"/>
        <v>45507</v>
      </c>
      <c r="H5" s="29">
        <f t="shared" ca="1" si="5"/>
        <v>45507.269559259257</v>
      </c>
      <c r="I5" s="14">
        <f t="shared" si="6"/>
        <v>148</v>
      </c>
    </row>
    <row r="6" spans="1:16" x14ac:dyDescent="0.3">
      <c r="A6" s="26">
        <v>42139</v>
      </c>
      <c r="B6" s="26">
        <v>42144</v>
      </c>
      <c r="C6" s="14">
        <f t="shared" si="0"/>
        <v>5</v>
      </c>
      <c r="D6" s="14">
        <f t="shared" si="1"/>
        <v>20</v>
      </c>
      <c r="E6" s="14">
        <f t="shared" si="2"/>
        <v>2015</v>
      </c>
      <c r="F6" s="26">
        <f t="shared" si="3"/>
        <v>42151</v>
      </c>
      <c r="G6" s="28">
        <f t="shared" ca="1" si="4"/>
        <v>45507</v>
      </c>
      <c r="H6" s="29">
        <f t="shared" ca="1" si="5"/>
        <v>45507.269559259257</v>
      </c>
      <c r="I6" s="14">
        <f t="shared" si="6"/>
        <v>5</v>
      </c>
    </row>
    <row r="7" spans="1:16" x14ac:dyDescent="0.3">
      <c r="A7" s="26">
        <v>42130</v>
      </c>
      <c r="B7" s="26">
        <v>42143</v>
      </c>
      <c r="C7" s="14">
        <f t="shared" si="0"/>
        <v>5</v>
      </c>
      <c r="D7" s="14">
        <f t="shared" si="1"/>
        <v>19</v>
      </c>
      <c r="E7" s="14">
        <f t="shared" si="2"/>
        <v>2015</v>
      </c>
      <c r="F7" s="26">
        <f t="shared" si="3"/>
        <v>42150</v>
      </c>
      <c r="G7" s="28">
        <f t="shared" ca="1" si="4"/>
        <v>45507</v>
      </c>
      <c r="H7" s="29">
        <f t="shared" ca="1" si="5"/>
        <v>45507.269559259257</v>
      </c>
      <c r="I7" s="14">
        <f t="shared" si="6"/>
        <v>13</v>
      </c>
    </row>
    <row r="8" spans="1:16" x14ac:dyDescent="0.3">
      <c r="A8" s="26">
        <v>42144</v>
      </c>
      <c r="B8" s="26">
        <v>42188</v>
      </c>
      <c r="C8" s="14">
        <f t="shared" si="0"/>
        <v>7</v>
      </c>
      <c r="D8" s="14">
        <f t="shared" si="1"/>
        <v>3</v>
      </c>
      <c r="E8" s="14">
        <f t="shared" si="2"/>
        <v>2015</v>
      </c>
      <c r="F8" s="26">
        <f t="shared" si="3"/>
        <v>42195</v>
      </c>
      <c r="G8" s="28">
        <f t="shared" ca="1" si="4"/>
        <v>45507</v>
      </c>
      <c r="H8" s="29">
        <f t="shared" ca="1" si="5"/>
        <v>45507.269559259257</v>
      </c>
      <c r="I8" s="14">
        <f t="shared" si="6"/>
        <v>43</v>
      </c>
    </row>
    <row r="9" spans="1:16" x14ac:dyDescent="0.3">
      <c r="C9" s="5" t="s">
        <v>227</v>
      </c>
      <c r="D9" s="5" t="s">
        <v>226</v>
      </c>
      <c r="E9" s="5" t="s">
        <v>225</v>
      </c>
      <c r="F9" s="5" t="s">
        <v>224</v>
      </c>
      <c r="G9" s="5" t="s">
        <v>223</v>
      </c>
      <c r="H9" s="5" t="s">
        <v>222</v>
      </c>
      <c r="I9" s="5" t="s">
        <v>235</v>
      </c>
    </row>
    <row r="13" spans="1:16" x14ac:dyDescent="0.3">
      <c r="A13" s="27" t="s">
        <v>213</v>
      </c>
      <c r="B13" s="27" t="s">
        <v>228</v>
      </c>
      <c r="C13" s="27" t="s">
        <v>229</v>
      </c>
      <c r="D13" s="27" t="s">
        <v>230</v>
      </c>
    </row>
    <row r="14" spans="1:16" x14ac:dyDescent="0.3">
      <c r="A14" s="26">
        <v>42014</v>
      </c>
      <c r="B14" s="26">
        <v>42055</v>
      </c>
      <c r="C14" s="26">
        <v>42016</v>
      </c>
      <c r="D14" s="14">
        <f>NETWORKDAYS(A14,B14,C14:C16)</f>
        <v>27</v>
      </c>
    </row>
    <row r="15" spans="1:16" x14ac:dyDescent="0.3">
      <c r="A15" s="14"/>
      <c r="B15" s="14"/>
      <c r="C15" s="26">
        <v>42024</v>
      </c>
      <c r="D15" s="14"/>
    </row>
    <row r="16" spans="1:16" x14ac:dyDescent="0.3">
      <c r="A16" s="14"/>
      <c r="B16" s="14"/>
      <c r="C16" s="26">
        <v>42032</v>
      </c>
      <c r="D16" s="14"/>
    </row>
    <row r="17" spans="4:4" x14ac:dyDescent="0.3">
      <c r="D17" s="11" t="s">
        <v>231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6006B-8A78-4F53-997A-52793D58ABC9}">
  <sheetPr codeName="Sheet10"/>
  <dimension ref="A2:C15"/>
  <sheetViews>
    <sheetView workbookViewId="0">
      <selection activeCell="A16" sqref="A16"/>
    </sheetView>
  </sheetViews>
  <sheetFormatPr defaultRowHeight="14.4" x14ac:dyDescent="0.3"/>
  <cols>
    <col min="1" max="1" width="12.88671875" customWidth="1"/>
    <col min="2" max="2" width="9.6640625" bestFit="1" customWidth="1"/>
    <col min="3" max="3" width="10.33203125" bestFit="1" customWidth="1"/>
  </cols>
  <sheetData>
    <row r="2" spans="1:3" x14ac:dyDescent="0.3">
      <c r="A2" s="11" t="s">
        <v>232</v>
      </c>
    </row>
    <row r="3" spans="1:3" x14ac:dyDescent="0.3">
      <c r="A3" s="26">
        <v>44216</v>
      </c>
      <c r="B3" s="14">
        <f>WEEKNUM(A3)</f>
        <v>4</v>
      </c>
      <c r="C3" s="11" t="s">
        <v>1058</v>
      </c>
    </row>
    <row r="5" spans="1:3" x14ac:dyDescent="0.3">
      <c r="A5" s="11" t="s">
        <v>233</v>
      </c>
    </row>
    <row r="6" spans="1:3" x14ac:dyDescent="0.3">
      <c r="A6" s="14">
        <f>WEEKDAY(A3)</f>
        <v>4</v>
      </c>
      <c r="B6" s="11" t="s">
        <v>233</v>
      </c>
    </row>
    <row r="8" spans="1:3" x14ac:dyDescent="0.3">
      <c r="A8" s="11" t="s">
        <v>233</v>
      </c>
    </row>
    <row r="9" spans="1:3" x14ac:dyDescent="0.3">
      <c r="A9" s="14" t="str">
        <f>IF(WEEKDAY(A3,2)&gt;=6, "Weekend", "Weekday")</f>
        <v>Weekday</v>
      </c>
      <c r="B9" s="11" t="s">
        <v>1025</v>
      </c>
    </row>
    <row r="11" spans="1:3" x14ac:dyDescent="0.3">
      <c r="A11" s="11" t="s">
        <v>234</v>
      </c>
    </row>
    <row r="12" spans="1:3" x14ac:dyDescent="0.3">
      <c r="A12" s="26">
        <v>44201</v>
      </c>
      <c r="B12" s="26">
        <v>45363</v>
      </c>
    </row>
    <row r="13" spans="1:3" x14ac:dyDescent="0.3">
      <c r="A13" s="14">
        <f>DATEDIF(A12,B12,"M")</f>
        <v>38</v>
      </c>
      <c r="B13" s="14" t="s">
        <v>1026</v>
      </c>
    </row>
    <row r="14" spans="1:3" x14ac:dyDescent="0.3">
      <c r="A14" s="11" t="s">
        <v>234</v>
      </c>
    </row>
    <row r="15" spans="1:3" x14ac:dyDescent="0.3">
      <c r="A15" t="str">
        <f>DATEDIF(A12,B12,"D")&amp; "Days" &amp;  DATEDIF(A12,B12, "M") &amp; "Months" &amp; DATEDIF(A12,B12,"Y") &amp;  "Years"</f>
        <v>1162Days38Months3Years</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28F0-1317-4C09-955C-0D0707709A82}">
  <sheetPr codeName="Sheet11"/>
  <dimension ref="B1:K34"/>
  <sheetViews>
    <sheetView topLeftCell="A11" workbookViewId="0">
      <selection activeCell="E25" sqref="E25"/>
    </sheetView>
  </sheetViews>
  <sheetFormatPr defaultRowHeight="14.4" x14ac:dyDescent="0.3"/>
  <cols>
    <col min="2" max="2" width="22.109375" customWidth="1"/>
    <col min="3" max="3" width="19.21875" customWidth="1"/>
    <col min="4" max="4" width="33.44140625" customWidth="1"/>
    <col min="8" max="8" width="17.44140625" customWidth="1"/>
    <col min="9" max="9" width="18.21875" bestFit="1" customWidth="1"/>
    <col min="10" max="10" width="16.5546875" customWidth="1"/>
    <col min="11" max="11" width="15.109375" customWidth="1"/>
  </cols>
  <sheetData>
    <row r="1" spans="2:11" x14ac:dyDescent="0.3">
      <c r="C1" s="5" t="s">
        <v>236</v>
      </c>
      <c r="I1" s="5" t="s">
        <v>236</v>
      </c>
    </row>
    <row r="2" spans="2:11" x14ac:dyDescent="0.3">
      <c r="B2" s="116" t="s">
        <v>236</v>
      </c>
      <c r="C2" s="116"/>
      <c r="D2" s="116"/>
      <c r="H2" s="13" t="s">
        <v>126</v>
      </c>
      <c r="I2" s="13" t="s">
        <v>127</v>
      </c>
      <c r="J2" s="13" t="s">
        <v>250</v>
      </c>
      <c r="K2" s="13" t="s">
        <v>251</v>
      </c>
    </row>
    <row r="3" spans="2:11" x14ac:dyDescent="0.3">
      <c r="B3" s="27" t="s">
        <v>237</v>
      </c>
      <c r="C3" s="27" t="s">
        <v>238</v>
      </c>
      <c r="D3" s="27" t="s">
        <v>40</v>
      </c>
      <c r="H3" s="3" t="s">
        <v>252</v>
      </c>
      <c r="I3" s="3" t="s">
        <v>262</v>
      </c>
      <c r="J3" s="3">
        <v>15</v>
      </c>
      <c r="K3" s="3" t="str">
        <f>VLOOKUP(J3,Label,2,1)</f>
        <v>Student</v>
      </c>
    </row>
    <row r="4" spans="2:11" x14ac:dyDescent="0.3">
      <c r="B4" s="3">
        <v>101</v>
      </c>
      <c r="C4" s="3" t="s">
        <v>239</v>
      </c>
      <c r="D4" s="3" t="s">
        <v>244</v>
      </c>
      <c r="H4" s="3" t="s">
        <v>253</v>
      </c>
      <c r="I4" s="3" t="s">
        <v>263</v>
      </c>
      <c r="J4" s="3">
        <v>36</v>
      </c>
      <c r="K4" s="3" t="str">
        <f t="shared" ref="K4:K12" si="0">VLOOKUP(J4,Label,2,1)</f>
        <v>Mature</v>
      </c>
    </row>
    <row r="5" spans="2:11" x14ac:dyDescent="0.3">
      <c r="B5" s="3">
        <v>102</v>
      </c>
      <c r="C5" s="3" t="s">
        <v>240</v>
      </c>
      <c r="D5" s="3" t="s">
        <v>49</v>
      </c>
      <c r="H5" s="3" t="s">
        <v>254</v>
      </c>
      <c r="I5" s="3" t="s">
        <v>264</v>
      </c>
      <c r="J5" s="3">
        <v>19</v>
      </c>
      <c r="K5" s="3" t="str">
        <f t="shared" si="0"/>
        <v>Young</v>
      </c>
    </row>
    <row r="6" spans="2:11" x14ac:dyDescent="0.3">
      <c r="B6" s="3">
        <v>103</v>
      </c>
      <c r="C6" s="3" t="s">
        <v>241</v>
      </c>
      <c r="D6" s="3" t="s">
        <v>50</v>
      </c>
      <c r="H6" s="3" t="s">
        <v>255</v>
      </c>
      <c r="I6" s="3" t="s">
        <v>265</v>
      </c>
      <c r="J6" s="3">
        <v>27</v>
      </c>
      <c r="K6" s="3" t="str">
        <f t="shared" si="0"/>
        <v>Mature</v>
      </c>
    </row>
    <row r="7" spans="2:11" x14ac:dyDescent="0.3">
      <c r="B7" s="3">
        <v>104</v>
      </c>
      <c r="C7" s="3" t="s">
        <v>242</v>
      </c>
      <c r="D7" s="3" t="s">
        <v>245</v>
      </c>
      <c r="H7" s="3" t="s">
        <v>256</v>
      </c>
      <c r="I7" s="3" t="s">
        <v>266</v>
      </c>
      <c r="J7" s="3">
        <v>36</v>
      </c>
      <c r="K7" s="3" t="str">
        <f t="shared" si="0"/>
        <v>Mature</v>
      </c>
    </row>
    <row r="8" spans="2:11" x14ac:dyDescent="0.3">
      <c r="B8" s="3">
        <v>105</v>
      </c>
      <c r="C8" s="3" t="s">
        <v>243</v>
      </c>
      <c r="D8" s="3" t="s">
        <v>246</v>
      </c>
      <c r="H8" s="3" t="s">
        <v>257</v>
      </c>
      <c r="I8" s="3" t="s">
        <v>267</v>
      </c>
      <c r="J8" s="3">
        <v>48</v>
      </c>
      <c r="K8" s="3" t="str">
        <f t="shared" si="0"/>
        <v>Senior</v>
      </c>
    </row>
    <row r="9" spans="2:11" x14ac:dyDescent="0.3">
      <c r="B9" s="3">
        <v>106</v>
      </c>
      <c r="C9" s="3" t="s">
        <v>239</v>
      </c>
      <c r="D9" s="3" t="s">
        <v>247</v>
      </c>
      <c r="H9" s="3" t="s">
        <v>258</v>
      </c>
      <c r="I9" s="3" t="s">
        <v>268</v>
      </c>
      <c r="J9" s="3">
        <v>57</v>
      </c>
      <c r="K9" s="3" t="str">
        <f t="shared" si="0"/>
        <v>Senior</v>
      </c>
    </row>
    <row r="10" spans="2:11" x14ac:dyDescent="0.3">
      <c r="B10" s="3">
        <v>107</v>
      </c>
      <c r="C10" s="3" t="s">
        <v>242</v>
      </c>
      <c r="D10" s="3" t="s">
        <v>248</v>
      </c>
      <c r="H10" s="3" t="s">
        <v>259</v>
      </c>
      <c r="I10" s="3" t="s">
        <v>269</v>
      </c>
      <c r="J10" s="3">
        <v>39</v>
      </c>
      <c r="K10" s="3" t="str">
        <f t="shared" si="0"/>
        <v>Senior</v>
      </c>
    </row>
    <row r="11" spans="2:11" x14ac:dyDescent="0.3">
      <c r="B11" s="3">
        <v>108</v>
      </c>
      <c r="C11" s="3" t="s">
        <v>241</v>
      </c>
      <c r="D11" s="3" t="s">
        <v>249</v>
      </c>
      <c r="H11" s="3" t="s">
        <v>260</v>
      </c>
      <c r="I11" s="3" t="s">
        <v>270</v>
      </c>
      <c r="J11" s="3">
        <v>40</v>
      </c>
      <c r="K11" s="3" t="str">
        <f t="shared" si="0"/>
        <v>Senior</v>
      </c>
    </row>
    <row r="12" spans="2:11" x14ac:dyDescent="0.3">
      <c r="B12" s="3">
        <v>109</v>
      </c>
      <c r="C12" s="3" t="s">
        <v>240</v>
      </c>
      <c r="D12" s="3" t="s">
        <v>244</v>
      </c>
      <c r="H12" s="3" t="s">
        <v>261</v>
      </c>
      <c r="I12" s="3" t="s">
        <v>271</v>
      </c>
      <c r="J12" s="3">
        <v>62</v>
      </c>
      <c r="K12" s="3" t="str">
        <f t="shared" si="0"/>
        <v>Senior Citizen</v>
      </c>
    </row>
    <row r="13" spans="2:11" x14ac:dyDescent="0.3">
      <c r="B13" s="3">
        <v>110</v>
      </c>
      <c r="C13" s="3" t="s">
        <v>243</v>
      </c>
      <c r="D13" s="3" t="s">
        <v>49</v>
      </c>
      <c r="K13" s="5" t="s">
        <v>328</v>
      </c>
    </row>
    <row r="15" spans="2:11" x14ac:dyDescent="0.3">
      <c r="B15" s="1"/>
      <c r="I15" s="13" t="s">
        <v>250</v>
      </c>
      <c r="J15" s="13" t="s">
        <v>251</v>
      </c>
    </row>
    <row r="16" spans="2:11" x14ac:dyDescent="0.3">
      <c r="B16" s="27" t="s">
        <v>237</v>
      </c>
      <c r="C16" s="27" t="s">
        <v>238</v>
      </c>
      <c r="D16" s="27" t="s">
        <v>40</v>
      </c>
      <c r="I16" s="3">
        <v>15</v>
      </c>
      <c r="J16" s="3" t="s">
        <v>272</v>
      </c>
    </row>
    <row r="17" spans="2:10" x14ac:dyDescent="0.3">
      <c r="B17" s="3">
        <v>106</v>
      </c>
      <c r="C17" s="3" t="str">
        <f>VLOOKUP(B17,B3:D13,2,0)</f>
        <v>Dell</v>
      </c>
      <c r="D17" s="3" t="str">
        <f>VLOOKUP(B17,B3:D13,3,0)</f>
        <v>RAM</v>
      </c>
      <c r="I17" s="3">
        <v>18</v>
      </c>
      <c r="J17" s="3" t="s">
        <v>273</v>
      </c>
    </row>
    <row r="18" spans="2:10" x14ac:dyDescent="0.3">
      <c r="B18" s="1"/>
      <c r="D18" s="5"/>
      <c r="I18" s="3">
        <v>21</v>
      </c>
      <c r="J18" s="3" t="s">
        <v>274</v>
      </c>
    </row>
    <row r="19" spans="2:10" x14ac:dyDescent="0.3">
      <c r="I19" s="3">
        <v>39</v>
      </c>
      <c r="J19" s="3" t="s">
        <v>275</v>
      </c>
    </row>
    <row r="20" spans="2:10" x14ac:dyDescent="0.3">
      <c r="B20" s="117" t="s">
        <v>329</v>
      </c>
      <c r="C20" s="117"/>
      <c r="D20" s="117"/>
      <c r="E20" s="117"/>
      <c r="I20" s="3">
        <v>60</v>
      </c>
      <c r="J20" s="3" t="s">
        <v>276</v>
      </c>
    </row>
    <row r="22" spans="2:10" x14ac:dyDescent="0.3">
      <c r="C22" s="5" t="s">
        <v>236</v>
      </c>
    </row>
    <row r="23" spans="2:10" x14ac:dyDescent="0.3">
      <c r="B23" s="13" t="s">
        <v>0</v>
      </c>
      <c r="C23" s="13" t="s">
        <v>313</v>
      </c>
      <c r="D23" s="13" t="s">
        <v>314</v>
      </c>
      <c r="E23" s="13" t="s">
        <v>315</v>
      </c>
      <c r="F23" s="11"/>
      <c r="G23" s="11"/>
      <c r="H23" s="13" t="s">
        <v>326</v>
      </c>
      <c r="I23" s="13" t="s">
        <v>327</v>
      </c>
    </row>
    <row r="24" spans="2:10" x14ac:dyDescent="0.3">
      <c r="B24" s="3">
        <v>1</v>
      </c>
      <c r="C24" s="3" t="s">
        <v>316</v>
      </c>
      <c r="D24" s="3">
        <v>15</v>
      </c>
      <c r="E24" s="3">
        <f>VLOOKUP(D24,Bonus,2,1)</f>
        <v>50</v>
      </c>
      <c r="H24" s="3">
        <v>0</v>
      </c>
      <c r="I24" s="3">
        <v>25</v>
      </c>
    </row>
    <row r="25" spans="2:10" x14ac:dyDescent="0.3">
      <c r="B25" s="3">
        <v>2</v>
      </c>
      <c r="C25" s="3" t="s">
        <v>317</v>
      </c>
      <c r="D25" s="3">
        <v>23</v>
      </c>
      <c r="E25" s="3">
        <f t="shared" ref="E25:E33" si="1">VLOOKUP(D25,Bonus,2,1)</f>
        <v>75</v>
      </c>
      <c r="H25" s="3">
        <v>10</v>
      </c>
      <c r="I25" s="3">
        <v>50</v>
      </c>
    </row>
    <row r="26" spans="2:10" x14ac:dyDescent="0.3">
      <c r="B26" s="3">
        <v>3</v>
      </c>
      <c r="C26" s="3" t="s">
        <v>318</v>
      </c>
      <c r="D26" s="3">
        <v>41</v>
      </c>
      <c r="E26" s="3">
        <f t="shared" si="1"/>
        <v>125</v>
      </c>
      <c r="H26" s="3">
        <v>20</v>
      </c>
      <c r="I26" s="3">
        <v>75</v>
      </c>
    </row>
    <row r="27" spans="2:10" x14ac:dyDescent="0.3">
      <c r="B27" s="3">
        <v>4</v>
      </c>
      <c r="C27" s="3" t="s">
        <v>319</v>
      </c>
      <c r="D27" s="3">
        <v>18</v>
      </c>
      <c r="E27" s="3">
        <f t="shared" si="1"/>
        <v>50</v>
      </c>
      <c r="H27" s="3">
        <v>30</v>
      </c>
      <c r="I27" s="3">
        <v>100</v>
      </c>
    </row>
    <row r="28" spans="2:10" x14ac:dyDescent="0.3">
      <c r="B28" s="3">
        <v>5</v>
      </c>
      <c r="C28" s="3" t="s">
        <v>320</v>
      </c>
      <c r="D28" s="3">
        <v>7</v>
      </c>
      <c r="E28" s="3">
        <f t="shared" si="1"/>
        <v>25</v>
      </c>
      <c r="H28" s="3">
        <v>40</v>
      </c>
      <c r="I28" s="3">
        <v>125</v>
      </c>
    </row>
    <row r="29" spans="2:10" x14ac:dyDescent="0.3">
      <c r="B29" s="3">
        <v>6</v>
      </c>
      <c r="C29" s="3" t="s">
        <v>321</v>
      </c>
      <c r="D29" s="3">
        <v>51</v>
      </c>
      <c r="E29" s="3">
        <f t="shared" si="1"/>
        <v>150</v>
      </c>
      <c r="H29" s="3">
        <v>50</v>
      </c>
      <c r="I29" s="3">
        <v>150</v>
      </c>
    </row>
    <row r="30" spans="2:10" x14ac:dyDescent="0.3">
      <c r="B30" s="3">
        <v>7</v>
      </c>
      <c r="C30" s="3" t="s">
        <v>322</v>
      </c>
      <c r="D30" s="3">
        <v>22</v>
      </c>
      <c r="E30" s="3">
        <f t="shared" si="1"/>
        <v>75</v>
      </c>
    </row>
    <row r="31" spans="2:10" x14ac:dyDescent="0.3">
      <c r="B31" s="3">
        <v>8</v>
      </c>
      <c r="C31" s="3" t="s">
        <v>323</v>
      </c>
      <c r="D31" s="3">
        <v>19</v>
      </c>
      <c r="E31" s="3">
        <f t="shared" si="1"/>
        <v>50</v>
      </c>
    </row>
    <row r="32" spans="2:10" x14ac:dyDescent="0.3">
      <c r="B32" s="3">
        <v>9</v>
      </c>
      <c r="C32" s="3" t="s">
        <v>324</v>
      </c>
      <c r="D32" s="3">
        <v>37</v>
      </c>
      <c r="E32" s="3">
        <f t="shared" si="1"/>
        <v>100</v>
      </c>
    </row>
    <row r="33" spans="2:5" x14ac:dyDescent="0.3">
      <c r="B33" s="3">
        <v>10</v>
      </c>
      <c r="C33" s="3" t="s">
        <v>325</v>
      </c>
      <c r="D33" s="3">
        <v>34</v>
      </c>
      <c r="E33" s="3">
        <f t="shared" si="1"/>
        <v>100</v>
      </c>
    </row>
    <row r="34" spans="2:5" x14ac:dyDescent="0.3">
      <c r="D34" s="83"/>
      <c r="E34" s="1"/>
    </row>
  </sheetData>
  <mergeCells count="2">
    <mergeCell ref="B2:D2"/>
    <mergeCell ref="B20:E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47135-CF22-478A-AEB5-BA0543495DEA}">
  <sheetPr codeName="Sheet12"/>
  <dimension ref="A1:P15"/>
  <sheetViews>
    <sheetView workbookViewId="0">
      <selection activeCell="A18" sqref="A18"/>
    </sheetView>
  </sheetViews>
  <sheetFormatPr defaultRowHeight="14.4" x14ac:dyDescent="0.3"/>
  <cols>
    <col min="2" max="2" width="15.44140625" bestFit="1" customWidth="1"/>
    <col min="6" max="6" width="13.5546875" bestFit="1" customWidth="1"/>
    <col min="7" max="7" width="12.21875" bestFit="1" customWidth="1"/>
    <col min="9" max="9" width="20.109375" bestFit="1" customWidth="1"/>
    <col min="11" max="11" width="13.33203125" bestFit="1" customWidth="1"/>
    <col min="16" max="16" width="12.44140625" bestFit="1" customWidth="1"/>
  </cols>
  <sheetData>
    <row r="1" spans="1:16" x14ac:dyDescent="0.3">
      <c r="A1" s="118" t="s">
        <v>312</v>
      </c>
      <c r="B1" s="118"/>
      <c r="C1" s="118"/>
      <c r="D1" s="118"/>
      <c r="E1" s="118"/>
      <c r="F1" s="118"/>
      <c r="G1" s="118"/>
      <c r="M1" s="5" t="s">
        <v>236</v>
      </c>
    </row>
    <row r="2" spans="1:16" x14ac:dyDescent="0.3">
      <c r="A2" s="30" t="s">
        <v>277</v>
      </c>
      <c r="B2" s="30" t="s">
        <v>278</v>
      </c>
      <c r="C2" s="30" t="s">
        <v>279</v>
      </c>
      <c r="D2" s="30" t="s">
        <v>280</v>
      </c>
      <c r="E2" s="30" t="s">
        <v>281</v>
      </c>
      <c r="F2" s="30" t="s">
        <v>282</v>
      </c>
      <c r="G2" s="30" t="s">
        <v>283</v>
      </c>
      <c r="I2" s="39" t="s">
        <v>1059</v>
      </c>
      <c r="J2" s="30" t="s">
        <v>277</v>
      </c>
      <c r="K2" s="30" t="s">
        <v>278</v>
      </c>
      <c r="L2" s="30" t="s">
        <v>279</v>
      </c>
      <c r="M2" s="30" t="s">
        <v>280</v>
      </c>
      <c r="N2" s="30" t="s">
        <v>281</v>
      </c>
      <c r="O2" s="30" t="s">
        <v>282</v>
      </c>
      <c r="P2" s="30" t="s">
        <v>283</v>
      </c>
    </row>
    <row r="3" spans="1:16" x14ac:dyDescent="0.3">
      <c r="A3" s="3" t="s">
        <v>284</v>
      </c>
      <c r="B3" s="3" t="s">
        <v>297</v>
      </c>
      <c r="C3" s="3">
        <v>6</v>
      </c>
      <c r="D3" s="3">
        <v>8</v>
      </c>
      <c r="E3" s="3">
        <v>7</v>
      </c>
      <c r="F3" s="3">
        <v>9</v>
      </c>
      <c r="G3" s="3" t="s">
        <v>310</v>
      </c>
      <c r="I3" s="3" t="s">
        <v>289</v>
      </c>
      <c r="J3" t="str">
        <f>VLOOKUP($I$3,$A$2:$G$15,COLUMNS($A$2:A2),0)</f>
        <v>B55/993</v>
      </c>
      <c r="K3" t="str">
        <f>VLOOKUP($I$3,$A$2:$G$15,COLUMNS($A$2:B2),0)</f>
        <v>Poppy Close</v>
      </c>
      <c r="L3">
        <f>VLOOKUP($I$3,$A$2:$G$15,COLUMNS($A$2:C2),0)</f>
        <v>8</v>
      </c>
      <c r="M3">
        <f>VLOOKUP($I$3,$A$2:$G$15,COLUMNS($A$2:D2),0)</f>
        <v>6</v>
      </c>
      <c r="N3">
        <f>VLOOKUP($I$3,$A$2:$G$15,COLUMNS($A$2:E2),0)</f>
        <v>8</v>
      </c>
      <c r="O3">
        <f>VLOOKUP($I$3,$A$2:$G$15,COLUMNS($A$2:F2),0)</f>
        <v>8</v>
      </c>
      <c r="P3" t="str">
        <f>VLOOKUP($I$3,$A$2:$G$15,COLUMNS($A$2:G2),0)</f>
        <v>Fail</v>
      </c>
    </row>
    <row r="4" spans="1:16" x14ac:dyDescent="0.3">
      <c r="A4" s="3" t="s">
        <v>285</v>
      </c>
      <c r="B4" s="3" t="s">
        <v>298</v>
      </c>
      <c r="C4" s="3">
        <v>8</v>
      </c>
      <c r="D4" s="3">
        <v>9</v>
      </c>
      <c r="E4" s="3">
        <v>8</v>
      </c>
      <c r="F4" s="3">
        <v>9</v>
      </c>
      <c r="G4" s="3" t="s">
        <v>311</v>
      </c>
      <c r="I4" s="3" t="s">
        <v>286</v>
      </c>
      <c r="J4" t="str">
        <f>VLOOKUP($I$4,Mydata,COLUMNS($A$2:A2),0)</f>
        <v>B66/997</v>
      </c>
      <c r="K4" t="str">
        <f>VLOOKUP($I$4,Mydata,COLUMNS($A$2:B2),0)</f>
        <v>Emily Lane</v>
      </c>
      <c r="L4">
        <f>VLOOKUP($I$4,Mydata,COLUMNS($A$2:C2),0)</f>
        <v>5</v>
      </c>
      <c r="M4">
        <f>VLOOKUP($I$4,Mydata,COLUMNS($A$2:D2),0)</f>
        <v>7</v>
      </c>
      <c r="N4">
        <f>VLOOKUP($I$4,Mydata,COLUMNS($A$2:E2),0)</f>
        <v>7</v>
      </c>
      <c r="O4">
        <f>VLOOKUP($I$4,Mydata,COLUMNS($A$2:F2),0)</f>
        <v>8</v>
      </c>
      <c r="P4" t="str">
        <f>VLOOKUP($I$4,Mydata,COLUMNS($A$2:G2),0)</f>
        <v>Fail</v>
      </c>
    </row>
    <row r="5" spans="1:16" x14ac:dyDescent="0.3">
      <c r="A5" s="3" t="s">
        <v>286</v>
      </c>
      <c r="B5" s="3" t="s">
        <v>299</v>
      </c>
      <c r="C5" s="3">
        <v>5</v>
      </c>
      <c r="D5" s="3">
        <v>7</v>
      </c>
      <c r="E5" s="3">
        <v>7</v>
      </c>
      <c r="F5" s="3">
        <v>8</v>
      </c>
      <c r="G5" s="3" t="s">
        <v>310</v>
      </c>
      <c r="I5" s="3" t="s">
        <v>289</v>
      </c>
      <c r="J5" t="str">
        <f>VLOOKUP($I$5,Mydata,COLUMNS($A$2:A2),0)</f>
        <v>B55/993</v>
      </c>
      <c r="K5" t="str">
        <f>VLOOKUP($I$5,Mydata,COLUMNS($A$2:B2),0)</f>
        <v>Poppy Close</v>
      </c>
      <c r="L5">
        <f>VLOOKUP($I$5,Mydata,COLUMNS($A$2:C2),0)</f>
        <v>8</v>
      </c>
      <c r="M5">
        <f>VLOOKUP($I$5,Mydata,COLUMNS($A$2:D2),0)</f>
        <v>6</v>
      </c>
      <c r="N5">
        <f>VLOOKUP($I$5,Mydata,COLUMNS($A$2:E2),0)</f>
        <v>8</v>
      </c>
      <c r="O5">
        <f>VLOOKUP($I$5,Mydata,COLUMNS($A$2:F2),0)</f>
        <v>8</v>
      </c>
      <c r="P5" t="str">
        <f>VLOOKUP($I$5,Mydata,COLUMNS($A$2:G2),0)</f>
        <v>Fail</v>
      </c>
    </row>
    <row r="6" spans="1:16" x14ac:dyDescent="0.3">
      <c r="A6" s="3" t="s">
        <v>287</v>
      </c>
      <c r="B6" s="3" t="s">
        <v>300</v>
      </c>
      <c r="C6" s="3">
        <v>9</v>
      </c>
      <c r="D6" s="3">
        <v>8</v>
      </c>
      <c r="E6" s="3">
        <v>8</v>
      </c>
      <c r="F6" s="3">
        <v>9</v>
      </c>
      <c r="G6" s="3" t="s">
        <v>311</v>
      </c>
    </row>
    <row r="7" spans="1:16" x14ac:dyDescent="0.3">
      <c r="A7" s="3" t="s">
        <v>288</v>
      </c>
      <c r="B7" s="3" t="s">
        <v>301</v>
      </c>
      <c r="C7" s="3">
        <v>7</v>
      </c>
      <c r="D7" s="3">
        <v>8</v>
      </c>
      <c r="E7" s="3">
        <v>7</v>
      </c>
      <c r="F7" s="3">
        <v>8</v>
      </c>
      <c r="G7" s="3" t="s">
        <v>310</v>
      </c>
      <c r="J7" s="30" t="s">
        <v>277</v>
      </c>
      <c r="K7" s="30" t="s">
        <v>278</v>
      </c>
      <c r="L7" s="30" t="s">
        <v>279</v>
      </c>
      <c r="M7" s="30" t="s">
        <v>280</v>
      </c>
      <c r="N7" s="30" t="s">
        <v>281</v>
      </c>
      <c r="O7" s="30" t="s">
        <v>282</v>
      </c>
      <c r="P7" s="30" t="s">
        <v>283</v>
      </c>
    </row>
    <row r="8" spans="1:16" ht="28.8" x14ac:dyDescent="0.3">
      <c r="A8" s="3" t="s">
        <v>289</v>
      </c>
      <c r="B8" s="3" t="s">
        <v>302</v>
      </c>
      <c r="C8" s="3">
        <v>8</v>
      </c>
      <c r="D8" s="3">
        <v>6</v>
      </c>
      <c r="E8" s="3">
        <v>8</v>
      </c>
      <c r="F8" s="3">
        <v>8</v>
      </c>
      <c r="G8" s="3" t="s">
        <v>310</v>
      </c>
      <c r="I8" s="111" t="s">
        <v>379</v>
      </c>
      <c r="J8" s="6" t="s">
        <v>287</v>
      </c>
      <c r="K8" s="38" t="str">
        <f t="shared" ref="K8:P8" si="0">VLOOKUP($J$8,Mydata,MATCH(B2,$A$2:$G$2,0),0)</f>
        <v>Grange Avenue</v>
      </c>
      <c r="L8" s="38">
        <f t="shared" si="0"/>
        <v>9</v>
      </c>
      <c r="M8" s="38">
        <f t="shared" si="0"/>
        <v>8</v>
      </c>
      <c r="N8" s="38">
        <f t="shared" si="0"/>
        <v>8</v>
      </c>
      <c r="O8" s="38">
        <f t="shared" si="0"/>
        <v>9</v>
      </c>
      <c r="P8" s="38" t="str">
        <f t="shared" si="0"/>
        <v>Pass</v>
      </c>
    </row>
    <row r="9" spans="1:16" x14ac:dyDescent="0.3">
      <c r="A9" s="3" t="s">
        <v>290</v>
      </c>
      <c r="B9" s="3" t="s">
        <v>303</v>
      </c>
      <c r="C9" s="3">
        <v>7</v>
      </c>
      <c r="D9" s="3">
        <v>8</v>
      </c>
      <c r="E9" s="3">
        <v>9</v>
      </c>
      <c r="F9" s="3">
        <v>8</v>
      </c>
      <c r="G9" s="3" t="s">
        <v>311</v>
      </c>
      <c r="I9" s="1"/>
      <c r="J9" s="1" t="str">
        <f>VLOOKUP($A$11,$A$3:$G$15, MATCH(A2,$A$2:$G$2,0),0)</f>
        <v>B54/889</v>
      </c>
      <c r="K9" s="1" t="str">
        <f>VLOOKUP($A$11,$A$3:$G$15, MATCH(B2,$A$2:$G$2,0),0)</f>
        <v>Leyton Drive</v>
      </c>
      <c r="L9" s="1">
        <f t="shared" ref="L9:P9" si="1">VLOOKUP($A$11,$A$3:$G$15, MATCH(C2,$A$2:$G$2,0),0)</f>
        <v>7</v>
      </c>
      <c r="M9" s="1">
        <f t="shared" si="1"/>
        <v>4</v>
      </c>
      <c r="N9" s="1">
        <f t="shared" si="1"/>
        <v>8</v>
      </c>
      <c r="O9" s="1">
        <f t="shared" si="1"/>
        <v>9</v>
      </c>
      <c r="P9" s="1" t="str">
        <f t="shared" si="1"/>
        <v>Fail</v>
      </c>
    </row>
    <row r="10" spans="1:16" x14ac:dyDescent="0.3">
      <c r="A10" s="3" t="s">
        <v>291</v>
      </c>
      <c r="B10" s="3" t="s">
        <v>304</v>
      </c>
      <c r="C10" s="3">
        <v>7</v>
      </c>
      <c r="D10" s="3">
        <v>6</v>
      </c>
      <c r="E10" s="3">
        <v>8</v>
      </c>
      <c r="F10" s="3">
        <v>2</v>
      </c>
      <c r="G10" s="3" t="s">
        <v>310</v>
      </c>
      <c r="J10" s="1" t="str">
        <f>VLOOKUP($A$13,$A$3:$G$15,MATCH(A2,$A$2:$G$2,0),0)</f>
        <v>B81/157</v>
      </c>
      <c r="K10" s="1" t="str">
        <f t="shared" ref="K10:P10" si="2">VLOOKUP($A$13,$A$3:$G$15,MATCH(B2,$A$2:$G$2,0),0)</f>
        <v>Langely Road</v>
      </c>
      <c r="L10" s="1">
        <f t="shared" si="2"/>
        <v>8</v>
      </c>
      <c r="M10" s="1">
        <f t="shared" si="2"/>
        <v>8</v>
      </c>
      <c r="N10" s="1">
        <f t="shared" si="2"/>
        <v>6</v>
      </c>
      <c r="O10" s="1">
        <f t="shared" si="2"/>
        <v>8</v>
      </c>
      <c r="P10" s="1" t="str">
        <f t="shared" si="2"/>
        <v>Fail</v>
      </c>
    </row>
    <row r="11" spans="1:16" x14ac:dyDescent="0.3">
      <c r="A11" s="3" t="s">
        <v>292</v>
      </c>
      <c r="B11" s="3" t="s">
        <v>305</v>
      </c>
      <c r="C11" s="3">
        <v>7</v>
      </c>
      <c r="D11" s="3">
        <v>4</v>
      </c>
      <c r="E11" s="3">
        <v>8</v>
      </c>
      <c r="F11" s="3">
        <v>9</v>
      </c>
      <c r="G11" s="3" t="s">
        <v>310</v>
      </c>
      <c r="J11" s="1" t="str">
        <f t="shared" ref="J11:P11" si="3">VLOOKUP($A$11,Mydata,MATCH(A2,$A$2:$G$2,0),0)</f>
        <v>B54/889</v>
      </c>
      <c r="K11" s="1" t="str">
        <f t="shared" si="3"/>
        <v>Leyton Drive</v>
      </c>
      <c r="L11" s="1">
        <f t="shared" si="3"/>
        <v>7</v>
      </c>
      <c r="M11" s="1">
        <f t="shared" si="3"/>
        <v>4</v>
      </c>
      <c r="N11" s="1">
        <f t="shared" si="3"/>
        <v>8</v>
      </c>
      <c r="O11" s="1">
        <f t="shared" si="3"/>
        <v>9</v>
      </c>
      <c r="P11" s="1" t="str">
        <f t="shared" si="3"/>
        <v>Fail</v>
      </c>
    </row>
    <row r="12" spans="1:16" x14ac:dyDescent="0.3">
      <c r="A12" s="3" t="s">
        <v>293</v>
      </c>
      <c r="B12" s="3" t="s">
        <v>306</v>
      </c>
      <c r="C12" s="3">
        <v>8</v>
      </c>
      <c r="D12" s="3">
        <v>8</v>
      </c>
      <c r="E12" s="3">
        <v>8</v>
      </c>
      <c r="F12" s="3">
        <v>9</v>
      </c>
      <c r="G12" s="3" t="s">
        <v>311</v>
      </c>
      <c r="J12" s="1" t="str">
        <f t="shared" ref="J12:P12" si="4">VLOOKUP($A$14,Mydata,MATCH(A2,$A$2:$G$2,0),0)</f>
        <v>B92/775</v>
      </c>
      <c r="K12" s="1" t="str">
        <f t="shared" si="4"/>
        <v>Arlington close</v>
      </c>
      <c r="L12" s="1">
        <f t="shared" si="4"/>
        <v>8</v>
      </c>
      <c r="M12" s="1">
        <f t="shared" si="4"/>
        <v>9</v>
      </c>
      <c r="N12" s="1">
        <f t="shared" si="4"/>
        <v>7</v>
      </c>
      <c r="O12" s="1">
        <f t="shared" si="4"/>
        <v>8</v>
      </c>
      <c r="P12" s="1" t="str">
        <f t="shared" si="4"/>
        <v>Fail</v>
      </c>
    </row>
    <row r="13" spans="1:16" x14ac:dyDescent="0.3">
      <c r="A13" s="3" t="s">
        <v>294</v>
      </c>
      <c r="B13" s="3" t="s">
        <v>307</v>
      </c>
      <c r="C13" s="3">
        <v>8</v>
      </c>
      <c r="D13" s="3">
        <v>8</v>
      </c>
      <c r="E13" s="3">
        <v>6</v>
      </c>
      <c r="F13" s="3">
        <v>8</v>
      </c>
      <c r="G13" s="3" t="s">
        <v>310</v>
      </c>
      <c r="J13" s="1" t="str">
        <f t="shared" ref="J13:P13" si="5">VLOOKUP($A$9,Mydata,MATCH(A2,$A$2:$G$2,0),0)</f>
        <v>B92/771</v>
      </c>
      <c r="K13" s="1" t="str">
        <f t="shared" si="5"/>
        <v>Ribble Gardens</v>
      </c>
      <c r="L13" s="1">
        <f t="shared" si="5"/>
        <v>7</v>
      </c>
      <c r="M13" s="1">
        <f t="shared" si="5"/>
        <v>8</v>
      </c>
      <c r="N13" s="1">
        <f t="shared" si="5"/>
        <v>9</v>
      </c>
      <c r="O13" s="1">
        <f t="shared" si="5"/>
        <v>8</v>
      </c>
      <c r="P13" s="1" t="str">
        <f t="shared" si="5"/>
        <v>Pass</v>
      </c>
    </row>
    <row r="14" spans="1:16" x14ac:dyDescent="0.3">
      <c r="A14" s="3" t="s">
        <v>295</v>
      </c>
      <c r="B14" s="3" t="s">
        <v>308</v>
      </c>
      <c r="C14" s="3">
        <v>8</v>
      </c>
      <c r="D14" s="3">
        <v>9</v>
      </c>
      <c r="E14" s="3">
        <v>7</v>
      </c>
      <c r="F14" s="3">
        <v>8</v>
      </c>
      <c r="G14" s="3" t="s">
        <v>310</v>
      </c>
      <c r="J14" s="1"/>
      <c r="K14" s="1"/>
      <c r="L14" s="1"/>
      <c r="M14" s="1"/>
      <c r="N14" s="1"/>
      <c r="O14" s="1"/>
      <c r="P14" s="1"/>
    </row>
    <row r="15" spans="1:16" x14ac:dyDescent="0.3">
      <c r="A15" s="3" t="s">
        <v>296</v>
      </c>
      <c r="B15" s="3" t="s">
        <v>309</v>
      </c>
      <c r="C15" s="3">
        <v>9</v>
      </c>
      <c r="D15" s="3">
        <v>7</v>
      </c>
      <c r="E15" s="3">
        <v>9</v>
      </c>
      <c r="F15" s="3">
        <v>8</v>
      </c>
      <c r="G15" s="3" t="s">
        <v>311</v>
      </c>
    </row>
  </sheetData>
  <mergeCells count="1">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EC7E6-C0A9-4271-BDF5-6885D6394D4C}">
  <sheetPr codeName="Sheet13"/>
  <dimension ref="A1:G24"/>
  <sheetViews>
    <sheetView topLeftCell="A10" workbookViewId="0">
      <selection activeCell="C23" sqref="C23"/>
    </sheetView>
  </sheetViews>
  <sheetFormatPr defaultRowHeight="14.4" x14ac:dyDescent="0.3"/>
  <cols>
    <col min="1" max="1" width="9.33203125" bestFit="1" customWidth="1"/>
    <col min="2" max="2" width="11.88671875" bestFit="1" customWidth="1"/>
    <col min="3" max="3" width="10.6640625" bestFit="1" customWidth="1"/>
    <col min="6" max="6" width="10.6640625" bestFit="1" customWidth="1"/>
    <col min="7" max="7" width="7" bestFit="1" customWidth="1"/>
  </cols>
  <sheetData>
    <row r="1" spans="1:7" x14ac:dyDescent="0.3">
      <c r="A1" s="31" t="s">
        <v>330</v>
      </c>
      <c r="B1" s="31" t="s">
        <v>331</v>
      </c>
      <c r="C1" s="31" t="s">
        <v>332</v>
      </c>
      <c r="D1" s="31" t="s">
        <v>333</v>
      </c>
      <c r="E1" s="31" t="s">
        <v>334</v>
      </c>
      <c r="F1" s="31" t="s">
        <v>335</v>
      </c>
      <c r="G1" s="31" t="s">
        <v>336</v>
      </c>
    </row>
    <row r="2" spans="1:7" x14ac:dyDescent="0.3">
      <c r="A2" s="27" t="s">
        <v>337</v>
      </c>
      <c r="B2" s="32">
        <v>0.19</v>
      </c>
      <c r="C2" s="32">
        <v>0.08</v>
      </c>
      <c r="D2" s="32">
        <v>0.2</v>
      </c>
      <c r="E2" s="32">
        <v>0.05</v>
      </c>
      <c r="F2" s="32">
        <v>0.2</v>
      </c>
      <c r="G2" s="32">
        <v>0.15</v>
      </c>
    </row>
    <row r="4" spans="1:7" x14ac:dyDescent="0.3">
      <c r="A4" s="120" t="s">
        <v>344</v>
      </c>
      <c r="B4" s="120"/>
      <c r="C4" s="120"/>
      <c r="D4" s="120"/>
      <c r="E4" s="120"/>
      <c r="F4" s="120"/>
      <c r="G4" s="120"/>
    </row>
    <row r="5" spans="1:7" x14ac:dyDescent="0.3">
      <c r="A5" s="119" t="s">
        <v>338</v>
      </c>
      <c r="B5" s="119"/>
      <c r="C5" s="119"/>
      <c r="D5" s="119"/>
      <c r="E5" s="119"/>
      <c r="F5" s="119"/>
      <c r="G5" s="119"/>
    </row>
    <row r="6" spans="1:7" x14ac:dyDescent="0.3">
      <c r="A6" t="s">
        <v>339</v>
      </c>
      <c r="B6" s="31" t="s">
        <v>331</v>
      </c>
      <c r="C6" s="33">
        <f>HLOOKUP(B6,$A$1:$G$2,2,0)</f>
        <v>0.19</v>
      </c>
      <c r="D6" s="33"/>
    </row>
    <row r="7" spans="1:7" x14ac:dyDescent="0.3">
      <c r="A7" t="s">
        <v>340</v>
      </c>
      <c r="B7" s="31" t="s">
        <v>332</v>
      </c>
      <c r="C7" s="33">
        <f t="shared" ref="C7:C11" si="0">HLOOKUP(B7,$A$1:$G$2,2,0)</f>
        <v>0.08</v>
      </c>
      <c r="D7" s="33"/>
    </row>
    <row r="8" spans="1:7" x14ac:dyDescent="0.3">
      <c r="A8" t="s">
        <v>340</v>
      </c>
      <c r="B8" s="31" t="s">
        <v>333</v>
      </c>
      <c r="C8" s="33">
        <f t="shared" si="0"/>
        <v>0.2</v>
      </c>
      <c r="D8" s="33"/>
    </row>
    <row r="9" spans="1:7" x14ac:dyDescent="0.3">
      <c r="A9" t="s">
        <v>340</v>
      </c>
      <c r="B9" s="31" t="s">
        <v>334</v>
      </c>
      <c r="C9" s="33">
        <f t="shared" si="0"/>
        <v>0.05</v>
      </c>
      <c r="D9" s="33"/>
    </row>
    <row r="10" spans="1:7" x14ac:dyDescent="0.3">
      <c r="A10" t="s">
        <v>341</v>
      </c>
      <c r="B10" s="31" t="s">
        <v>335</v>
      </c>
      <c r="C10" s="33">
        <f t="shared" si="0"/>
        <v>0.2</v>
      </c>
      <c r="D10" s="33"/>
    </row>
    <row r="11" spans="1:7" x14ac:dyDescent="0.3">
      <c r="A11" t="s">
        <v>341</v>
      </c>
      <c r="B11" s="31" t="s">
        <v>336</v>
      </c>
      <c r="C11" s="33">
        <f t="shared" si="0"/>
        <v>0.15</v>
      </c>
      <c r="D11" s="33"/>
    </row>
    <row r="13" spans="1:7" ht="115.2" x14ac:dyDescent="0.3">
      <c r="B13" s="112" t="s">
        <v>1060</v>
      </c>
      <c r="C13" s="34" t="s">
        <v>343</v>
      </c>
    </row>
    <row r="14" spans="1:7" x14ac:dyDescent="0.3">
      <c r="B14" s="34" t="s">
        <v>342</v>
      </c>
      <c r="C14" s="34"/>
    </row>
    <row r="17" spans="1:7" x14ac:dyDescent="0.3">
      <c r="A17" s="119" t="s">
        <v>345</v>
      </c>
      <c r="B17" s="119"/>
      <c r="C17" s="119"/>
      <c r="D17" s="119"/>
      <c r="E17" s="119"/>
      <c r="F17" s="119"/>
      <c r="G17" s="119"/>
    </row>
    <row r="18" spans="1:7" x14ac:dyDescent="0.3">
      <c r="A18" s="1" t="s">
        <v>313</v>
      </c>
      <c r="B18" s="1" t="s">
        <v>253</v>
      </c>
      <c r="C18" s="1" t="s">
        <v>347</v>
      </c>
      <c r="D18" s="1" t="s">
        <v>252</v>
      </c>
      <c r="E18" s="1" t="s">
        <v>348</v>
      </c>
      <c r="F18" s="1" t="s">
        <v>61</v>
      </c>
      <c r="G18" s="1" t="s">
        <v>349</v>
      </c>
    </row>
    <row r="19" spans="1:7" x14ac:dyDescent="0.3">
      <c r="A19" s="1" t="s">
        <v>346</v>
      </c>
      <c r="B19" s="1">
        <v>30000</v>
      </c>
      <c r="C19" s="1">
        <v>25000</v>
      </c>
      <c r="D19" s="1">
        <v>55000</v>
      </c>
      <c r="E19" s="1">
        <v>45000</v>
      </c>
      <c r="F19" s="1">
        <v>35000</v>
      </c>
      <c r="G19" s="1">
        <v>20000</v>
      </c>
    </row>
    <row r="20" spans="1:7" x14ac:dyDescent="0.3">
      <c r="A20" s="1" t="s">
        <v>130</v>
      </c>
      <c r="B20" s="1" t="s">
        <v>351</v>
      </c>
      <c r="C20" s="1" t="s">
        <v>352</v>
      </c>
      <c r="D20" s="1" t="s">
        <v>353</v>
      </c>
      <c r="E20" s="1" t="s">
        <v>354</v>
      </c>
      <c r="F20" s="1" t="s">
        <v>355</v>
      </c>
      <c r="G20" s="1" t="s">
        <v>356</v>
      </c>
    </row>
    <row r="22" spans="1:7" x14ac:dyDescent="0.3">
      <c r="A22" s="31" t="s">
        <v>313</v>
      </c>
      <c r="B22" s="31" t="s">
        <v>346</v>
      </c>
      <c r="C22" s="31" t="s">
        <v>350</v>
      </c>
    </row>
    <row r="23" spans="1:7" x14ac:dyDescent="0.3">
      <c r="A23" s="1" t="s">
        <v>253</v>
      </c>
      <c r="B23">
        <f>HLOOKUP(A23,$A$18:$G$20,2,0)</f>
        <v>30000</v>
      </c>
      <c r="C23" t="str">
        <f>HLOOKUP(A23,$A$18:$G$20,3,0)</f>
        <v>Vadodara</v>
      </c>
    </row>
    <row r="24" spans="1:7" x14ac:dyDescent="0.3">
      <c r="A24" s="1" t="s">
        <v>347</v>
      </c>
      <c r="B24">
        <f>HLOOKUP(A24,$A$18:$G$20,2,0)</f>
        <v>25000</v>
      </c>
      <c r="C24" t="str">
        <f>HLOOKUP(A24,$A$18:$G$20,3,0)</f>
        <v>Surat</v>
      </c>
    </row>
  </sheetData>
  <mergeCells count="3">
    <mergeCell ref="A5:G5"/>
    <mergeCell ref="A4:G4"/>
    <mergeCell ref="A17:G17"/>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9C97-9128-4EA8-8590-A6470735523E}">
  <sheetPr codeName="Sheet14"/>
  <dimension ref="A1:K19"/>
  <sheetViews>
    <sheetView workbookViewId="0">
      <selection activeCell="K24" sqref="K24"/>
    </sheetView>
  </sheetViews>
  <sheetFormatPr defaultRowHeight="14.4" x14ac:dyDescent="0.3"/>
  <cols>
    <col min="1" max="1" width="8" customWidth="1"/>
    <col min="2" max="2" width="12.6640625" customWidth="1"/>
    <col min="3" max="3" width="11.77734375" customWidth="1"/>
    <col min="4" max="4" width="13.33203125" customWidth="1"/>
  </cols>
  <sheetData>
    <row r="1" spans="1:11" x14ac:dyDescent="0.3">
      <c r="A1" s="118" t="s">
        <v>370</v>
      </c>
      <c r="B1" s="118"/>
      <c r="C1" s="118"/>
      <c r="D1" s="118"/>
    </row>
    <row r="2" spans="1:11" x14ac:dyDescent="0.3">
      <c r="A2" s="27" t="s">
        <v>237</v>
      </c>
      <c r="B2" s="27" t="s">
        <v>126</v>
      </c>
      <c r="C2" s="27" t="s">
        <v>127</v>
      </c>
      <c r="D2" s="27" t="s">
        <v>23</v>
      </c>
    </row>
    <row r="3" spans="1:11" x14ac:dyDescent="0.3">
      <c r="A3" s="3">
        <v>72</v>
      </c>
      <c r="B3" s="3" t="s">
        <v>357</v>
      </c>
      <c r="C3" s="3" t="s">
        <v>363</v>
      </c>
      <c r="D3" s="3">
        <v>64901</v>
      </c>
      <c r="F3" t="s">
        <v>376</v>
      </c>
      <c r="G3" s="27" t="s">
        <v>237</v>
      </c>
      <c r="H3" s="1"/>
    </row>
    <row r="4" spans="1:11" x14ac:dyDescent="0.3">
      <c r="A4" s="3">
        <v>66</v>
      </c>
      <c r="B4" s="3" t="s">
        <v>31</v>
      </c>
      <c r="C4" s="3" t="s">
        <v>364</v>
      </c>
      <c r="D4" s="3">
        <v>70855</v>
      </c>
      <c r="G4" s="3">
        <v>14</v>
      </c>
      <c r="H4" s="1">
        <f>MATCH(G4,A3:A9,0)</f>
        <v>3</v>
      </c>
    </row>
    <row r="5" spans="1:11" x14ac:dyDescent="0.3">
      <c r="A5" s="3">
        <v>14</v>
      </c>
      <c r="B5" s="3" t="s">
        <v>358</v>
      </c>
      <c r="C5" s="3" t="s">
        <v>365</v>
      </c>
      <c r="D5" s="3">
        <v>188657</v>
      </c>
      <c r="H5" s="1"/>
      <c r="K5" s="3"/>
    </row>
    <row r="6" spans="1:11" x14ac:dyDescent="0.3">
      <c r="A6" s="3">
        <v>30</v>
      </c>
      <c r="B6" s="3" t="s">
        <v>359</v>
      </c>
      <c r="C6" s="3" t="s">
        <v>366</v>
      </c>
      <c r="D6" s="3">
        <v>97566</v>
      </c>
      <c r="F6" t="s">
        <v>376</v>
      </c>
      <c r="G6" s="27" t="s">
        <v>127</v>
      </c>
      <c r="H6" s="1"/>
    </row>
    <row r="7" spans="1:11" x14ac:dyDescent="0.3">
      <c r="A7" s="3">
        <v>53</v>
      </c>
      <c r="B7" s="3" t="s">
        <v>360</v>
      </c>
      <c r="C7" s="3" t="s">
        <v>367</v>
      </c>
      <c r="D7" s="3">
        <v>58339</v>
      </c>
      <c r="G7" s="3" t="s">
        <v>365</v>
      </c>
      <c r="H7" s="1">
        <f>MATCH(G7,C3:C9,0)</f>
        <v>3</v>
      </c>
    </row>
    <row r="8" spans="1:11" x14ac:dyDescent="0.3">
      <c r="A8" s="3">
        <v>56</v>
      </c>
      <c r="B8" s="3" t="s">
        <v>361</v>
      </c>
      <c r="C8" s="3" t="s">
        <v>368</v>
      </c>
      <c r="D8" s="3">
        <v>125180</v>
      </c>
      <c r="H8" s="1"/>
    </row>
    <row r="9" spans="1:11" x14ac:dyDescent="0.3">
      <c r="A9" s="3">
        <v>79</v>
      </c>
      <c r="B9" s="3" t="s">
        <v>362</v>
      </c>
      <c r="C9" s="3" t="s">
        <v>369</v>
      </c>
      <c r="D9" s="3">
        <v>91632</v>
      </c>
      <c r="F9" t="s">
        <v>376</v>
      </c>
      <c r="G9" s="27" t="s">
        <v>23</v>
      </c>
      <c r="H9" s="1">
        <f>MATCH(G9,A2:D2)</f>
        <v>4</v>
      </c>
    </row>
    <row r="10" spans="1:11" x14ac:dyDescent="0.3">
      <c r="F10" t="s">
        <v>375</v>
      </c>
      <c r="G10">
        <v>5</v>
      </c>
      <c r="H10" s="1" cm="1">
        <f t="array" ref="H10">INDEX(A3:D9,G10,H9)</f>
        <v>58339</v>
      </c>
    </row>
    <row r="11" spans="1:11" x14ac:dyDescent="0.3">
      <c r="A11" t="s">
        <v>371</v>
      </c>
      <c r="H11" s="1"/>
    </row>
    <row r="12" spans="1:11" x14ac:dyDescent="0.3">
      <c r="A12" t="s">
        <v>372</v>
      </c>
      <c r="F12" t="s">
        <v>376</v>
      </c>
      <c r="G12" s="27" t="s">
        <v>126</v>
      </c>
      <c r="H12" s="1">
        <f>MATCH(G12,A2:D2)</f>
        <v>2</v>
      </c>
    </row>
    <row r="13" spans="1:11" x14ac:dyDescent="0.3">
      <c r="A13" t="s">
        <v>373</v>
      </c>
      <c r="F13" t="s">
        <v>375</v>
      </c>
      <c r="G13">
        <v>2</v>
      </c>
      <c r="H13" s="1" t="str" cm="1">
        <f t="array" ref="H13">INDEX(A3:D9,G13,H12)</f>
        <v>James</v>
      </c>
    </row>
    <row r="14" spans="1:11" x14ac:dyDescent="0.3">
      <c r="A14" t="s">
        <v>374</v>
      </c>
      <c r="H14" s="1"/>
    </row>
    <row r="15" spans="1:11" x14ac:dyDescent="0.3">
      <c r="A15" t="s">
        <v>377</v>
      </c>
      <c r="H15" s="1"/>
    </row>
    <row r="16" spans="1:11" x14ac:dyDescent="0.3">
      <c r="E16" t="s">
        <v>376</v>
      </c>
      <c r="F16" s="27" t="s">
        <v>126</v>
      </c>
      <c r="G16" s="3" t="s">
        <v>31</v>
      </c>
      <c r="H16" s="1">
        <f>MATCH(G16,B3:B9,0)</f>
        <v>2</v>
      </c>
    </row>
    <row r="17" spans="5:8" x14ac:dyDescent="0.3">
      <c r="E17" s="35" t="s">
        <v>1061</v>
      </c>
      <c r="F17" s="36" t="s">
        <v>23</v>
      </c>
      <c r="G17" s="38">
        <f>MATCH(F17,A2:D2)</f>
        <v>4</v>
      </c>
      <c r="H17" s="38" cm="1">
        <f t="array" ref="H17">INDEX(A3:D9,H16,G17)</f>
        <v>70855</v>
      </c>
    </row>
    <row r="18" spans="5:8" x14ac:dyDescent="0.3">
      <c r="E18" s="37"/>
      <c r="F18" s="37"/>
      <c r="G18" s="37"/>
      <c r="H18" s="37"/>
    </row>
    <row r="19" spans="5:8" ht="43.2" x14ac:dyDescent="0.3">
      <c r="E19" s="35" t="s">
        <v>378</v>
      </c>
      <c r="F19" s="38">
        <f>INDEX(D2:D9,MATCH(G16,B2:B9,0))</f>
        <v>70855</v>
      </c>
      <c r="G19" s="37"/>
      <c r="H19" s="37"/>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07E8-4D23-4FB7-8B73-F33D0EBA5D4C}">
  <sheetPr codeName="Sheet15"/>
  <dimension ref="A1:O52"/>
  <sheetViews>
    <sheetView workbookViewId="0">
      <selection activeCell="K1" sqref="K1"/>
    </sheetView>
  </sheetViews>
  <sheetFormatPr defaultRowHeight="14.4" outlineLevelRow="2" x14ac:dyDescent="0.3"/>
  <cols>
    <col min="1" max="1" width="9.88671875" bestFit="1" customWidth="1"/>
    <col min="2" max="2" width="15.33203125" customWidth="1"/>
    <col min="3" max="3" width="25" customWidth="1"/>
    <col min="4" max="4" width="18.109375" customWidth="1"/>
    <col min="6" max="6" width="15" customWidth="1"/>
    <col min="7" max="7" width="20" customWidth="1"/>
    <col min="8" max="8" width="15.88671875" bestFit="1" customWidth="1"/>
    <col min="9" max="9" width="10.21875" bestFit="1" customWidth="1"/>
  </cols>
  <sheetData>
    <row r="1" spans="1:15" x14ac:dyDescent="0.3">
      <c r="A1" s="118" t="s">
        <v>394</v>
      </c>
      <c r="B1" s="118"/>
      <c r="C1" s="118"/>
      <c r="D1" s="118"/>
    </row>
    <row r="2" spans="1:15" x14ac:dyDescent="0.3">
      <c r="A2" s="25" t="s">
        <v>126</v>
      </c>
      <c r="B2" s="25" t="s">
        <v>127</v>
      </c>
      <c r="C2" s="25" t="s">
        <v>380</v>
      </c>
      <c r="D2" s="25" t="s">
        <v>381</v>
      </c>
    </row>
    <row r="3" spans="1:15" x14ac:dyDescent="0.3">
      <c r="A3" s="14" t="s">
        <v>252</v>
      </c>
      <c r="B3" s="14" t="s">
        <v>262</v>
      </c>
      <c r="C3" s="14" t="s">
        <v>383</v>
      </c>
      <c r="D3" s="14" t="s">
        <v>388</v>
      </c>
    </row>
    <row r="4" spans="1:15" x14ac:dyDescent="0.3">
      <c r="A4" s="14" t="s">
        <v>255</v>
      </c>
      <c r="B4" s="14" t="s">
        <v>265</v>
      </c>
      <c r="C4" s="14" t="s">
        <v>384</v>
      </c>
      <c r="D4" s="14" t="s">
        <v>389</v>
      </c>
      <c r="L4" s="11"/>
      <c r="M4" s="11"/>
      <c r="N4" s="11"/>
      <c r="O4" s="11"/>
    </row>
    <row r="5" spans="1:15" outlineLevel="2" x14ac:dyDescent="0.3">
      <c r="A5" s="14" t="s">
        <v>257</v>
      </c>
      <c r="B5" s="14" t="s">
        <v>267</v>
      </c>
      <c r="C5" s="14" t="s">
        <v>384</v>
      </c>
      <c r="D5" s="14" t="s">
        <v>388</v>
      </c>
    </row>
    <row r="6" spans="1:15" outlineLevel="1" x14ac:dyDescent="0.3">
      <c r="A6" s="14"/>
      <c r="B6" s="14"/>
      <c r="C6" s="14"/>
      <c r="D6" s="14"/>
      <c r="L6" s="11"/>
    </row>
    <row r="7" spans="1:15" outlineLevel="2" x14ac:dyDescent="0.3">
      <c r="A7" s="14" t="s">
        <v>253</v>
      </c>
      <c r="B7" s="14" t="s">
        <v>263</v>
      </c>
      <c r="C7" s="14" t="s">
        <v>385</v>
      </c>
      <c r="D7" s="14" t="s">
        <v>389</v>
      </c>
    </row>
    <row r="8" spans="1:15" outlineLevel="1" x14ac:dyDescent="0.3">
      <c r="A8" s="14"/>
      <c r="B8" s="14"/>
      <c r="C8" s="14"/>
      <c r="D8" s="14"/>
      <c r="L8" s="11"/>
    </row>
    <row r="9" spans="1:15" outlineLevel="2" x14ac:dyDescent="0.3">
      <c r="A9" s="14" t="s">
        <v>260</v>
      </c>
      <c r="B9" s="14" t="s">
        <v>270</v>
      </c>
      <c r="C9" s="14" t="s">
        <v>383</v>
      </c>
      <c r="D9" s="14" t="s">
        <v>388</v>
      </c>
    </row>
    <row r="10" spans="1:15" outlineLevel="1" x14ac:dyDescent="0.3">
      <c r="A10" s="14"/>
      <c r="B10" s="14"/>
      <c r="C10" s="14"/>
      <c r="D10" s="14"/>
      <c r="L10" s="11"/>
    </row>
    <row r="11" spans="1:15" outlineLevel="2" x14ac:dyDescent="0.3">
      <c r="A11" s="14" t="s">
        <v>254</v>
      </c>
      <c r="B11" s="14" t="s">
        <v>264</v>
      </c>
      <c r="C11" s="14" t="s">
        <v>386</v>
      </c>
      <c r="D11" s="14" t="s">
        <v>389</v>
      </c>
    </row>
    <row r="12" spans="1:15" outlineLevel="1" x14ac:dyDescent="0.3">
      <c r="A12" s="14"/>
      <c r="B12" s="14"/>
      <c r="C12" s="14"/>
      <c r="D12" s="14"/>
      <c r="L12" s="11"/>
    </row>
    <row r="13" spans="1:15" outlineLevel="2" x14ac:dyDescent="0.3">
      <c r="A13" s="14" t="s">
        <v>258</v>
      </c>
      <c r="B13" s="14" t="s">
        <v>268</v>
      </c>
      <c r="C13" s="14" t="s">
        <v>384</v>
      </c>
      <c r="D13" s="14" t="s">
        <v>388</v>
      </c>
    </row>
    <row r="14" spans="1:15" outlineLevel="1" x14ac:dyDescent="0.3">
      <c r="A14" s="14"/>
      <c r="B14" s="14"/>
      <c r="C14" s="14"/>
      <c r="D14" s="14"/>
      <c r="L14" s="11"/>
    </row>
    <row r="15" spans="1:15" outlineLevel="2" x14ac:dyDescent="0.3">
      <c r="A15" s="14" t="s">
        <v>261</v>
      </c>
      <c r="B15" s="14" t="s">
        <v>271</v>
      </c>
      <c r="C15" s="14" t="s">
        <v>386</v>
      </c>
      <c r="D15" s="14" t="s">
        <v>389</v>
      </c>
    </row>
    <row r="16" spans="1:15" outlineLevel="1" x14ac:dyDescent="0.3">
      <c r="A16" s="14"/>
      <c r="B16" s="14"/>
      <c r="C16" s="14"/>
      <c r="D16" s="14"/>
      <c r="L16" s="11"/>
    </row>
    <row r="17" spans="1:12" outlineLevel="2" x14ac:dyDescent="0.3">
      <c r="A17" s="14" t="s">
        <v>256</v>
      </c>
      <c r="B17" s="14" t="s">
        <v>266</v>
      </c>
      <c r="C17" s="14" t="s">
        <v>387</v>
      </c>
      <c r="D17" s="14" t="s">
        <v>388</v>
      </c>
    </row>
    <row r="18" spans="1:12" outlineLevel="1" x14ac:dyDescent="0.3">
      <c r="A18" s="14"/>
      <c r="B18" s="14"/>
      <c r="C18" s="14"/>
      <c r="D18" s="14"/>
      <c r="L18" s="11"/>
    </row>
    <row r="19" spans="1:12" outlineLevel="2" x14ac:dyDescent="0.3">
      <c r="A19" s="14" t="s">
        <v>382</v>
      </c>
      <c r="B19" s="14" t="s">
        <v>269</v>
      </c>
      <c r="C19" s="14" t="s">
        <v>383</v>
      </c>
      <c r="D19" s="14" t="s">
        <v>389</v>
      </c>
    </row>
    <row r="20" spans="1:12" outlineLevel="1" x14ac:dyDescent="0.3">
      <c r="A20" s="46"/>
      <c r="B20" s="61"/>
      <c r="C20" s="61"/>
      <c r="D20" s="106"/>
      <c r="L20" s="11"/>
    </row>
    <row r="21" spans="1:12" outlineLevel="2" x14ac:dyDescent="0.3">
      <c r="A21" s="121" t="s">
        <v>403</v>
      </c>
      <c r="B21" s="122"/>
      <c r="C21" s="122"/>
      <c r="D21" s="123"/>
    </row>
    <row r="22" spans="1:12" outlineLevel="1" x14ac:dyDescent="0.3">
      <c r="A22" s="5"/>
      <c r="B22" s="5"/>
      <c r="C22" s="5"/>
      <c r="D22" s="5"/>
      <c r="L22" s="11"/>
    </row>
    <row r="23" spans="1:12" outlineLevel="2" x14ac:dyDescent="0.3">
      <c r="A23" s="11" t="s">
        <v>390</v>
      </c>
    </row>
    <row r="24" spans="1:12" outlineLevel="1" x14ac:dyDescent="0.3">
      <c r="A24" s="11"/>
      <c r="L24" s="11"/>
    </row>
    <row r="25" spans="1:12" x14ac:dyDescent="0.3">
      <c r="A25" s="11"/>
      <c r="L25" s="11"/>
    </row>
    <row r="26" spans="1:12" x14ac:dyDescent="0.3">
      <c r="A26" s="11" t="s">
        <v>391</v>
      </c>
    </row>
    <row r="27" spans="1:12" x14ac:dyDescent="0.3">
      <c r="A27" s="11" t="s">
        <v>392</v>
      </c>
    </row>
    <row r="28" spans="1:12" x14ac:dyDescent="0.3">
      <c r="A28" s="11" t="s">
        <v>393</v>
      </c>
    </row>
    <row r="29" spans="1:12" x14ac:dyDescent="0.3">
      <c r="A29" s="117" t="s">
        <v>404</v>
      </c>
      <c r="B29" s="117"/>
      <c r="C29" s="117"/>
      <c r="D29" s="117"/>
      <c r="F29" s="117" t="s">
        <v>405</v>
      </c>
      <c r="G29" s="117"/>
      <c r="H29" s="117"/>
      <c r="I29" s="117"/>
    </row>
    <row r="30" spans="1:12" x14ac:dyDescent="0.3">
      <c r="A30" s="25" t="s">
        <v>126</v>
      </c>
      <c r="B30" s="25" t="s">
        <v>127</v>
      </c>
      <c r="C30" s="25" t="s">
        <v>380</v>
      </c>
      <c r="D30" s="25" t="s">
        <v>381</v>
      </c>
      <c r="F30" s="25" t="s">
        <v>126</v>
      </c>
      <c r="G30" s="25" t="s">
        <v>127</v>
      </c>
      <c r="H30" s="25" t="s">
        <v>380</v>
      </c>
      <c r="I30" s="25" t="s">
        <v>381</v>
      </c>
    </row>
    <row r="31" spans="1:12" x14ac:dyDescent="0.3">
      <c r="A31" s="14" t="s">
        <v>252</v>
      </c>
      <c r="B31" s="14" t="s">
        <v>262</v>
      </c>
      <c r="C31" s="14" t="s">
        <v>383</v>
      </c>
      <c r="D31" s="14" t="s">
        <v>388</v>
      </c>
      <c r="F31" s="14" t="s">
        <v>255</v>
      </c>
      <c r="G31" s="14" t="s">
        <v>265</v>
      </c>
      <c r="H31" s="14" t="s">
        <v>384</v>
      </c>
      <c r="I31" s="14" t="s">
        <v>389</v>
      </c>
    </row>
    <row r="32" spans="1:12" x14ac:dyDescent="0.3">
      <c r="A32" s="14" t="s">
        <v>257</v>
      </c>
      <c r="B32" s="14" t="s">
        <v>267</v>
      </c>
      <c r="C32" s="14" t="s">
        <v>384</v>
      </c>
      <c r="D32" s="14" t="s">
        <v>388</v>
      </c>
      <c r="F32" s="14" t="s">
        <v>257</v>
      </c>
      <c r="G32" s="14" t="s">
        <v>267</v>
      </c>
      <c r="H32" s="14" t="s">
        <v>384</v>
      </c>
      <c r="I32" s="14" t="s">
        <v>388</v>
      </c>
    </row>
    <row r="33" spans="1:9" x14ac:dyDescent="0.3">
      <c r="A33" s="14"/>
      <c r="B33" s="14"/>
      <c r="C33" s="14"/>
      <c r="D33" s="14"/>
      <c r="F33" s="14"/>
      <c r="G33" s="25" t="s">
        <v>398</v>
      </c>
      <c r="H33" s="14">
        <f>SUBTOTAL(3,H31:H32)</f>
        <v>2</v>
      </c>
      <c r="I33" s="14"/>
    </row>
    <row r="34" spans="1:9" x14ac:dyDescent="0.3">
      <c r="A34" s="14" t="s">
        <v>260</v>
      </c>
      <c r="B34" s="14" t="s">
        <v>270</v>
      </c>
      <c r="C34" s="14" t="s">
        <v>383</v>
      </c>
      <c r="D34" s="14" t="s">
        <v>388</v>
      </c>
      <c r="F34" s="14" t="s">
        <v>252</v>
      </c>
      <c r="G34" s="14" t="s">
        <v>262</v>
      </c>
      <c r="H34" s="14" t="s">
        <v>383</v>
      </c>
      <c r="I34" s="14" t="s">
        <v>388</v>
      </c>
    </row>
    <row r="35" spans="1:9" x14ac:dyDescent="0.3">
      <c r="A35" s="14" t="s">
        <v>258</v>
      </c>
      <c r="B35" s="14" t="s">
        <v>268</v>
      </c>
      <c r="C35" s="14" t="s">
        <v>384</v>
      </c>
      <c r="D35" s="14" t="s">
        <v>388</v>
      </c>
      <c r="F35" s="14" t="s">
        <v>260</v>
      </c>
      <c r="G35" s="14" t="s">
        <v>270</v>
      </c>
      <c r="H35" s="14" t="s">
        <v>383</v>
      </c>
      <c r="I35" s="14" t="s">
        <v>388</v>
      </c>
    </row>
    <row r="36" spans="1:9" x14ac:dyDescent="0.3">
      <c r="A36" s="14"/>
      <c r="B36" s="14"/>
      <c r="C36" s="14"/>
      <c r="D36" s="14"/>
      <c r="F36" s="14"/>
      <c r="G36" s="25" t="s">
        <v>399</v>
      </c>
      <c r="H36" s="14">
        <f>SUBTOTAL(3,H34:H35)</f>
        <v>2</v>
      </c>
      <c r="I36" s="14"/>
    </row>
    <row r="37" spans="1:9" x14ac:dyDescent="0.3">
      <c r="A37" s="14" t="s">
        <v>256</v>
      </c>
      <c r="B37" s="14" t="s">
        <v>266</v>
      </c>
      <c r="C37" s="14" t="s">
        <v>387</v>
      </c>
      <c r="D37" s="14" t="s">
        <v>388</v>
      </c>
      <c r="F37" s="14" t="s">
        <v>253</v>
      </c>
      <c r="G37" s="14" t="s">
        <v>263</v>
      </c>
      <c r="H37" s="14" t="s">
        <v>385</v>
      </c>
      <c r="I37" s="14" t="s">
        <v>389</v>
      </c>
    </row>
    <row r="38" spans="1:9" x14ac:dyDescent="0.3">
      <c r="A38" s="14"/>
      <c r="B38" s="14"/>
      <c r="C38" s="14"/>
      <c r="D38" s="14"/>
      <c r="F38" s="14"/>
      <c r="G38" s="25" t="s">
        <v>400</v>
      </c>
      <c r="H38" s="14">
        <f>SUBTOTAL(3,H37:H37)</f>
        <v>1</v>
      </c>
      <c r="I38" s="14"/>
    </row>
    <row r="39" spans="1:9" x14ac:dyDescent="0.3">
      <c r="A39" s="14"/>
      <c r="B39" s="14"/>
      <c r="C39" s="25" t="s">
        <v>395</v>
      </c>
      <c r="D39" s="14">
        <f>SUBTOTAL(3,D31:D37)</f>
        <v>5</v>
      </c>
      <c r="F39" s="14" t="s">
        <v>254</v>
      </c>
      <c r="G39" s="14" t="s">
        <v>264</v>
      </c>
      <c r="H39" s="14" t="s">
        <v>386</v>
      </c>
      <c r="I39" s="14" t="s">
        <v>389</v>
      </c>
    </row>
    <row r="40" spans="1:9" x14ac:dyDescent="0.3">
      <c r="A40" s="14"/>
      <c r="B40" s="14"/>
      <c r="C40" s="25"/>
      <c r="D40" s="14"/>
      <c r="F40" s="14"/>
      <c r="G40" s="25" t="s">
        <v>401</v>
      </c>
      <c r="H40" s="14">
        <f>SUBTOTAL(3,H39:H39)</f>
        <v>1</v>
      </c>
      <c r="I40" s="14"/>
    </row>
    <row r="41" spans="1:9" x14ac:dyDescent="0.3">
      <c r="A41" s="14" t="s">
        <v>255</v>
      </c>
      <c r="B41" s="14" t="s">
        <v>265</v>
      </c>
      <c r="C41" s="14" t="s">
        <v>384</v>
      </c>
      <c r="D41" s="14" t="s">
        <v>389</v>
      </c>
      <c r="F41" s="14" t="s">
        <v>258</v>
      </c>
      <c r="G41" s="14" t="s">
        <v>268</v>
      </c>
      <c r="H41" s="14" t="s">
        <v>384</v>
      </c>
      <c r="I41" s="14" t="s">
        <v>388</v>
      </c>
    </row>
    <row r="42" spans="1:9" x14ac:dyDescent="0.3">
      <c r="A42" s="14"/>
      <c r="B42" s="14"/>
      <c r="C42" s="14"/>
      <c r="D42" s="14"/>
      <c r="F42" s="14"/>
      <c r="G42" s="25" t="s">
        <v>398</v>
      </c>
      <c r="H42" s="14">
        <f>SUBTOTAL(3,H41:H41)</f>
        <v>1</v>
      </c>
      <c r="I42" s="14"/>
    </row>
    <row r="43" spans="1:9" x14ac:dyDescent="0.3">
      <c r="A43" s="14" t="s">
        <v>253</v>
      </c>
      <c r="B43" s="14" t="s">
        <v>263</v>
      </c>
      <c r="C43" s="14" t="s">
        <v>385</v>
      </c>
      <c r="D43" s="14" t="s">
        <v>389</v>
      </c>
      <c r="F43" s="14" t="s">
        <v>261</v>
      </c>
      <c r="G43" s="14" t="s">
        <v>271</v>
      </c>
      <c r="H43" s="14" t="s">
        <v>386</v>
      </c>
      <c r="I43" s="14" t="s">
        <v>389</v>
      </c>
    </row>
    <row r="44" spans="1:9" x14ac:dyDescent="0.3">
      <c r="A44" s="14"/>
      <c r="B44" s="14"/>
      <c r="C44" s="14"/>
      <c r="D44" s="14"/>
      <c r="F44" s="14"/>
      <c r="G44" s="25" t="s">
        <v>401</v>
      </c>
      <c r="H44" s="14">
        <f>SUBTOTAL(3,H43:H43)</f>
        <v>1</v>
      </c>
      <c r="I44" s="14"/>
    </row>
    <row r="45" spans="1:9" x14ac:dyDescent="0.3">
      <c r="A45" s="14" t="s">
        <v>254</v>
      </c>
      <c r="B45" s="14" t="s">
        <v>264</v>
      </c>
      <c r="C45" s="14" t="s">
        <v>386</v>
      </c>
      <c r="D45" s="14" t="s">
        <v>389</v>
      </c>
      <c r="F45" s="14" t="s">
        <v>256</v>
      </c>
      <c r="G45" s="14" t="s">
        <v>266</v>
      </c>
      <c r="H45" s="14" t="s">
        <v>387</v>
      </c>
      <c r="I45" s="14" t="s">
        <v>388</v>
      </c>
    </row>
    <row r="46" spans="1:9" x14ac:dyDescent="0.3">
      <c r="A46" s="14"/>
      <c r="B46" s="14"/>
      <c r="C46" s="14"/>
      <c r="D46" s="14"/>
      <c r="F46" s="14"/>
      <c r="G46" s="25" t="s">
        <v>402</v>
      </c>
      <c r="H46" s="14">
        <f>SUBTOTAL(3,H45:H45)</f>
        <v>1</v>
      </c>
      <c r="I46" s="14"/>
    </row>
    <row r="47" spans="1:9" x14ac:dyDescent="0.3">
      <c r="A47" s="14" t="s">
        <v>261</v>
      </c>
      <c r="B47" s="14" t="s">
        <v>271</v>
      </c>
      <c r="C47" s="14" t="s">
        <v>386</v>
      </c>
      <c r="D47" s="14" t="s">
        <v>389</v>
      </c>
      <c r="F47" s="14" t="s">
        <v>382</v>
      </c>
      <c r="G47" s="14" t="s">
        <v>269</v>
      </c>
      <c r="H47" s="14" t="s">
        <v>383</v>
      </c>
      <c r="I47" s="14" t="s">
        <v>389</v>
      </c>
    </row>
    <row r="48" spans="1:9" x14ac:dyDescent="0.3">
      <c r="A48" s="14"/>
      <c r="B48" s="14"/>
      <c r="C48" s="14"/>
      <c r="D48" s="14"/>
      <c r="G48" s="11" t="s">
        <v>399</v>
      </c>
      <c r="H48">
        <f>SUBTOTAL(3,H47:H47)</f>
        <v>1</v>
      </c>
    </row>
    <row r="49" spans="1:8" x14ac:dyDescent="0.3">
      <c r="A49" s="14"/>
      <c r="B49" s="14"/>
      <c r="C49" s="14"/>
      <c r="D49" s="14"/>
      <c r="G49" s="11" t="s">
        <v>397</v>
      </c>
      <c r="H49">
        <f>SUBTOTAL(3,H31:H47)</f>
        <v>10</v>
      </c>
    </row>
    <row r="50" spans="1:8" x14ac:dyDescent="0.3">
      <c r="A50" s="14" t="s">
        <v>382</v>
      </c>
      <c r="B50" s="14" t="s">
        <v>269</v>
      </c>
      <c r="C50" s="14" t="s">
        <v>383</v>
      </c>
      <c r="D50" s="14" t="s">
        <v>389</v>
      </c>
    </row>
    <row r="51" spans="1:8" hidden="1" outlineLevel="1" x14ac:dyDescent="0.3">
      <c r="C51" s="11" t="s">
        <v>396</v>
      </c>
      <c r="D51">
        <f>SUBTOTAL(3,D41:D50)</f>
        <v>5</v>
      </c>
    </row>
    <row r="52" spans="1:8" collapsed="1" x14ac:dyDescent="0.3">
      <c r="C52" s="11" t="s">
        <v>397</v>
      </c>
      <c r="D52">
        <f>SUBTOTAL(3,D31:D50)</f>
        <v>10</v>
      </c>
    </row>
  </sheetData>
  <sortState xmlns:xlrd2="http://schemas.microsoft.com/office/spreadsheetml/2017/richdata2" ref="A31:D48">
    <sortCondition ref="D50"/>
  </sortState>
  <mergeCells count="4">
    <mergeCell ref="A1:D1"/>
    <mergeCell ref="A29:D29"/>
    <mergeCell ref="F29:I29"/>
    <mergeCell ref="A21:D2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56167-CA86-46ED-A871-2CAB9653F7A3}">
  <sheetPr codeName="Sheet16"/>
  <dimension ref="B1:P18"/>
  <sheetViews>
    <sheetView topLeftCell="C10" workbookViewId="0">
      <selection activeCell="X18" sqref="X18"/>
    </sheetView>
  </sheetViews>
  <sheetFormatPr defaultRowHeight="14.4" x14ac:dyDescent="0.3"/>
  <cols>
    <col min="2" max="2" width="22" bestFit="1" customWidth="1"/>
  </cols>
  <sheetData>
    <row r="1" spans="2:16" x14ac:dyDescent="0.3">
      <c r="I1" s="114" t="s">
        <v>449</v>
      </c>
      <c r="J1" s="114"/>
      <c r="K1" s="114"/>
      <c r="L1" s="114"/>
      <c r="M1" s="114"/>
      <c r="N1" s="114"/>
      <c r="O1" s="114"/>
      <c r="P1" s="114"/>
    </row>
    <row r="2" spans="2:16" x14ac:dyDescent="0.3">
      <c r="B2" s="27" t="s">
        <v>227</v>
      </c>
      <c r="C2" s="27" t="s">
        <v>406</v>
      </c>
      <c r="D2" s="27" t="s">
        <v>407</v>
      </c>
      <c r="E2" s="27" t="s">
        <v>408</v>
      </c>
      <c r="F2" s="27" t="s">
        <v>424</v>
      </c>
    </row>
    <row r="3" spans="2:16" x14ac:dyDescent="0.3">
      <c r="B3" s="3" t="s">
        <v>409</v>
      </c>
      <c r="C3" s="3">
        <v>8</v>
      </c>
      <c r="D3" s="3">
        <v>150</v>
      </c>
      <c r="E3" s="3">
        <v>80</v>
      </c>
      <c r="F3" s="26">
        <v>45455</v>
      </c>
    </row>
    <row r="4" spans="2:16" x14ac:dyDescent="0.3">
      <c r="B4" s="3" t="s">
        <v>410</v>
      </c>
      <c r="C4" s="3">
        <v>54</v>
      </c>
      <c r="D4" s="3">
        <v>77</v>
      </c>
      <c r="E4" s="3">
        <v>54</v>
      </c>
      <c r="F4" s="26">
        <v>45456</v>
      </c>
    </row>
    <row r="5" spans="2:16" x14ac:dyDescent="0.3">
      <c r="B5" s="3" t="s">
        <v>411</v>
      </c>
      <c r="C5" s="3">
        <v>93</v>
      </c>
      <c r="D5" s="3">
        <v>32</v>
      </c>
      <c r="E5" s="3">
        <v>90</v>
      </c>
      <c r="F5" s="26">
        <v>45457</v>
      </c>
    </row>
    <row r="6" spans="2:16" x14ac:dyDescent="0.3">
      <c r="B6" s="3" t="s">
        <v>412</v>
      </c>
      <c r="C6" s="3">
        <v>116</v>
      </c>
      <c r="D6" s="3">
        <v>65</v>
      </c>
      <c r="E6" s="3">
        <v>125</v>
      </c>
      <c r="F6" s="26">
        <v>45458</v>
      </c>
    </row>
    <row r="7" spans="2:16" x14ac:dyDescent="0.3">
      <c r="B7" s="3" t="s">
        <v>413</v>
      </c>
      <c r="C7" s="3">
        <v>150</v>
      </c>
      <c r="D7" s="3">
        <v>52</v>
      </c>
      <c r="E7" s="3">
        <v>76</v>
      </c>
      <c r="F7" s="26">
        <v>45459</v>
      </c>
    </row>
    <row r="8" spans="2:16" x14ac:dyDescent="0.3">
      <c r="B8" s="3" t="s">
        <v>414</v>
      </c>
      <c r="C8" s="3">
        <v>184</v>
      </c>
      <c r="D8" s="3">
        <v>42</v>
      </c>
      <c r="E8" s="3">
        <v>95</v>
      </c>
      <c r="F8" s="26">
        <v>45460</v>
      </c>
    </row>
    <row r="9" spans="2:16" x14ac:dyDescent="0.3">
      <c r="B9" s="3" t="s">
        <v>415</v>
      </c>
      <c r="C9" s="3">
        <v>150</v>
      </c>
      <c r="D9" s="3">
        <v>6</v>
      </c>
      <c r="E9" s="3">
        <v>71</v>
      </c>
      <c r="F9" s="26">
        <v>45461</v>
      </c>
    </row>
    <row r="12" spans="2:16" x14ac:dyDescent="0.3">
      <c r="B12" s="41" t="s">
        <v>416</v>
      </c>
      <c r="C12" s="41" t="s">
        <v>417</v>
      </c>
      <c r="D12" s="41" t="s">
        <v>418</v>
      </c>
      <c r="E12" s="41" t="s">
        <v>419</v>
      </c>
    </row>
    <row r="13" spans="2:16" x14ac:dyDescent="0.3">
      <c r="B13" s="40" t="s">
        <v>420</v>
      </c>
      <c r="C13" s="40">
        <v>1500</v>
      </c>
      <c r="D13" s="40">
        <v>17500</v>
      </c>
      <c r="E13" s="40">
        <v>2000</v>
      </c>
    </row>
    <row r="14" spans="2:16" x14ac:dyDescent="0.3">
      <c r="B14" s="40" t="s">
        <v>421</v>
      </c>
      <c r="C14" s="40">
        <v>2250</v>
      </c>
      <c r="D14" s="40">
        <v>2500</v>
      </c>
      <c r="E14" s="40">
        <v>21030</v>
      </c>
    </row>
    <row r="15" spans="2:16" x14ac:dyDescent="0.3">
      <c r="B15" s="40" t="s">
        <v>422</v>
      </c>
      <c r="C15" s="40">
        <v>1850</v>
      </c>
      <c r="D15" s="40">
        <v>2150</v>
      </c>
      <c r="E15" s="40">
        <v>3000</v>
      </c>
    </row>
    <row r="16" spans="2:16" x14ac:dyDescent="0.3">
      <c r="B16" s="40" t="s">
        <v>423</v>
      </c>
      <c r="C16" s="40">
        <v>13.5</v>
      </c>
      <c r="D16" s="40">
        <v>6.38</v>
      </c>
      <c r="E16" s="40">
        <v>6.35</v>
      </c>
    </row>
    <row r="18" spans="2:15" x14ac:dyDescent="0.3">
      <c r="B18" s="117" t="s">
        <v>449</v>
      </c>
      <c r="C18" s="117"/>
      <c r="D18" s="117"/>
      <c r="E18" s="117"/>
      <c r="F18" s="117"/>
      <c r="G18" s="117"/>
      <c r="J18" s="114" t="s">
        <v>425</v>
      </c>
      <c r="K18" s="114"/>
      <c r="L18" s="114"/>
      <c r="M18" s="114"/>
      <c r="N18" s="114"/>
      <c r="O18" s="114"/>
    </row>
  </sheetData>
  <mergeCells count="3">
    <mergeCell ref="J18:O18"/>
    <mergeCell ref="I1:P1"/>
    <mergeCell ref="B18:G18"/>
  </mergeCells>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DB3EE-2598-4DF2-87F3-CF91FA28E3A0}">
  <sheetPr codeName="Sheet17"/>
  <dimension ref="A1:L23"/>
  <sheetViews>
    <sheetView workbookViewId="0">
      <selection activeCell="K22" sqref="K22"/>
    </sheetView>
  </sheetViews>
  <sheetFormatPr defaultRowHeight="14.4" x14ac:dyDescent="0.3"/>
  <cols>
    <col min="1" max="1" width="21" customWidth="1"/>
    <col min="2" max="2" width="18.21875" customWidth="1"/>
    <col min="5" max="5" width="17.6640625" customWidth="1"/>
    <col min="6" max="6" width="16.33203125" customWidth="1"/>
    <col min="8" max="8" width="15.44140625" customWidth="1"/>
    <col min="9" max="9" width="11.109375" bestFit="1" customWidth="1"/>
  </cols>
  <sheetData>
    <row r="1" spans="1:12" x14ac:dyDescent="0.3">
      <c r="A1" s="11" t="s">
        <v>1062</v>
      </c>
    </row>
    <row r="3" spans="1:12" x14ac:dyDescent="0.3">
      <c r="A3" s="121" t="s">
        <v>450</v>
      </c>
      <c r="B3" s="122"/>
      <c r="C3" s="123"/>
      <c r="E3" s="121" t="s">
        <v>432</v>
      </c>
      <c r="F3" s="123"/>
      <c r="H3" s="121" t="s">
        <v>440</v>
      </c>
      <c r="I3" s="123"/>
      <c r="L3" s="33"/>
    </row>
    <row r="4" spans="1:12" x14ac:dyDescent="0.3">
      <c r="A4" s="3" t="s">
        <v>426</v>
      </c>
      <c r="B4" s="3">
        <v>10000</v>
      </c>
      <c r="C4" s="3"/>
      <c r="E4" s="14" t="s">
        <v>433</v>
      </c>
      <c r="F4" s="14">
        <v>100000</v>
      </c>
      <c r="H4" s="14" t="s">
        <v>428</v>
      </c>
      <c r="I4" s="15">
        <v>1000</v>
      </c>
    </row>
    <row r="5" spans="1:12" x14ac:dyDescent="0.3">
      <c r="A5" s="3" t="s">
        <v>42</v>
      </c>
      <c r="B5" s="44">
        <v>0.06</v>
      </c>
      <c r="C5" s="3"/>
      <c r="E5" s="14" t="s">
        <v>42</v>
      </c>
      <c r="F5" s="43">
        <v>0.09</v>
      </c>
      <c r="H5" s="14" t="s">
        <v>441</v>
      </c>
      <c r="I5" s="15">
        <v>50000</v>
      </c>
    </row>
    <row r="6" spans="1:12" x14ac:dyDescent="0.3">
      <c r="A6" s="3" t="s">
        <v>427</v>
      </c>
      <c r="B6" s="3">
        <v>5</v>
      </c>
      <c r="C6" s="3"/>
      <c r="E6" s="14" t="s">
        <v>434</v>
      </c>
      <c r="F6" s="14">
        <v>7</v>
      </c>
      <c r="H6" s="14" t="s">
        <v>217</v>
      </c>
      <c r="I6" s="14">
        <v>60</v>
      </c>
    </row>
    <row r="7" spans="1:12" x14ac:dyDescent="0.3">
      <c r="A7" s="46" t="s">
        <v>428</v>
      </c>
      <c r="B7" s="124">
        <f>PMT(B5/12,B6*12,B4)</f>
        <v>-193.32801529427914</v>
      </c>
      <c r="C7" s="126"/>
      <c r="E7" s="14"/>
      <c r="F7" s="14"/>
      <c r="H7" s="14" t="s">
        <v>443</v>
      </c>
      <c r="I7" s="14">
        <v>12</v>
      </c>
    </row>
    <row r="8" spans="1:12" x14ac:dyDescent="0.3">
      <c r="A8" s="27" t="s">
        <v>429</v>
      </c>
      <c r="B8" s="124">
        <f>FV(B5/12,B6*12,B7)</f>
        <v>13488.50152549268</v>
      </c>
      <c r="C8" s="125"/>
      <c r="E8" s="25" t="s">
        <v>428</v>
      </c>
      <c r="F8" s="47">
        <f>PMT(F5/12,F6*12,F4)</f>
        <v>-1608.9078260038548</v>
      </c>
      <c r="H8" s="14" t="s">
        <v>505</v>
      </c>
      <c r="I8" s="43">
        <f>RATE(I6,I4,-I5)*I7</f>
        <v>7.4200957935046552E-2</v>
      </c>
      <c r="J8" s="5" t="s">
        <v>451</v>
      </c>
      <c r="K8" s="5" t="s">
        <v>452</v>
      </c>
      <c r="L8" s="33"/>
    </row>
    <row r="10" spans="1:12" x14ac:dyDescent="0.3">
      <c r="A10" s="121" t="s">
        <v>430</v>
      </c>
      <c r="B10" s="122"/>
      <c r="C10" s="123"/>
      <c r="E10" s="121" t="s">
        <v>435</v>
      </c>
      <c r="F10" s="123"/>
      <c r="H10" t="s">
        <v>442</v>
      </c>
    </row>
    <row r="11" spans="1:12" x14ac:dyDescent="0.3">
      <c r="A11" s="45" t="s">
        <v>431</v>
      </c>
      <c r="B11" s="3">
        <v>1000</v>
      </c>
      <c r="C11" s="3"/>
      <c r="E11" s="14" t="s">
        <v>433</v>
      </c>
      <c r="F11" s="14">
        <v>100000</v>
      </c>
    </row>
    <row r="12" spans="1:12" x14ac:dyDescent="0.3">
      <c r="A12" s="3" t="s">
        <v>42</v>
      </c>
      <c r="B12" s="44">
        <v>7.0000000000000007E-2</v>
      </c>
      <c r="C12" s="3"/>
      <c r="E12" s="14" t="s">
        <v>42</v>
      </c>
      <c r="F12" s="43">
        <v>0.09</v>
      </c>
    </row>
    <row r="13" spans="1:12" x14ac:dyDescent="0.3">
      <c r="A13" s="3" t="s">
        <v>427</v>
      </c>
      <c r="B13" s="4">
        <v>3</v>
      </c>
      <c r="C13" s="3"/>
      <c r="E13" s="14" t="s">
        <v>436</v>
      </c>
      <c r="F13" s="14">
        <v>7</v>
      </c>
      <c r="H13" t="s">
        <v>444</v>
      </c>
      <c r="I13" s="48">
        <f>-NPER(I15/12,I16,I14,,0)</f>
        <v>86.448382992977074</v>
      </c>
      <c r="J13" s="5" t="s">
        <v>453</v>
      </c>
      <c r="K13" s="5" t="s">
        <v>454</v>
      </c>
      <c r="L13" s="48"/>
    </row>
    <row r="14" spans="1:12" x14ac:dyDescent="0.3">
      <c r="A14" s="46" t="s">
        <v>428</v>
      </c>
      <c r="B14" s="124">
        <f>PMT(B12/12,B13*12,B11)</f>
        <v>-30.877096865371943</v>
      </c>
      <c r="C14" s="125"/>
      <c r="E14" s="14"/>
      <c r="F14" s="14"/>
      <c r="H14" t="s">
        <v>445</v>
      </c>
      <c r="I14">
        <v>50000</v>
      </c>
    </row>
    <row r="15" spans="1:12" x14ac:dyDescent="0.3">
      <c r="A15" s="27" t="s">
        <v>429</v>
      </c>
      <c r="B15" s="124">
        <f>FV(B12/12,B13*12,B14)</f>
        <v>1232.9255874769312</v>
      </c>
      <c r="C15" s="125"/>
      <c r="E15" s="25" t="s">
        <v>437</v>
      </c>
      <c r="F15" s="47">
        <f>IPMT(F12/12,1,F13*12,F11)</f>
        <v>-750</v>
      </c>
      <c r="H15" t="s">
        <v>446</v>
      </c>
      <c r="I15" s="42">
        <v>0.04</v>
      </c>
    </row>
    <row r="16" spans="1:12" x14ac:dyDescent="0.3">
      <c r="H16" t="s">
        <v>447</v>
      </c>
      <c r="I16">
        <v>500</v>
      </c>
    </row>
    <row r="17" spans="1:12" x14ac:dyDescent="0.3">
      <c r="H17">
        <v>86</v>
      </c>
      <c r="J17" t="s">
        <v>448</v>
      </c>
    </row>
    <row r="18" spans="1:12" x14ac:dyDescent="0.3">
      <c r="A18" s="121" t="s">
        <v>438</v>
      </c>
      <c r="B18" s="123"/>
    </row>
    <row r="19" spans="1:12" x14ac:dyDescent="0.3">
      <c r="A19" s="14" t="s">
        <v>433</v>
      </c>
      <c r="B19" s="14">
        <v>100000</v>
      </c>
      <c r="H19" t="s">
        <v>444</v>
      </c>
      <c r="I19" s="48">
        <f>-NPER(I21/12,I22,I20,,1)</f>
        <v>27.892059074559739</v>
      </c>
      <c r="J19" s="5" t="s">
        <v>453</v>
      </c>
      <c r="K19" s="5" t="s">
        <v>452</v>
      </c>
      <c r="L19" s="48"/>
    </row>
    <row r="20" spans="1:12" x14ac:dyDescent="0.3">
      <c r="A20" s="14" t="s">
        <v>42</v>
      </c>
      <c r="B20" s="43">
        <v>0.09</v>
      </c>
      <c r="H20" t="s">
        <v>445</v>
      </c>
      <c r="I20">
        <v>60000</v>
      </c>
    </row>
    <row r="21" spans="1:12" x14ac:dyDescent="0.3">
      <c r="A21" s="14" t="s">
        <v>434</v>
      </c>
      <c r="B21" s="14">
        <v>7</v>
      </c>
      <c r="H21" t="s">
        <v>446</v>
      </c>
      <c r="I21" s="42">
        <v>0.06</v>
      </c>
    </row>
    <row r="22" spans="1:12" x14ac:dyDescent="0.3">
      <c r="A22" s="14"/>
      <c r="B22" s="14"/>
      <c r="H22" t="s">
        <v>447</v>
      </c>
      <c r="I22">
        <v>2000</v>
      </c>
    </row>
    <row r="23" spans="1:12" x14ac:dyDescent="0.3">
      <c r="A23" s="25" t="s">
        <v>439</v>
      </c>
      <c r="B23" s="47">
        <f>PPMT(B20/12,1,B21*12,B19)</f>
        <v>-858.90782600385501</v>
      </c>
    </row>
  </sheetData>
  <mergeCells count="10">
    <mergeCell ref="A18:B18"/>
    <mergeCell ref="H3:I3"/>
    <mergeCell ref="B8:C8"/>
    <mergeCell ref="B15:C15"/>
    <mergeCell ref="B7:C7"/>
    <mergeCell ref="B14:C14"/>
    <mergeCell ref="A3:C3"/>
    <mergeCell ref="A10:C10"/>
    <mergeCell ref="E3:F3"/>
    <mergeCell ref="E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B01A-095F-4F0C-A92B-CD018AAEC1AE}">
  <sheetPr codeName="Sheet18"/>
  <dimension ref="A1:M23"/>
  <sheetViews>
    <sheetView workbookViewId="0">
      <selection activeCell="M17" sqref="M17"/>
    </sheetView>
  </sheetViews>
  <sheetFormatPr defaultRowHeight="14.4" x14ac:dyDescent="0.3"/>
  <cols>
    <col min="5" max="5" width="14" bestFit="1" customWidth="1"/>
    <col min="6" max="6" width="12.6640625" customWidth="1"/>
    <col min="13" max="13" width="11.33203125" bestFit="1" customWidth="1"/>
  </cols>
  <sheetData>
    <row r="1" spans="1:13" x14ac:dyDescent="0.3">
      <c r="A1" s="27" t="s">
        <v>455</v>
      </c>
      <c r="B1" s="27" t="s">
        <v>40</v>
      </c>
      <c r="C1" s="27" t="s">
        <v>456</v>
      </c>
      <c r="D1" s="27" t="s">
        <v>43</v>
      </c>
      <c r="E1" s="27" t="s">
        <v>330</v>
      </c>
      <c r="F1" s="27" t="s">
        <v>457</v>
      </c>
    </row>
    <row r="2" spans="1:13" x14ac:dyDescent="0.3">
      <c r="A2" s="3">
        <v>1</v>
      </c>
      <c r="B2" s="3" t="s">
        <v>458</v>
      </c>
      <c r="C2" s="3" t="s">
        <v>465</v>
      </c>
      <c r="D2" s="3">
        <v>5632</v>
      </c>
      <c r="E2" s="3" t="s">
        <v>467</v>
      </c>
      <c r="F2" s="52">
        <v>45458</v>
      </c>
      <c r="H2" s="11" t="s">
        <v>472</v>
      </c>
    </row>
    <row r="3" spans="1:13" x14ac:dyDescent="0.3">
      <c r="A3" s="3">
        <v>2</v>
      </c>
      <c r="B3" s="3" t="s">
        <v>459</v>
      </c>
      <c r="C3" s="3" t="s">
        <v>465</v>
      </c>
      <c r="D3" s="3">
        <v>2030</v>
      </c>
      <c r="E3" s="3" t="s">
        <v>468</v>
      </c>
      <c r="F3" s="52">
        <v>45459</v>
      </c>
      <c r="H3" s="11" t="s">
        <v>473</v>
      </c>
    </row>
    <row r="4" spans="1:13" x14ac:dyDescent="0.3">
      <c r="A4" s="3">
        <v>3</v>
      </c>
      <c r="B4" s="3" t="s">
        <v>460</v>
      </c>
      <c r="C4" s="3" t="s">
        <v>466</v>
      </c>
      <c r="D4" s="3">
        <v>1000</v>
      </c>
      <c r="E4" s="3" t="s">
        <v>467</v>
      </c>
      <c r="F4" s="52">
        <v>45460</v>
      </c>
      <c r="H4" s="11" t="s">
        <v>474</v>
      </c>
    </row>
    <row r="5" spans="1:13" x14ac:dyDescent="0.3">
      <c r="A5" s="3">
        <v>4</v>
      </c>
      <c r="B5" s="3" t="s">
        <v>460</v>
      </c>
      <c r="C5" s="3" t="s">
        <v>466</v>
      </c>
      <c r="D5" s="3">
        <v>2500</v>
      </c>
      <c r="E5" s="3" t="s">
        <v>334</v>
      </c>
      <c r="F5" s="52">
        <v>45461</v>
      </c>
      <c r="H5" s="11" t="s">
        <v>1063</v>
      </c>
    </row>
    <row r="6" spans="1:13" x14ac:dyDescent="0.3">
      <c r="A6" s="3">
        <v>5</v>
      </c>
      <c r="B6" s="3" t="s">
        <v>461</v>
      </c>
      <c r="C6" s="3" t="s">
        <v>465</v>
      </c>
      <c r="D6" s="3">
        <v>3600</v>
      </c>
      <c r="E6" s="3" t="s">
        <v>331</v>
      </c>
      <c r="F6" s="52">
        <v>45462</v>
      </c>
      <c r="H6" s="11" t="s">
        <v>475</v>
      </c>
    </row>
    <row r="7" spans="1:13" x14ac:dyDescent="0.3">
      <c r="A7" s="3">
        <v>6</v>
      </c>
      <c r="B7" s="3" t="s">
        <v>462</v>
      </c>
      <c r="C7" s="3" t="s">
        <v>466</v>
      </c>
      <c r="D7" s="3">
        <v>4200</v>
      </c>
      <c r="E7" s="3" t="s">
        <v>468</v>
      </c>
      <c r="F7" s="52">
        <v>45463</v>
      </c>
      <c r="H7" s="11" t="s">
        <v>476</v>
      </c>
    </row>
    <row r="8" spans="1:13" x14ac:dyDescent="0.3">
      <c r="A8" s="3">
        <v>7</v>
      </c>
      <c r="B8" s="3" t="s">
        <v>459</v>
      </c>
      <c r="C8" s="3" t="s">
        <v>465</v>
      </c>
      <c r="D8" s="3">
        <v>4300</v>
      </c>
      <c r="E8" s="3" t="s">
        <v>469</v>
      </c>
      <c r="F8" s="52">
        <v>45464</v>
      </c>
      <c r="H8" s="11" t="s">
        <v>477</v>
      </c>
    </row>
    <row r="9" spans="1:13" x14ac:dyDescent="0.3">
      <c r="A9" s="3">
        <v>8</v>
      </c>
      <c r="B9" s="3" t="s">
        <v>460</v>
      </c>
      <c r="C9" s="3" t="s">
        <v>466</v>
      </c>
      <c r="D9" s="3">
        <v>3800</v>
      </c>
      <c r="E9" s="3" t="s">
        <v>470</v>
      </c>
      <c r="F9" s="52">
        <v>45465</v>
      </c>
      <c r="H9" s="11" t="s">
        <v>478</v>
      </c>
    </row>
    <row r="10" spans="1:13" x14ac:dyDescent="0.3">
      <c r="A10" s="3">
        <v>9</v>
      </c>
      <c r="B10" s="3" t="s">
        <v>463</v>
      </c>
      <c r="C10" s="3" t="s">
        <v>466</v>
      </c>
      <c r="D10" s="3">
        <v>3201</v>
      </c>
      <c r="E10" s="3" t="s">
        <v>471</v>
      </c>
      <c r="F10" s="52">
        <v>45466</v>
      </c>
    </row>
    <row r="11" spans="1:13" x14ac:dyDescent="0.3">
      <c r="A11" s="3">
        <v>10</v>
      </c>
      <c r="B11" s="3" t="s">
        <v>464</v>
      </c>
      <c r="C11" s="3" t="s">
        <v>466</v>
      </c>
      <c r="D11" s="3">
        <v>1500</v>
      </c>
      <c r="E11" s="3" t="s">
        <v>469</v>
      </c>
      <c r="F11" s="52">
        <v>45467</v>
      </c>
    </row>
    <row r="13" spans="1:13" x14ac:dyDescent="0.3">
      <c r="A13" s="121" t="s">
        <v>523</v>
      </c>
      <c r="B13" s="122"/>
      <c r="C13" s="122"/>
      <c r="D13" s="122"/>
      <c r="E13" s="123"/>
    </row>
    <row r="14" spans="1:13" x14ac:dyDescent="0.3">
      <c r="A14" s="27" t="s">
        <v>510</v>
      </c>
      <c r="B14" s="27" t="s">
        <v>511</v>
      </c>
      <c r="C14" s="27" t="s">
        <v>484</v>
      </c>
      <c r="D14" s="27" t="s">
        <v>215</v>
      </c>
      <c r="E14" s="27" t="s">
        <v>512</v>
      </c>
    </row>
    <row r="15" spans="1:13" x14ac:dyDescent="0.3">
      <c r="A15" s="3" t="s">
        <v>513</v>
      </c>
      <c r="B15" s="3">
        <v>70</v>
      </c>
      <c r="C15" s="3" t="s">
        <v>516</v>
      </c>
      <c r="D15" s="3" t="s">
        <v>102</v>
      </c>
      <c r="E15" s="3" t="s">
        <v>517</v>
      </c>
      <c r="H15" s="11" t="s">
        <v>519</v>
      </c>
      <c r="M15">
        <v>70</v>
      </c>
    </row>
    <row r="16" spans="1:13" x14ac:dyDescent="0.3">
      <c r="A16" s="3" t="s">
        <v>514</v>
      </c>
      <c r="B16" s="3">
        <v>20</v>
      </c>
      <c r="C16" s="3" t="s">
        <v>516</v>
      </c>
      <c r="D16" s="3" t="s">
        <v>103</v>
      </c>
      <c r="E16" s="3" t="s">
        <v>518</v>
      </c>
      <c r="H16" s="11" t="s">
        <v>520</v>
      </c>
      <c r="M16">
        <v>186</v>
      </c>
    </row>
    <row r="17" spans="1:13" x14ac:dyDescent="0.3">
      <c r="A17" s="3" t="s">
        <v>515</v>
      </c>
      <c r="B17" s="3">
        <v>20</v>
      </c>
      <c r="C17" s="3" t="s">
        <v>516</v>
      </c>
      <c r="D17" s="3" t="s">
        <v>104</v>
      </c>
      <c r="E17" s="3" t="s">
        <v>517</v>
      </c>
      <c r="H17" s="11" t="s">
        <v>521</v>
      </c>
      <c r="M17" t="s">
        <v>522</v>
      </c>
    </row>
    <row r="18" spans="1:13" x14ac:dyDescent="0.3">
      <c r="A18" s="3" t="s">
        <v>513</v>
      </c>
      <c r="B18" s="3">
        <v>10</v>
      </c>
      <c r="C18" s="3" t="s">
        <v>516</v>
      </c>
      <c r="D18" s="3" t="s">
        <v>102</v>
      </c>
      <c r="E18" s="3" t="s">
        <v>517</v>
      </c>
    </row>
    <row r="19" spans="1:13" x14ac:dyDescent="0.3">
      <c r="A19" s="3" t="s">
        <v>514</v>
      </c>
      <c r="B19" s="3">
        <v>15</v>
      </c>
      <c r="C19" s="3" t="s">
        <v>516</v>
      </c>
      <c r="D19" s="3" t="s">
        <v>103</v>
      </c>
      <c r="E19" s="3" t="s">
        <v>518</v>
      </c>
    </row>
    <row r="20" spans="1:13" x14ac:dyDescent="0.3">
      <c r="A20" s="3" t="s">
        <v>515</v>
      </c>
      <c r="B20" s="3">
        <v>60</v>
      </c>
      <c r="C20" s="3" t="s">
        <v>516</v>
      </c>
      <c r="D20" s="3" t="s">
        <v>104</v>
      </c>
      <c r="E20" s="3" t="s">
        <v>517</v>
      </c>
    </row>
    <row r="21" spans="1:13" x14ac:dyDescent="0.3">
      <c r="A21" s="3" t="s">
        <v>515</v>
      </c>
      <c r="B21" s="3">
        <v>53</v>
      </c>
      <c r="C21" s="3" t="s">
        <v>516</v>
      </c>
      <c r="D21" s="3" t="s">
        <v>102</v>
      </c>
      <c r="E21" s="3" t="s">
        <v>518</v>
      </c>
    </row>
    <row r="22" spans="1:13" x14ac:dyDescent="0.3">
      <c r="A22" s="3" t="s">
        <v>513</v>
      </c>
      <c r="B22" s="3">
        <v>40</v>
      </c>
      <c r="C22" s="3" t="s">
        <v>516</v>
      </c>
      <c r="D22" s="3" t="s">
        <v>103</v>
      </c>
      <c r="E22" s="3" t="s">
        <v>518</v>
      </c>
    </row>
    <row r="23" spans="1:13" x14ac:dyDescent="0.3">
      <c r="A23" s="3" t="s">
        <v>515</v>
      </c>
      <c r="B23" s="3">
        <v>53</v>
      </c>
      <c r="C23" s="3" t="s">
        <v>516</v>
      </c>
      <c r="D23" s="3" t="s">
        <v>102</v>
      </c>
      <c r="E23" s="3" t="s">
        <v>518</v>
      </c>
    </row>
  </sheetData>
  <mergeCells count="1">
    <mergeCell ref="A13:E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37196-D2C1-45EB-8642-A4FFB8867E99}">
  <sheetPr codeName="Sheet19"/>
  <dimension ref="A1:E11"/>
  <sheetViews>
    <sheetView workbookViewId="0">
      <selection activeCell="A6" sqref="A6:E6 A8:E8 A10:E10"/>
      <pivotSelection pane="bottomRight" showHeader="1" extendable="1" dimension="2" start="2" min="1" max="3" activeRow="5" click="1" r:id="rId1">
        <pivotArea dataOnly="0" fieldPosition="0">
          <references count="1">
            <reference field="2" count="1">
              <x v="0"/>
            </reference>
          </references>
        </pivotArea>
      </pivotSelection>
    </sheetView>
  </sheetViews>
  <sheetFormatPr defaultRowHeight="14.4" x14ac:dyDescent="0.3"/>
  <cols>
    <col min="1" max="1" width="14.88671875" bestFit="1" customWidth="1"/>
    <col min="2" max="2" width="15.5546875" bestFit="1" customWidth="1"/>
    <col min="3" max="3" width="6.88671875" bestFit="1" customWidth="1"/>
    <col min="4" max="4" width="9.44140625" bestFit="1" customWidth="1"/>
    <col min="5" max="5" width="10.77734375" bestFit="1" customWidth="1"/>
    <col min="6" max="7" width="15.5546875" bestFit="1" customWidth="1"/>
    <col min="8" max="8" width="10.77734375" bestFit="1" customWidth="1"/>
  </cols>
  <sheetData>
    <row r="1" spans="1:5" x14ac:dyDescent="0.3">
      <c r="A1" s="49" t="s">
        <v>512</v>
      </c>
      <c r="B1" t="s">
        <v>483</v>
      </c>
    </row>
    <row r="3" spans="1:5" x14ac:dyDescent="0.3">
      <c r="A3" s="49" t="s">
        <v>1027</v>
      </c>
      <c r="B3" s="49" t="s">
        <v>481</v>
      </c>
    </row>
    <row r="4" spans="1:5" x14ac:dyDescent="0.3">
      <c r="A4" s="49" t="s">
        <v>479</v>
      </c>
      <c r="B4" t="s">
        <v>514</v>
      </c>
      <c r="C4" t="s">
        <v>513</v>
      </c>
      <c r="D4" t="s">
        <v>515</v>
      </c>
      <c r="E4" t="s">
        <v>480</v>
      </c>
    </row>
    <row r="5" spans="1:5" x14ac:dyDescent="0.3">
      <c r="A5" s="50" t="s">
        <v>102</v>
      </c>
      <c r="B5" s="148"/>
      <c r="C5" s="148">
        <v>80</v>
      </c>
      <c r="D5" s="148">
        <v>106</v>
      </c>
      <c r="E5" s="148">
        <v>186</v>
      </c>
    </row>
    <row r="6" spans="1:5" x14ac:dyDescent="0.3">
      <c r="A6" s="51" t="s">
        <v>516</v>
      </c>
      <c r="B6" s="148"/>
      <c r="C6" s="148">
        <v>80</v>
      </c>
      <c r="D6" s="148">
        <v>106</v>
      </c>
      <c r="E6" s="148">
        <v>186</v>
      </c>
    </row>
    <row r="7" spans="1:5" x14ac:dyDescent="0.3">
      <c r="A7" s="50" t="s">
        <v>103</v>
      </c>
      <c r="B7" s="148">
        <v>35</v>
      </c>
      <c r="C7" s="148">
        <v>40</v>
      </c>
      <c r="D7" s="148"/>
      <c r="E7" s="148">
        <v>75</v>
      </c>
    </row>
    <row r="8" spans="1:5" x14ac:dyDescent="0.3">
      <c r="A8" s="51" t="s">
        <v>516</v>
      </c>
      <c r="B8" s="148">
        <v>35</v>
      </c>
      <c r="C8" s="148">
        <v>40</v>
      </c>
      <c r="D8" s="148"/>
      <c r="E8" s="148">
        <v>75</v>
      </c>
    </row>
    <row r="9" spans="1:5" x14ac:dyDescent="0.3">
      <c r="A9" s="50" t="s">
        <v>104</v>
      </c>
      <c r="B9" s="148"/>
      <c r="C9" s="148"/>
      <c r="D9" s="148">
        <v>80</v>
      </c>
      <c r="E9" s="148">
        <v>80</v>
      </c>
    </row>
    <row r="10" spans="1:5" x14ac:dyDescent="0.3">
      <c r="A10" s="51" t="s">
        <v>516</v>
      </c>
      <c r="B10" s="148"/>
      <c r="C10" s="148"/>
      <c r="D10" s="148">
        <v>80</v>
      </c>
      <c r="E10" s="148">
        <v>80</v>
      </c>
    </row>
    <row r="11" spans="1:5" x14ac:dyDescent="0.3">
      <c r="A11" s="50" t="s">
        <v>480</v>
      </c>
      <c r="B11" s="148">
        <v>35</v>
      </c>
      <c r="C11" s="148">
        <v>120</v>
      </c>
      <c r="D11" s="148">
        <v>186</v>
      </c>
      <c r="E11" s="148">
        <v>341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0C4A-7CD2-4C33-A2B0-4F6EB9F4579D}">
  <sheetPr codeName="Sheet20"/>
  <dimension ref="A1:E7"/>
  <sheetViews>
    <sheetView topLeftCell="C1" workbookViewId="0">
      <selection activeCell="P21" sqref="P21"/>
    </sheetView>
  </sheetViews>
  <sheetFormatPr defaultRowHeight="14.4" x14ac:dyDescent="0.3"/>
  <cols>
    <col min="1" max="1" width="14.44140625" bestFit="1" customWidth="1"/>
    <col min="2" max="2" width="15.5546875" bestFit="1" customWidth="1"/>
    <col min="3" max="3" width="10.77734375" bestFit="1" customWidth="1"/>
    <col min="4" max="4" width="10.33203125" bestFit="1" customWidth="1"/>
    <col min="5" max="5" width="19.6640625" bestFit="1" customWidth="1"/>
    <col min="6" max="11" width="10.33203125" bestFit="1" customWidth="1"/>
    <col min="12" max="12" width="10.77734375" bestFit="1" customWidth="1"/>
  </cols>
  <sheetData>
    <row r="1" spans="1:5" x14ac:dyDescent="0.3">
      <c r="A1" s="49" t="s">
        <v>330</v>
      </c>
      <c r="B1" t="s">
        <v>483</v>
      </c>
      <c r="E1" s="11" t="s">
        <v>502</v>
      </c>
    </row>
    <row r="2" spans="1:5" x14ac:dyDescent="0.3">
      <c r="E2" s="11" t="s">
        <v>503</v>
      </c>
    </row>
    <row r="3" spans="1:5" x14ac:dyDescent="0.3">
      <c r="A3" s="49" t="s">
        <v>482</v>
      </c>
      <c r="B3" s="49" t="s">
        <v>481</v>
      </c>
    </row>
    <row r="4" spans="1:5" x14ac:dyDescent="0.3">
      <c r="A4" s="49" t="s">
        <v>479</v>
      </c>
      <c r="B4" s="74">
        <v>45458</v>
      </c>
      <c r="C4" t="s">
        <v>480</v>
      </c>
    </row>
    <row r="5" spans="1:5" x14ac:dyDescent="0.3">
      <c r="A5" s="50" t="s">
        <v>458</v>
      </c>
      <c r="B5" s="148">
        <v>5632</v>
      </c>
      <c r="C5" s="148">
        <v>5632</v>
      </c>
    </row>
    <row r="6" spans="1:5" x14ac:dyDescent="0.3">
      <c r="A6" s="51" t="s">
        <v>465</v>
      </c>
      <c r="B6" s="148">
        <v>5632</v>
      </c>
      <c r="C6" s="148">
        <v>5632</v>
      </c>
    </row>
    <row r="7" spans="1:5" x14ac:dyDescent="0.3">
      <c r="A7" s="50" t="s">
        <v>480</v>
      </c>
      <c r="B7" s="148">
        <v>5632</v>
      </c>
      <c r="C7" s="148">
        <v>5632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4810-10F2-4ABB-81CF-13D91B3FFC6F}">
  <sheetPr codeName="Sheet21"/>
  <dimension ref="A1:D22"/>
  <sheetViews>
    <sheetView workbookViewId="0">
      <selection activeCell="G27" sqref="G27"/>
    </sheetView>
  </sheetViews>
  <sheetFormatPr defaultRowHeight="14.4" x14ac:dyDescent="0.3"/>
  <cols>
    <col min="1" max="1" width="12.5546875" bestFit="1" customWidth="1"/>
    <col min="2" max="2" width="14.44140625" bestFit="1" customWidth="1"/>
    <col min="3" max="3" width="14.5546875" bestFit="1" customWidth="1"/>
  </cols>
  <sheetData>
    <row r="1" spans="1:4" x14ac:dyDescent="0.3">
      <c r="A1" s="49" t="s">
        <v>330</v>
      </c>
      <c r="B1" t="s">
        <v>483</v>
      </c>
      <c r="D1" s="11" t="s">
        <v>504</v>
      </c>
    </row>
    <row r="2" spans="1:4" x14ac:dyDescent="0.3">
      <c r="A2" s="49" t="s">
        <v>456</v>
      </c>
      <c r="B2" t="s">
        <v>483</v>
      </c>
    </row>
    <row r="4" spans="1:4" x14ac:dyDescent="0.3">
      <c r="A4" s="49" t="s">
        <v>479</v>
      </c>
      <c r="B4" t="s">
        <v>482</v>
      </c>
    </row>
    <row r="5" spans="1:4" x14ac:dyDescent="0.3">
      <c r="A5" s="50" t="s">
        <v>463</v>
      </c>
      <c r="B5" s="148">
        <v>3201</v>
      </c>
    </row>
    <row r="6" spans="1:4" x14ac:dyDescent="0.3">
      <c r="A6" s="51">
        <v>9</v>
      </c>
      <c r="B6" s="148">
        <v>3201</v>
      </c>
    </row>
    <row r="7" spans="1:4" x14ac:dyDescent="0.3">
      <c r="A7" s="50" t="s">
        <v>460</v>
      </c>
      <c r="B7" s="148">
        <v>7300</v>
      </c>
    </row>
    <row r="8" spans="1:4" x14ac:dyDescent="0.3">
      <c r="A8" s="51">
        <v>3</v>
      </c>
      <c r="B8" s="148">
        <v>1000</v>
      </c>
    </row>
    <row r="9" spans="1:4" x14ac:dyDescent="0.3">
      <c r="A9" s="51">
        <v>4</v>
      </c>
      <c r="B9" s="148">
        <v>2500</v>
      </c>
    </row>
    <row r="10" spans="1:4" x14ac:dyDescent="0.3">
      <c r="A10" s="51">
        <v>8</v>
      </c>
      <c r="B10" s="148">
        <v>3800</v>
      </c>
    </row>
    <row r="11" spans="1:4" x14ac:dyDescent="0.3">
      <c r="A11" s="50" t="s">
        <v>461</v>
      </c>
      <c r="B11" s="148">
        <v>3600</v>
      </c>
    </row>
    <row r="12" spans="1:4" x14ac:dyDescent="0.3">
      <c r="A12" s="51">
        <v>5</v>
      </c>
      <c r="B12" s="148">
        <v>3600</v>
      </c>
    </row>
    <row r="13" spans="1:4" x14ac:dyDescent="0.3">
      <c r="A13" s="50" t="s">
        <v>459</v>
      </c>
      <c r="B13" s="148">
        <v>6330</v>
      </c>
    </row>
    <row r="14" spans="1:4" x14ac:dyDescent="0.3">
      <c r="A14" s="51">
        <v>2</v>
      </c>
      <c r="B14" s="148">
        <v>2030</v>
      </c>
    </row>
    <row r="15" spans="1:4" x14ac:dyDescent="0.3">
      <c r="A15" s="51">
        <v>7</v>
      </c>
      <c r="B15" s="148">
        <v>4300</v>
      </c>
    </row>
    <row r="16" spans="1:4" x14ac:dyDescent="0.3">
      <c r="A16" s="50" t="s">
        <v>458</v>
      </c>
      <c r="B16" s="148">
        <v>5632</v>
      </c>
    </row>
    <row r="17" spans="1:2" x14ac:dyDescent="0.3">
      <c r="A17" s="51">
        <v>1</v>
      </c>
      <c r="B17" s="148">
        <v>5632</v>
      </c>
    </row>
    <row r="18" spans="1:2" x14ac:dyDescent="0.3">
      <c r="A18" s="50" t="s">
        <v>464</v>
      </c>
      <c r="B18" s="148">
        <v>1500</v>
      </c>
    </row>
    <row r="19" spans="1:2" x14ac:dyDescent="0.3">
      <c r="A19" s="51">
        <v>10</v>
      </c>
      <c r="B19" s="148">
        <v>1500</v>
      </c>
    </row>
    <row r="20" spans="1:2" x14ac:dyDescent="0.3">
      <c r="A20" s="50" t="s">
        <v>462</v>
      </c>
      <c r="B20" s="148">
        <v>4200</v>
      </c>
    </row>
    <row r="21" spans="1:2" x14ac:dyDescent="0.3">
      <c r="A21" s="51">
        <v>6</v>
      </c>
      <c r="B21" s="148">
        <v>4200</v>
      </c>
    </row>
    <row r="22" spans="1:2" x14ac:dyDescent="0.3">
      <c r="A22" s="50" t="s">
        <v>480</v>
      </c>
      <c r="B22" s="148">
        <v>31763</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998DA-6553-4834-BBF5-0188B79F6993}">
  <sheetPr codeName="Sheet22"/>
  <dimension ref="A1:K23"/>
  <sheetViews>
    <sheetView workbookViewId="0">
      <selection activeCell="E26" sqref="E26"/>
    </sheetView>
  </sheetViews>
  <sheetFormatPr defaultRowHeight="14.4" x14ac:dyDescent="0.3"/>
  <cols>
    <col min="2" max="2" width="14.33203125" customWidth="1"/>
    <col min="3" max="3" width="15.21875" customWidth="1"/>
  </cols>
  <sheetData>
    <row r="1" spans="1:11" x14ac:dyDescent="0.3">
      <c r="B1" s="11" t="s">
        <v>486</v>
      </c>
      <c r="C1" s="11"/>
      <c r="D1" s="11"/>
    </row>
    <row r="3" spans="1:11" x14ac:dyDescent="0.3">
      <c r="B3" s="14" t="s">
        <v>484</v>
      </c>
      <c r="C3" s="14">
        <v>222.22222222222223</v>
      </c>
      <c r="D3" s="11" t="s">
        <v>499</v>
      </c>
      <c r="K3" s="11" t="s">
        <v>597</v>
      </c>
    </row>
    <row r="4" spans="1:11" x14ac:dyDescent="0.3">
      <c r="B4" s="14" t="s">
        <v>485</v>
      </c>
      <c r="C4" s="15">
        <v>5</v>
      </c>
      <c r="K4" t="s">
        <v>598</v>
      </c>
    </row>
    <row r="5" spans="1:11" x14ac:dyDescent="0.3">
      <c r="B5" s="14" t="s">
        <v>487</v>
      </c>
      <c r="C5" s="43">
        <v>0.1</v>
      </c>
      <c r="K5" t="s">
        <v>599</v>
      </c>
    </row>
    <row r="6" spans="1:11" x14ac:dyDescent="0.3">
      <c r="B6" s="14" t="s">
        <v>488</v>
      </c>
      <c r="C6" s="15">
        <f>C3*C4*(1-C5)</f>
        <v>1000</v>
      </c>
      <c r="D6" s="11" t="s">
        <v>506</v>
      </c>
      <c r="K6" t="s">
        <v>600</v>
      </c>
    </row>
    <row r="7" spans="1:11" x14ac:dyDescent="0.3">
      <c r="A7" t="s">
        <v>489</v>
      </c>
      <c r="K7" t="s">
        <v>601</v>
      </c>
    </row>
    <row r="8" spans="1:11" x14ac:dyDescent="0.3">
      <c r="K8" t="s">
        <v>603</v>
      </c>
    </row>
    <row r="9" spans="1:11" x14ac:dyDescent="0.3">
      <c r="B9" s="120" t="s">
        <v>490</v>
      </c>
      <c r="C9" s="120"/>
    </row>
    <row r="10" spans="1:11" x14ac:dyDescent="0.3">
      <c r="B10" s="14" t="s">
        <v>491</v>
      </c>
      <c r="C10" s="14">
        <v>250</v>
      </c>
      <c r="D10" s="11" t="s">
        <v>499</v>
      </c>
    </row>
    <row r="11" spans="1:11" x14ac:dyDescent="0.3">
      <c r="B11" s="14" t="s">
        <v>492</v>
      </c>
      <c r="C11" s="14">
        <v>80</v>
      </c>
    </row>
    <row r="12" spans="1:11" x14ac:dyDescent="0.3">
      <c r="B12" s="14" t="s">
        <v>493</v>
      </c>
      <c r="C12" s="14">
        <f>C10*C11</f>
        <v>20000</v>
      </c>
      <c r="D12" s="11" t="s">
        <v>501</v>
      </c>
    </row>
    <row r="13" spans="1:11" x14ac:dyDescent="0.3">
      <c r="A13" t="s">
        <v>494</v>
      </c>
    </row>
    <row r="15" spans="1:11" x14ac:dyDescent="0.3">
      <c r="B15" s="40" t="s">
        <v>495</v>
      </c>
      <c r="C15" s="53">
        <v>0.65</v>
      </c>
    </row>
    <row r="16" spans="1:11" x14ac:dyDescent="0.3">
      <c r="B16" s="40" t="s">
        <v>496</v>
      </c>
      <c r="C16" s="53">
        <v>0.72</v>
      </c>
    </row>
    <row r="17" spans="2:9" x14ac:dyDescent="0.3">
      <c r="B17" s="40" t="s">
        <v>497</v>
      </c>
      <c r="C17" s="54">
        <v>0.72999999999999976</v>
      </c>
      <c r="D17" s="11" t="s">
        <v>499</v>
      </c>
      <c r="G17" s="14" t="s">
        <v>507</v>
      </c>
      <c r="H17" s="14">
        <v>70</v>
      </c>
    </row>
    <row r="18" spans="2:9" x14ac:dyDescent="0.3">
      <c r="B18" s="40" t="s">
        <v>498</v>
      </c>
      <c r="C18" s="53">
        <f>AVERAGE(C15:C17)</f>
        <v>0.69999999999999984</v>
      </c>
      <c r="D18" s="11" t="s">
        <v>500</v>
      </c>
      <c r="G18" s="14" t="s">
        <v>508</v>
      </c>
      <c r="H18" s="14">
        <v>80</v>
      </c>
    </row>
    <row r="19" spans="2:9" x14ac:dyDescent="0.3">
      <c r="G19" s="14" t="s">
        <v>509</v>
      </c>
      <c r="H19" s="14">
        <v>90</v>
      </c>
      <c r="I19" s="11" t="s">
        <v>499</v>
      </c>
    </row>
    <row r="20" spans="2:9" x14ac:dyDescent="0.3">
      <c r="B20" s="40" t="s">
        <v>507</v>
      </c>
      <c r="C20" s="53">
        <v>0.25</v>
      </c>
      <c r="G20" s="14" t="s">
        <v>602</v>
      </c>
      <c r="H20" s="14">
        <f>MAX(H17:H19)</f>
        <v>90</v>
      </c>
      <c r="I20" s="11" t="s">
        <v>604</v>
      </c>
    </row>
    <row r="21" spans="2:9" x14ac:dyDescent="0.3">
      <c r="B21" s="40" t="s">
        <v>508</v>
      </c>
      <c r="C21" s="53">
        <v>0.26</v>
      </c>
    </row>
    <row r="22" spans="2:9" x14ac:dyDescent="0.3">
      <c r="B22" s="40" t="s">
        <v>509</v>
      </c>
      <c r="C22" s="55">
        <v>0.14000000000000004</v>
      </c>
      <c r="D22" s="11" t="s">
        <v>499</v>
      </c>
    </row>
    <row r="23" spans="2:9" x14ac:dyDescent="0.3">
      <c r="B23" s="40" t="s">
        <v>230</v>
      </c>
      <c r="C23" s="43">
        <f>SUM(C20:C22)</f>
        <v>0.65</v>
      </c>
      <c r="D23" s="11" t="s">
        <v>189</v>
      </c>
    </row>
  </sheetData>
  <mergeCells count="1">
    <mergeCell ref="B9:C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07D71-8C23-4EEE-8AE7-ED41948DE877}">
  <sheetPr codeName="Sheet23"/>
  <dimension ref="B2:H26"/>
  <sheetViews>
    <sheetView topLeftCell="A2" workbookViewId="0">
      <selection activeCell="F13" sqref="F13"/>
    </sheetView>
  </sheetViews>
  <sheetFormatPr defaultRowHeight="14.4" x14ac:dyDescent="0.3"/>
  <cols>
    <col min="2" max="2" width="20.77734375" customWidth="1"/>
    <col min="3" max="3" width="27.5546875" customWidth="1"/>
  </cols>
  <sheetData>
    <row r="2" spans="2:8" x14ac:dyDescent="0.3">
      <c r="B2" s="11" t="s">
        <v>535</v>
      </c>
    </row>
    <row r="4" spans="2:8" x14ac:dyDescent="0.3">
      <c r="B4" s="25" t="s">
        <v>524</v>
      </c>
      <c r="C4" s="14"/>
      <c r="H4" s="11" t="s">
        <v>597</v>
      </c>
    </row>
    <row r="5" spans="2:8" x14ac:dyDescent="0.3">
      <c r="B5" s="14"/>
      <c r="C5" s="14"/>
      <c r="H5" t="s">
        <v>605</v>
      </c>
    </row>
    <row r="6" spans="2:8" x14ac:dyDescent="0.3">
      <c r="B6" s="25" t="s">
        <v>525</v>
      </c>
      <c r="C6" s="14"/>
      <c r="H6" t="s">
        <v>616</v>
      </c>
    </row>
    <row r="7" spans="2:8" x14ac:dyDescent="0.3">
      <c r="B7" s="14" t="s">
        <v>526</v>
      </c>
      <c r="C7" s="14">
        <v>300</v>
      </c>
      <c r="H7" t="s">
        <v>615</v>
      </c>
    </row>
    <row r="8" spans="2:8" x14ac:dyDescent="0.3">
      <c r="B8" s="14"/>
      <c r="C8" s="14"/>
      <c r="H8" t="s">
        <v>614</v>
      </c>
    </row>
    <row r="9" spans="2:8" x14ac:dyDescent="0.3">
      <c r="B9" s="14" t="s">
        <v>527</v>
      </c>
      <c r="C9" s="56">
        <v>4000</v>
      </c>
      <c r="H9" t="s">
        <v>617</v>
      </c>
    </row>
    <row r="10" spans="2:8" x14ac:dyDescent="0.3">
      <c r="B10" s="14" t="s">
        <v>528</v>
      </c>
      <c r="C10" s="15">
        <v>500</v>
      </c>
      <c r="H10" t="s">
        <v>618</v>
      </c>
    </row>
    <row r="11" spans="2:8" x14ac:dyDescent="0.3">
      <c r="B11" s="14" t="s">
        <v>529</v>
      </c>
      <c r="C11" s="15">
        <v>300</v>
      </c>
      <c r="H11" t="s">
        <v>619</v>
      </c>
    </row>
    <row r="12" spans="2:8" x14ac:dyDescent="0.3">
      <c r="B12" s="14" t="s">
        <v>530</v>
      </c>
      <c r="C12" s="15">
        <v>250</v>
      </c>
      <c r="H12" t="s">
        <v>620</v>
      </c>
    </row>
    <row r="13" spans="2:8" x14ac:dyDescent="0.3">
      <c r="B13" s="14" t="s">
        <v>531</v>
      </c>
      <c r="C13" s="15">
        <v>200</v>
      </c>
      <c r="H13" t="s">
        <v>621</v>
      </c>
    </row>
    <row r="14" spans="2:8" x14ac:dyDescent="0.3">
      <c r="B14" s="14" t="s">
        <v>532</v>
      </c>
      <c r="C14" s="15">
        <v>150</v>
      </c>
      <c r="H14" t="s">
        <v>622</v>
      </c>
    </row>
    <row r="15" spans="2:8" x14ac:dyDescent="0.3">
      <c r="B15" s="14" t="s">
        <v>533</v>
      </c>
      <c r="C15" s="15">
        <v>100</v>
      </c>
      <c r="H15" t="s">
        <v>623</v>
      </c>
    </row>
    <row r="16" spans="2:8" x14ac:dyDescent="0.3">
      <c r="B16" s="25" t="s">
        <v>534</v>
      </c>
      <c r="C16" s="56">
        <v>5500</v>
      </c>
      <c r="H16" t="s">
        <v>624</v>
      </c>
    </row>
    <row r="17" spans="2:8" x14ac:dyDescent="0.3">
      <c r="H17" t="s">
        <v>625</v>
      </c>
    </row>
    <row r="18" spans="2:8" x14ac:dyDescent="0.3">
      <c r="H18" t="s">
        <v>626</v>
      </c>
    </row>
    <row r="19" spans="2:8" x14ac:dyDescent="0.3">
      <c r="B19" s="14" t="s">
        <v>527</v>
      </c>
      <c r="C19" s="56">
        <v>2000</v>
      </c>
    </row>
    <row r="20" spans="2:8" x14ac:dyDescent="0.3">
      <c r="B20" s="14" t="s">
        <v>528</v>
      </c>
      <c r="C20" s="15">
        <v>400</v>
      </c>
    </row>
    <row r="21" spans="2:8" x14ac:dyDescent="0.3">
      <c r="B21" s="14" t="s">
        <v>529</v>
      </c>
      <c r="C21" s="15">
        <v>200</v>
      </c>
    </row>
    <row r="22" spans="2:8" x14ac:dyDescent="0.3">
      <c r="B22" s="14" t="s">
        <v>530</v>
      </c>
      <c r="C22" s="15">
        <v>300</v>
      </c>
    </row>
    <row r="23" spans="2:8" x14ac:dyDescent="0.3">
      <c r="B23" s="14" t="s">
        <v>531</v>
      </c>
      <c r="C23" s="15">
        <v>150</v>
      </c>
    </row>
    <row r="24" spans="2:8" x14ac:dyDescent="0.3">
      <c r="B24" s="14" t="s">
        <v>532</v>
      </c>
      <c r="C24" s="15">
        <v>100</v>
      </c>
    </row>
    <row r="25" spans="2:8" x14ac:dyDescent="0.3">
      <c r="B25" s="14" t="s">
        <v>533</v>
      </c>
      <c r="C25" s="15">
        <v>50</v>
      </c>
    </row>
    <row r="26" spans="2:8" x14ac:dyDescent="0.3">
      <c r="B26" s="73" t="s">
        <v>606</v>
      </c>
      <c r="C26" s="57">
        <f>AVERAGE(C19:C25)</f>
        <v>457.14285714285717</v>
      </c>
    </row>
  </sheetData>
  <scenarios current="3" sqref="C26">
    <scenario name="Min Scenario" locked="1" count="7" user="Jaimin Shah" comment="Created by Jaimin Shah on 20-06-2024">
      <inputCells r="C9" val="3500" numFmtId="165"/>
      <inputCells r="C10" val="450"/>
      <inputCells r="C11" val="275"/>
      <inputCells r="C12" val="225"/>
      <inputCells r="C13" val="150"/>
      <inputCells r="C14" val="125"/>
      <inputCells r="C15" val="50"/>
    </scenario>
    <scenario name="Max. Avg." locked="1" count="7" user="Jaimin Shah" comment="Created by Jaimin Shah on 22-06-2024_x000a_Modified by Jaimin Shah on 23-07-2024">
      <inputCells r="C19" val="2500" numFmtId="165"/>
      <inputCells r="C20" val="450"/>
      <inputCells r="C21" val="300"/>
      <inputCells r="C22" val="376"/>
      <inputCells r="C23" val="230"/>
      <inputCells r="C24" val="170"/>
      <inputCells r="C25" val="120"/>
    </scenario>
    <scenario name="Min Avg." locked="1" count="7" user="Jaimin Shah" comment="Created by Jaimin Shah on 22-06-2024_x000a_Modified by Jaimin Shah on 23-07-2024">
      <inputCells r="C19" val="1500" numFmtId="165"/>
      <inputCells r="C20" val="300"/>
      <inputCells r="C21" val="100"/>
      <inputCells r="C22" val="200"/>
      <inputCells r="C23" val="100"/>
      <inputCells r="C24" val="50"/>
      <inputCells r="C25" val="20"/>
    </scenario>
    <scenario name="Max. Scenario" locked="1" count="8" user="Jaimin Shah" comment="Created by Jaimin Shah on 23-07-2024">
      <inputCells r="C9" val="4500" numFmtId="165"/>
      <inputCells r="C10" val="600"/>
      <inputCells r="C11" val="350"/>
      <inputCells r="C12" val="300"/>
      <inputCells r="C13" val="250"/>
      <inputCells r="C14" val="200"/>
      <inputCells r="C15" val="150"/>
      <inputCells r="C16" val="125"/>
    </scenario>
  </scenario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85E8-034D-4A55-A991-3FD457FF1D41}">
  <sheetPr codeName="Sheet24">
    <outlinePr summaryBelow="0"/>
  </sheetPr>
  <dimension ref="B1:F17"/>
  <sheetViews>
    <sheetView showGridLines="0" workbookViewId="0"/>
  </sheetViews>
  <sheetFormatPr defaultRowHeight="14.4" outlineLevelRow="1" outlineLevelCol="1" x14ac:dyDescent="0.3"/>
  <cols>
    <col min="3" max="3" width="6.109375" bestFit="1" customWidth="1"/>
    <col min="4" max="6" width="13.109375" bestFit="1" customWidth="1" outlineLevel="1"/>
  </cols>
  <sheetData>
    <row r="1" spans="2:6" ht="15" thickBot="1" x14ac:dyDescent="0.35"/>
    <row r="2" spans="2:6" ht="15.6" x14ac:dyDescent="0.3">
      <c r="B2" s="60" t="s">
        <v>547</v>
      </c>
      <c r="C2" s="60"/>
      <c r="D2" s="65"/>
      <c r="E2" s="65"/>
      <c r="F2" s="65"/>
    </row>
    <row r="3" spans="2:6" ht="15.6" collapsed="1" x14ac:dyDescent="0.3">
      <c r="B3" s="59"/>
      <c r="C3" s="59"/>
      <c r="D3" s="66" t="s">
        <v>549</v>
      </c>
      <c r="E3" s="66" t="s">
        <v>544</v>
      </c>
      <c r="F3" s="66" t="s">
        <v>546</v>
      </c>
    </row>
    <row r="4" spans="2:6" ht="30.6" hidden="1" outlineLevel="1" x14ac:dyDescent="0.3">
      <c r="B4" s="62"/>
      <c r="C4" s="62"/>
      <c r="E4" s="69" t="s">
        <v>545</v>
      </c>
      <c r="F4" s="69" t="s">
        <v>545</v>
      </c>
    </row>
    <row r="5" spans="2:6" x14ac:dyDescent="0.3">
      <c r="B5" s="63" t="s">
        <v>548</v>
      </c>
      <c r="C5" s="63"/>
      <c r="D5" s="61"/>
      <c r="E5" s="61"/>
      <c r="F5" s="61"/>
    </row>
    <row r="6" spans="2:6" outlineLevel="1" x14ac:dyDescent="0.3">
      <c r="B6" s="62"/>
      <c r="C6" s="62" t="s">
        <v>536</v>
      </c>
      <c r="D6" s="57">
        <v>4000</v>
      </c>
      <c r="E6" s="67">
        <v>4500</v>
      </c>
      <c r="F6" s="67">
        <v>3500</v>
      </c>
    </row>
    <row r="7" spans="2:6" outlineLevel="1" x14ac:dyDescent="0.3">
      <c r="B7" s="62"/>
      <c r="C7" s="62" t="s">
        <v>537</v>
      </c>
      <c r="D7">
        <v>500</v>
      </c>
      <c r="E7" s="68">
        <v>525</v>
      </c>
      <c r="F7" s="68">
        <v>450</v>
      </c>
    </row>
    <row r="8" spans="2:6" outlineLevel="1" x14ac:dyDescent="0.3">
      <c r="B8" s="62"/>
      <c r="C8" s="62" t="s">
        <v>538</v>
      </c>
      <c r="D8">
        <v>300</v>
      </c>
      <c r="E8" s="68">
        <v>350</v>
      </c>
      <c r="F8" s="68">
        <v>275</v>
      </c>
    </row>
    <row r="9" spans="2:6" outlineLevel="1" x14ac:dyDescent="0.3">
      <c r="B9" s="62"/>
      <c r="C9" s="62" t="s">
        <v>539</v>
      </c>
      <c r="D9">
        <v>250</v>
      </c>
      <c r="E9" s="68">
        <v>275</v>
      </c>
      <c r="F9" s="68">
        <v>225</v>
      </c>
    </row>
    <row r="10" spans="2:6" outlineLevel="1" x14ac:dyDescent="0.3">
      <c r="B10" s="62"/>
      <c r="C10" s="62" t="s">
        <v>540</v>
      </c>
      <c r="D10">
        <v>200</v>
      </c>
      <c r="E10" s="68">
        <v>275</v>
      </c>
      <c r="F10" s="68">
        <v>150</v>
      </c>
    </row>
    <row r="11" spans="2:6" outlineLevel="1" x14ac:dyDescent="0.3">
      <c r="B11" s="62"/>
      <c r="C11" s="62" t="s">
        <v>541</v>
      </c>
      <c r="D11">
        <v>150</v>
      </c>
      <c r="E11" s="68">
        <v>180</v>
      </c>
      <c r="F11" s="68">
        <v>125</v>
      </c>
    </row>
    <row r="12" spans="2:6" outlineLevel="1" x14ac:dyDescent="0.3">
      <c r="B12" s="62"/>
      <c r="C12" s="62" t="s">
        <v>542</v>
      </c>
      <c r="D12">
        <v>100</v>
      </c>
      <c r="E12" s="68">
        <v>150</v>
      </c>
      <c r="F12" s="68">
        <v>50</v>
      </c>
    </row>
    <row r="13" spans="2:6" x14ac:dyDescent="0.3">
      <c r="B13" s="63" t="s">
        <v>550</v>
      </c>
      <c r="C13" s="63"/>
      <c r="D13" s="61"/>
      <c r="E13" s="61"/>
      <c r="F13" s="61"/>
    </row>
    <row r="14" spans="2:6" ht="15" outlineLevel="1" thickBot="1" x14ac:dyDescent="0.35">
      <c r="B14" s="64"/>
      <c r="C14" s="64" t="s">
        <v>543</v>
      </c>
      <c r="D14" s="58">
        <v>5500</v>
      </c>
      <c r="E14" s="58">
        <v>6255</v>
      </c>
      <c r="F14" s="58">
        <v>4775</v>
      </c>
    </row>
    <row r="15" spans="2:6" x14ac:dyDescent="0.3">
      <c r="B15" t="s">
        <v>551</v>
      </c>
    </row>
    <row r="16" spans="2:6" x14ac:dyDescent="0.3">
      <c r="B16" t="s">
        <v>552</v>
      </c>
    </row>
    <row r="17" spans="2:2" x14ac:dyDescent="0.3">
      <c r="B17" t="s">
        <v>553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79C5-17AD-4FAB-818A-4B8B504B60A5}">
  <sheetPr codeName="Sheet25">
    <outlinePr summaryBelow="0"/>
  </sheetPr>
  <dimension ref="B1:H24"/>
  <sheetViews>
    <sheetView showGridLines="0" workbookViewId="0"/>
  </sheetViews>
  <sheetFormatPr defaultRowHeight="14.4" outlineLevelRow="1" outlineLevelCol="1" x14ac:dyDescent="0.3"/>
  <cols>
    <col min="3" max="3" width="6.109375" bestFit="1" customWidth="1"/>
    <col min="4" max="8" width="13.109375" bestFit="1" customWidth="1" outlineLevel="1"/>
  </cols>
  <sheetData>
    <row r="1" spans="2:8" ht="15" thickBot="1" x14ac:dyDescent="0.35"/>
    <row r="2" spans="2:8" ht="15.6" x14ac:dyDescent="0.3">
      <c r="B2" s="60" t="s">
        <v>547</v>
      </c>
      <c r="C2" s="60"/>
      <c r="D2" s="65"/>
      <c r="E2" s="65"/>
      <c r="F2" s="65"/>
      <c r="G2" s="65"/>
      <c r="H2" s="65"/>
    </row>
    <row r="3" spans="2:8" ht="15.6" collapsed="1" x14ac:dyDescent="0.3">
      <c r="B3" s="59"/>
      <c r="C3" s="59"/>
      <c r="D3" s="66" t="s">
        <v>549</v>
      </c>
      <c r="E3" s="66" t="s">
        <v>544</v>
      </c>
      <c r="F3" s="66" t="s">
        <v>546</v>
      </c>
      <c r="G3" s="66" t="s">
        <v>639</v>
      </c>
      <c r="H3" s="66" t="s">
        <v>641</v>
      </c>
    </row>
    <row r="4" spans="2:8" ht="30.6" hidden="1" outlineLevel="1" x14ac:dyDescent="0.3">
      <c r="B4" s="62"/>
      <c r="C4" s="62"/>
      <c r="E4" s="69" t="s">
        <v>545</v>
      </c>
      <c r="F4" s="69" t="s">
        <v>545</v>
      </c>
      <c r="G4" s="69" t="s">
        <v>640</v>
      </c>
      <c r="H4" s="69" t="s">
        <v>640</v>
      </c>
    </row>
    <row r="5" spans="2:8" x14ac:dyDescent="0.3">
      <c r="B5" s="63" t="s">
        <v>548</v>
      </c>
      <c r="C5" s="63"/>
      <c r="D5" s="61"/>
      <c r="E5" s="61"/>
      <c r="F5" s="61"/>
      <c r="G5" s="61"/>
      <c r="H5" s="61"/>
    </row>
    <row r="6" spans="2:8" outlineLevel="1" x14ac:dyDescent="0.3">
      <c r="B6" s="62"/>
      <c r="C6" s="62" t="s">
        <v>536</v>
      </c>
      <c r="D6" s="57">
        <v>4000</v>
      </c>
      <c r="E6" s="67">
        <v>4500</v>
      </c>
      <c r="F6" s="67">
        <v>3500</v>
      </c>
      <c r="G6" s="57">
        <v>4000</v>
      </c>
      <c r="H6" s="57">
        <v>4000</v>
      </c>
    </row>
    <row r="7" spans="2:8" outlineLevel="1" x14ac:dyDescent="0.3">
      <c r="B7" s="62"/>
      <c r="C7" s="62" t="s">
        <v>537</v>
      </c>
      <c r="D7">
        <v>500</v>
      </c>
      <c r="E7" s="68">
        <v>525</v>
      </c>
      <c r="F7" s="68">
        <v>450</v>
      </c>
      <c r="G7">
        <v>500</v>
      </c>
      <c r="H7">
        <v>500</v>
      </c>
    </row>
    <row r="8" spans="2:8" outlineLevel="1" x14ac:dyDescent="0.3">
      <c r="B8" s="62"/>
      <c r="C8" s="62" t="s">
        <v>538</v>
      </c>
      <c r="D8">
        <v>300</v>
      </c>
      <c r="E8" s="68">
        <v>350</v>
      </c>
      <c r="F8" s="68">
        <v>275</v>
      </c>
      <c r="G8">
        <v>300</v>
      </c>
      <c r="H8">
        <v>300</v>
      </c>
    </row>
    <row r="9" spans="2:8" outlineLevel="1" x14ac:dyDescent="0.3">
      <c r="B9" s="62"/>
      <c r="C9" s="62" t="s">
        <v>539</v>
      </c>
      <c r="D9">
        <v>250</v>
      </c>
      <c r="E9" s="68">
        <v>275</v>
      </c>
      <c r="F9" s="68">
        <v>225</v>
      </c>
      <c r="G9">
        <v>250</v>
      </c>
      <c r="H9">
        <v>250</v>
      </c>
    </row>
    <row r="10" spans="2:8" outlineLevel="1" x14ac:dyDescent="0.3">
      <c r="B10" s="62"/>
      <c r="C10" s="62" t="s">
        <v>540</v>
      </c>
      <c r="D10">
        <v>200</v>
      </c>
      <c r="E10" s="68">
        <v>275</v>
      </c>
      <c r="F10" s="68">
        <v>150</v>
      </c>
      <c r="G10">
        <v>200</v>
      </c>
      <c r="H10">
        <v>200</v>
      </c>
    </row>
    <row r="11" spans="2:8" outlineLevel="1" x14ac:dyDescent="0.3">
      <c r="B11" s="62"/>
      <c r="C11" s="62" t="s">
        <v>541</v>
      </c>
      <c r="D11">
        <v>150</v>
      </c>
      <c r="E11" s="68">
        <v>180</v>
      </c>
      <c r="F11" s="68">
        <v>125</v>
      </c>
      <c r="G11">
        <v>150</v>
      </c>
      <c r="H11">
        <v>150</v>
      </c>
    </row>
    <row r="12" spans="2:8" outlineLevel="1" x14ac:dyDescent="0.3">
      <c r="B12" s="62"/>
      <c r="C12" s="62" t="s">
        <v>542</v>
      </c>
      <c r="D12">
        <v>100</v>
      </c>
      <c r="E12" s="68">
        <v>150</v>
      </c>
      <c r="F12" s="68">
        <v>50</v>
      </c>
      <c r="G12">
        <v>100</v>
      </c>
      <c r="H12">
        <v>100</v>
      </c>
    </row>
    <row r="13" spans="2:8" outlineLevel="1" x14ac:dyDescent="0.3">
      <c r="B13" s="62"/>
      <c r="C13" s="62" t="s">
        <v>607</v>
      </c>
      <c r="D13" s="57">
        <v>2000</v>
      </c>
      <c r="E13" s="57">
        <v>2000</v>
      </c>
      <c r="F13" s="57">
        <v>2000</v>
      </c>
      <c r="G13" s="67">
        <v>2500</v>
      </c>
      <c r="H13" s="67">
        <v>1500</v>
      </c>
    </row>
    <row r="14" spans="2:8" outlineLevel="1" x14ac:dyDescent="0.3">
      <c r="B14" s="62"/>
      <c r="C14" s="62" t="s">
        <v>608</v>
      </c>
      <c r="D14">
        <v>400</v>
      </c>
      <c r="E14">
        <v>400</v>
      </c>
      <c r="F14">
        <v>400</v>
      </c>
      <c r="G14" s="68">
        <v>450</v>
      </c>
      <c r="H14" s="68">
        <v>300</v>
      </c>
    </row>
    <row r="15" spans="2:8" outlineLevel="1" x14ac:dyDescent="0.3">
      <c r="B15" s="62"/>
      <c r="C15" s="62" t="s">
        <v>609</v>
      </c>
      <c r="D15">
        <v>200</v>
      </c>
      <c r="E15">
        <v>200</v>
      </c>
      <c r="F15">
        <v>200</v>
      </c>
      <c r="G15" s="68">
        <v>300</v>
      </c>
      <c r="H15" s="68">
        <v>100</v>
      </c>
    </row>
    <row r="16" spans="2:8" outlineLevel="1" x14ac:dyDescent="0.3">
      <c r="B16" s="62"/>
      <c r="C16" s="62" t="s">
        <v>610</v>
      </c>
      <c r="D16">
        <v>300</v>
      </c>
      <c r="E16">
        <v>300</v>
      </c>
      <c r="F16">
        <v>300</v>
      </c>
      <c r="G16" s="68">
        <v>376</v>
      </c>
      <c r="H16" s="68">
        <v>200</v>
      </c>
    </row>
    <row r="17" spans="2:8" outlineLevel="1" x14ac:dyDescent="0.3">
      <c r="B17" s="62"/>
      <c r="C17" s="62" t="s">
        <v>611</v>
      </c>
      <c r="D17">
        <v>150</v>
      </c>
      <c r="E17">
        <v>150</v>
      </c>
      <c r="F17">
        <v>150</v>
      </c>
      <c r="G17" s="68">
        <v>230</v>
      </c>
      <c r="H17" s="68">
        <v>100</v>
      </c>
    </row>
    <row r="18" spans="2:8" outlineLevel="1" x14ac:dyDescent="0.3">
      <c r="B18" s="62"/>
      <c r="C18" s="62" t="s">
        <v>612</v>
      </c>
      <c r="D18">
        <v>100</v>
      </c>
      <c r="E18">
        <v>100</v>
      </c>
      <c r="F18">
        <v>100</v>
      </c>
      <c r="G18" s="68">
        <v>170</v>
      </c>
      <c r="H18" s="68">
        <v>50</v>
      </c>
    </row>
    <row r="19" spans="2:8" outlineLevel="1" x14ac:dyDescent="0.3">
      <c r="B19" s="62"/>
      <c r="C19" s="62" t="s">
        <v>613</v>
      </c>
      <c r="D19">
        <v>50</v>
      </c>
      <c r="E19">
        <v>50</v>
      </c>
      <c r="F19">
        <v>50</v>
      </c>
      <c r="G19" s="68">
        <v>120</v>
      </c>
      <c r="H19" s="68">
        <v>20</v>
      </c>
    </row>
    <row r="20" spans="2:8" x14ac:dyDescent="0.3">
      <c r="B20" s="63" t="s">
        <v>550</v>
      </c>
      <c r="C20" s="63"/>
      <c r="D20" s="61"/>
      <c r="E20" s="61"/>
      <c r="F20" s="61"/>
      <c r="G20" s="61"/>
      <c r="H20" s="61"/>
    </row>
    <row r="21" spans="2:8" ht="15" outlineLevel="1" thickBot="1" x14ac:dyDescent="0.35">
      <c r="B21" s="64"/>
      <c r="C21" s="64" t="s">
        <v>638</v>
      </c>
      <c r="D21" s="58">
        <v>457.142857142857</v>
      </c>
      <c r="E21" s="58">
        <v>457.142857142857</v>
      </c>
      <c r="F21" s="58">
        <v>457.142857142857</v>
      </c>
      <c r="G21" s="58">
        <v>592.28571428571399</v>
      </c>
      <c r="H21" s="58">
        <v>324.28571428571399</v>
      </c>
    </row>
    <row r="22" spans="2:8" x14ac:dyDescent="0.3">
      <c r="B22" t="s">
        <v>551</v>
      </c>
    </row>
    <row r="23" spans="2:8" x14ac:dyDescent="0.3">
      <c r="B23" t="s">
        <v>552</v>
      </c>
    </row>
    <row r="24" spans="2:8" x14ac:dyDescent="0.3">
      <c r="B24" t="s">
        <v>553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8465-DB45-41FE-AAD5-FE358CCDA4E8}">
  <sheetPr codeName="Sheet26"/>
  <dimension ref="A1:V57"/>
  <sheetViews>
    <sheetView workbookViewId="0">
      <selection activeCell="B18" sqref="B18"/>
    </sheetView>
  </sheetViews>
  <sheetFormatPr defaultRowHeight="14.4" x14ac:dyDescent="0.3"/>
  <cols>
    <col min="2" max="2" width="14.88671875" bestFit="1" customWidth="1"/>
    <col min="9" max="9" width="24.77734375" bestFit="1" customWidth="1"/>
    <col min="10" max="10" width="40.44140625" bestFit="1" customWidth="1"/>
  </cols>
  <sheetData>
    <row r="1" spans="1:22" x14ac:dyDescent="0.3">
      <c r="B1" s="11" t="s">
        <v>561</v>
      </c>
      <c r="K1" s="11" t="s">
        <v>562</v>
      </c>
    </row>
    <row r="2" spans="1:22" x14ac:dyDescent="0.3">
      <c r="R2" s="11" t="s">
        <v>597</v>
      </c>
    </row>
    <row r="3" spans="1:22" x14ac:dyDescent="0.3">
      <c r="B3" s="127" t="s">
        <v>554</v>
      </c>
      <c r="C3" s="128"/>
      <c r="J3" t="s">
        <v>563</v>
      </c>
      <c r="K3" s="44">
        <v>0.05</v>
      </c>
      <c r="L3" s="3">
        <f>C7</f>
        <v>5000</v>
      </c>
      <c r="M3" t="s">
        <v>572</v>
      </c>
      <c r="R3" t="s">
        <v>627</v>
      </c>
    </row>
    <row r="4" spans="1:22" x14ac:dyDescent="0.3">
      <c r="B4" s="14" t="s">
        <v>555</v>
      </c>
      <c r="C4" s="14">
        <v>50000</v>
      </c>
      <c r="K4" s="44">
        <v>0.06</v>
      </c>
      <c r="L4" s="3">
        <f t="dataTable" ref="L4:L8" dt2D="0" dtr="0" r1="K3"/>
        <v>5000</v>
      </c>
      <c r="R4" t="s">
        <v>628</v>
      </c>
    </row>
    <row r="5" spans="1:22" x14ac:dyDescent="0.3">
      <c r="B5" s="14" t="s">
        <v>556</v>
      </c>
      <c r="C5" s="43">
        <v>0.05</v>
      </c>
      <c r="K5" s="44">
        <v>7.0000000000000007E-2</v>
      </c>
      <c r="L5" s="3">
        <v>5000</v>
      </c>
      <c r="R5" t="s">
        <v>630</v>
      </c>
    </row>
    <row r="6" spans="1:22" x14ac:dyDescent="0.3">
      <c r="B6" s="14" t="s">
        <v>557</v>
      </c>
      <c r="C6" s="14">
        <v>2</v>
      </c>
      <c r="K6" s="44">
        <v>0.08</v>
      </c>
      <c r="L6" s="3">
        <v>5000</v>
      </c>
      <c r="R6" t="s">
        <v>631</v>
      </c>
    </row>
    <row r="7" spans="1:22" x14ac:dyDescent="0.3">
      <c r="B7" s="14" t="s">
        <v>558</v>
      </c>
      <c r="C7" s="14">
        <f>C4*C5*C6</f>
        <v>5000</v>
      </c>
      <c r="K7" s="44">
        <v>0.09</v>
      </c>
      <c r="L7" s="3">
        <v>5000</v>
      </c>
      <c r="R7" t="s">
        <v>1031</v>
      </c>
    </row>
    <row r="8" spans="1:22" x14ac:dyDescent="0.3">
      <c r="A8" s="11" t="s">
        <v>559</v>
      </c>
      <c r="K8" s="44">
        <v>0.1</v>
      </c>
      <c r="L8" s="3">
        <v>5000</v>
      </c>
      <c r="R8" t="s">
        <v>632</v>
      </c>
    </row>
    <row r="9" spans="1:22" x14ac:dyDescent="0.3">
      <c r="A9" s="11" t="s">
        <v>560</v>
      </c>
      <c r="K9" s="42"/>
      <c r="R9" t="s">
        <v>1028</v>
      </c>
    </row>
    <row r="10" spans="1:22" x14ac:dyDescent="0.3">
      <c r="R10" t="s">
        <v>1034</v>
      </c>
    </row>
    <row r="11" spans="1:22" x14ac:dyDescent="0.3">
      <c r="A11" s="42"/>
      <c r="C11" s="42"/>
    </row>
    <row r="12" spans="1:22" x14ac:dyDescent="0.3">
      <c r="A12" s="42"/>
      <c r="B12" s="48"/>
      <c r="C12" s="48"/>
      <c r="D12" s="42"/>
      <c r="F12" s="48"/>
      <c r="K12" s="11" t="s">
        <v>564</v>
      </c>
    </row>
    <row r="13" spans="1:22" x14ac:dyDescent="0.3">
      <c r="A13" s="42"/>
      <c r="B13" s="48"/>
      <c r="C13" s="48"/>
      <c r="D13" s="42"/>
      <c r="E13" s="48"/>
      <c r="F13" s="48"/>
    </row>
    <row r="14" spans="1:22" x14ac:dyDescent="0.3">
      <c r="A14" s="42"/>
      <c r="B14" s="48"/>
      <c r="C14" s="48"/>
      <c r="D14" s="42"/>
      <c r="E14" s="48"/>
      <c r="F14" s="48"/>
      <c r="J14" t="s">
        <v>573</v>
      </c>
      <c r="K14" s="14">
        <f>C7</f>
        <v>5000</v>
      </c>
      <c r="L14" s="14">
        <v>50000</v>
      </c>
      <c r="M14" s="14">
        <v>60000</v>
      </c>
      <c r="N14" s="14">
        <v>70000</v>
      </c>
      <c r="O14" s="14">
        <v>80000</v>
      </c>
      <c r="P14" s="14">
        <v>90000</v>
      </c>
      <c r="Q14" t="s">
        <v>566</v>
      </c>
      <c r="V14" s="11" t="s">
        <v>597</v>
      </c>
    </row>
    <row r="15" spans="1:22" x14ac:dyDescent="0.3">
      <c r="B15" s="42"/>
      <c r="C15" s="48"/>
      <c r="D15" s="42"/>
      <c r="E15" s="48"/>
      <c r="F15" s="48"/>
      <c r="K15" s="43">
        <f>C5</f>
        <v>0.05</v>
      </c>
      <c r="L15" s="14">
        <f t="dataTable" ref="L15:P20" dt2D="1" dtr="1" r1="C5" r2="C4" ca="1"/>
        <v>5000</v>
      </c>
      <c r="M15" s="14">
        <v>6000</v>
      </c>
      <c r="N15" s="14">
        <v>7000</v>
      </c>
      <c r="O15" s="14">
        <v>8000</v>
      </c>
      <c r="P15" s="14">
        <v>9000</v>
      </c>
      <c r="V15" t="s">
        <v>627</v>
      </c>
    </row>
    <row r="16" spans="1:22" x14ac:dyDescent="0.3">
      <c r="B16" s="42"/>
      <c r="C16" s="48"/>
      <c r="E16" s="42"/>
      <c r="F16" s="48"/>
      <c r="J16" t="s">
        <v>565</v>
      </c>
      <c r="K16" s="43">
        <v>0.06</v>
      </c>
      <c r="L16" s="14">
        <v>6000</v>
      </c>
      <c r="M16" s="14">
        <v>7200</v>
      </c>
      <c r="N16" s="14">
        <v>8400</v>
      </c>
      <c r="O16" s="14">
        <v>9600</v>
      </c>
      <c r="P16" s="14">
        <v>10800</v>
      </c>
      <c r="V16" t="s">
        <v>633</v>
      </c>
    </row>
    <row r="17" spans="1:22" x14ac:dyDescent="0.3">
      <c r="B17" s="42"/>
      <c r="C17" s="48"/>
      <c r="K17" s="43">
        <v>7.0000000000000007E-2</v>
      </c>
      <c r="L17" s="14">
        <v>7000.0000000000009</v>
      </c>
      <c r="M17" s="14">
        <v>8400</v>
      </c>
      <c r="N17" s="14">
        <v>9800.0000000000018</v>
      </c>
      <c r="O17" s="14">
        <v>11200.000000000002</v>
      </c>
      <c r="P17" s="14">
        <v>12600.000000000002</v>
      </c>
      <c r="V17" t="s">
        <v>634</v>
      </c>
    </row>
    <row r="18" spans="1:22" x14ac:dyDescent="0.3">
      <c r="K18" s="43">
        <v>0.08</v>
      </c>
      <c r="L18" s="14">
        <v>8000</v>
      </c>
      <c r="M18" s="14">
        <v>9600</v>
      </c>
      <c r="N18" s="14">
        <v>11200</v>
      </c>
      <c r="O18" s="14">
        <v>12800</v>
      </c>
      <c r="P18" s="14">
        <v>14400</v>
      </c>
      <c r="V18" t="s">
        <v>629</v>
      </c>
    </row>
    <row r="19" spans="1:22" x14ac:dyDescent="0.3">
      <c r="K19" s="43">
        <v>0.09</v>
      </c>
      <c r="L19" s="14">
        <v>9000</v>
      </c>
      <c r="M19" s="14">
        <v>10800</v>
      </c>
      <c r="N19" s="14">
        <v>12600</v>
      </c>
      <c r="O19" s="14">
        <v>14400</v>
      </c>
      <c r="P19" s="14">
        <v>16200</v>
      </c>
      <c r="V19" t="s">
        <v>635</v>
      </c>
    </row>
    <row r="20" spans="1:22" x14ac:dyDescent="0.3">
      <c r="K20" s="43">
        <v>0.1</v>
      </c>
      <c r="L20" s="14">
        <v>10000</v>
      </c>
      <c r="M20" s="14">
        <v>12000</v>
      </c>
      <c r="N20" s="14">
        <v>14000</v>
      </c>
      <c r="O20" s="14">
        <v>16000</v>
      </c>
      <c r="P20" s="14">
        <v>18000</v>
      </c>
      <c r="V20" t="s">
        <v>1032</v>
      </c>
    </row>
    <row r="21" spans="1:22" x14ac:dyDescent="0.3">
      <c r="Q21" t="s">
        <v>576</v>
      </c>
      <c r="V21" t="s">
        <v>1033</v>
      </c>
    </row>
    <row r="22" spans="1:22" x14ac:dyDescent="0.3">
      <c r="V22" t="s">
        <v>636</v>
      </c>
    </row>
    <row r="23" spans="1:22" x14ac:dyDescent="0.3">
      <c r="B23" s="25" t="s">
        <v>567</v>
      </c>
      <c r="C23" s="14">
        <v>29</v>
      </c>
      <c r="V23" t="s">
        <v>1035</v>
      </c>
    </row>
    <row r="24" spans="1:22" x14ac:dyDescent="0.3">
      <c r="B24" s="25" t="s">
        <v>568</v>
      </c>
      <c r="C24" s="14">
        <v>100</v>
      </c>
      <c r="I24" t="s">
        <v>575</v>
      </c>
      <c r="J24" s="14">
        <v>29</v>
      </c>
      <c r="K24" s="14">
        <f>C25</f>
        <v>2900</v>
      </c>
      <c r="L24" t="s">
        <v>574</v>
      </c>
    </row>
    <row r="25" spans="1:22" x14ac:dyDescent="0.3">
      <c r="B25" s="25" t="s">
        <v>569</v>
      </c>
      <c r="C25" s="14">
        <f>C23*C24</f>
        <v>2900</v>
      </c>
      <c r="J25" s="14">
        <v>30</v>
      </c>
      <c r="K25" s="14">
        <f t="dataTable" ref="K25:K31" dt2D="0" dtr="0" r1="C23" ca="1"/>
        <v>3000</v>
      </c>
    </row>
    <row r="26" spans="1:22" x14ac:dyDescent="0.3">
      <c r="A26" s="11" t="s">
        <v>570</v>
      </c>
      <c r="J26" s="14">
        <v>32</v>
      </c>
      <c r="K26" s="14">
        <v>3200</v>
      </c>
      <c r="V26" s="42"/>
    </row>
    <row r="27" spans="1:22" x14ac:dyDescent="0.3">
      <c r="A27" s="11" t="s">
        <v>571</v>
      </c>
      <c r="J27" s="14">
        <v>35</v>
      </c>
      <c r="K27" s="14">
        <v>3500</v>
      </c>
      <c r="V27" s="42"/>
    </row>
    <row r="28" spans="1:22" x14ac:dyDescent="0.3">
      <c r="J28" s="14">
        <v>38</v>
      </c>
      <c r="K28" s="14">
        <v>3800</v>
      </c>
      <c r="V28" s="42"/>
    </row>
    <row r="29" spans="1:22" x14ac:dyDescent="0.3">
      <c r="J29" s="14">
        <v>41</v>
      </c>
      <c r="K29" s="14">
        <v>4100</v>
      </c>
      <c r="V29" s="42"/>
    </row>
    <row r="30" spans="1:22" x14ac:dyDescent="0.3">
      <c r="J30" s="14">
        <v>44</v>
      </c>
      <c r="K30" s="14">
        <v>4400</v>
      </c>
    </row>
    <row r="31" spans="1:22" x14ac:dyDescent="0.3">
      <c r="J31" s="14">
        <v>47</v>
      </c>
      <c r="K31" s="14">
        <v>4700</v>
      </c>
    </row>
    <row r="32" spans="1:22" x14ac:dyDescent="0.3">
      <c r="D32" s="14">
        <f>C25</f>
        <v>2900</v>
      </c>
      <c r="E32" s="14">
        <v>100</v>
      </c>
      <c r="F32" s="14">
        <v>200</v>
      </c>
      <c r="G32" s="14">
        <v>300</v>
      </c>
      <c r="K32" t="s">
        <v>576</v>
      </c>
    </row>
    <row r="33" spans="2:13" x14ac:dyDescent="0.3">
      <c r="B33" t="s">
        <v>1029</v>
      </c>
      <c r="D33" s="14">
        <v>29</v>
      </c>
      <c r="E33" s="14">
        <f t="dataTable" ref="E33:G39" dt2D="1" dtr="1" r1="C24" r2="C23"/>
        <v>2900</v>
      </c>
      <c r="F33" s="14">
        <v>5800</v>
      </c>
      <c r="G33" s="14">
        <v>8700</v>
      </c>
    </row>
    <row r="34" spans="2:13" x14ac:dyDescent="0.3">
      <c r="D34" s="14">
        <v>31</v>
      </c>
      <c r="E34" s="14">
        <v>3100</v>
      </c>
      <c r="F34" s="14">
        <v>6200</v>
      </c>
      <c r="G34" s="14">
        <v>9300</v>
      </c>
      <c r="J34" s="14">
        <f>C25</f>
        <v>2900</v>
      </c>
      <c r="K34" s="14">
        <v>30000</v>
      </c>
      <c r="L34" s="14">
        <v>40000</v>
      </c>
      <c r="M34" s="14">
        <v>50000</v>
      </c>
    </row>
    <row r="35" spans="2:13" x14ac:dyDescent="0.3">
      <c r="D35" s="14">
        <v>33</v>
      </c>
      <c r="E35" s="14">
        <v>3300</v>
      </c>
      <c r="F35" s="14">
        <v>6600</v>
      </c>
      <c r="G35" s="14">
        <v>9900</v>
      </c>
      <c r="J35" s="14">
        <v>29</v>
      </c>
      <c r="K35" s="14">
        <f t="dataTable" ref="K35:M42" dt2D="1" dtr="1" r1="C24" r2="C23" ca="1"/>
        <v>870000</v>
      </c>
      <c r="L35" s="14">
        <v>1160000</v>
      </c>
      <c r="M35" s="14">
        <v>1450000</v>
      </c>
    </row>
    <row r="36" spans="2:13" x14ac:dyDescent="0.3">
      <c r="D36" s="14">
        <v>35</v>
      </c>
      <c r="E36" s="14">
        <v>3500</v>
      </c>
      <c r="F36" s="14">
        <v>7000</v>
      </c>
      <c r="G36" s="14">
        <v>10500</v>
      </c>
      <c r="J36" s="14">
        <v>30</v>
      </c>
      <c r="K36" s="14">
        <v>900000</v>
      </c>
      <c r="L36" s="14">
        <v>1200000</v>
      </c>
      <c r="M36" s="14">
        <v>1500000</v>
      </c>
    </row>
    <row r="37" spans="2:13" x14ac:dyDescent="0.3">
      <c r="D37" s="14">
        <v>37</v>
      </c>
      <c r="E37" s="14">
        <v>3700</v>
      </c>
      <c r="F37" s="14">
        <v>7400</v>
      </c>
      <c r="G37" s="14">
        <v>11100</v>
      </c>
      <c r="J37" s="14">
        <v>32</v>
      </c>
      <c r="K37" s="14">
        <v>960000</v>
      </c>
      <c r="L37" s="14">
        <v>1280000</v>
      </c>
      <c r="M37" s="14">
        <v>1600000</v>
      </c>
    </row>
    <row r="38" spans="2:13" x14ac:dyDescent="0.3">
      <c r="D38" s="14">
        <v>39</v>
      </c>
      <c r="E38" s="14">
        <v>3900</v>
      </c>
      <c r="F38" s="14">
        <v>7800</v>
      </c>
      <c r="G38" s="14">
        <v>11700</v>
      </c>
      <c r="J38" s="14">
        <v>35</v>
      </c>
      <c r="K38" s="14">
        <v>1050000</v>
      </c>
      <c r="L38" s="14">
        <v>1400000</v>
      </c>
      <c r="M38" s="14">
        <v>1750000</v>
      </c>
    </row>
    <row r="39" spans="2:13" x14ac:dyDescent="0.3">
      <c r="D39" s="14">
        <v>41</v>
      </c>
      <c r="E39" s="14">
        <v>4100</v>
      </c>
      <c r="F39" s="14">
        <v>8200</v>
      </c>
      <c r="G39" s="14">
        <v>12300</v>
      </c>
      <c r="J39" s="14">
        <v>38</v>
      </c>
      <c r="K39" s="14">
        <v>1140000</v>
      </c>
      <c r="L39" s="14">
        <v>1520000</v>
      </c>
      <c r="M39" s="14">
        <v>1900000</v>
      </c>
    </row>
    <row r="40" spans="2:13" x14ac:dyDescent="0.3">
      <c r="D40" s="14"/>
      <c r="E40" s="14"/>
      <c r="F40" s="14"/>
      <c r="G40" s="14"/>
      <c r="J40" s="14">
        <v>41</v>
      </c>
      <c r="K40" s="14">
        <v>1230000</v>
      </c>
      <c r="L40" s="14">
        <v>1640000</v>
      </c>
      <c r="M40" s="14">
        <v>2050000</v>
      </c>
    </row>
    <row r="41" spans="2:13" x14ac:dyDescent="0.3">
      <c r="J41" s="14">
        <v>44</v>
      </c>
      <c r="K41" s="14">
        <v>1320000</v>
      </c>
      <c r="L41" s="14">
        <v>1760000</v>
      </c>
      <c r="M41" s="14">
        <v>2200000</v>
      </c>
    </row>
    <row r="42" spans="2:13" x14ac:dyDescent="0.3">
      <c r="J42" s="107">
        <v>47</v>
      </c>
      <c r="K42" s="14">
        <v>1410000</v>
      </c>
      <c r="L42" s="14">
        <v>1880000</v>
      </c>
      <c r="M42" s="14">
        <v>2350000</v>
      </c>
    </row>
    <row r="43" spans="2:13" x14ac:dyDescent="0.3">
      <c r="C43" s="14">
        <v>29</v>
      </c>
      <c r="D43" s="14">
        <f>C25</f>
        <v>2900</v>
      </c>
      <c r="K43" t="s">
        <v>576</v>
      </c>
    </row>
    <row r="44" spans="2:13" x14ac:dyDescent="0.3">
      <c r="C44" s="14">
        <v>30</v>
      </c>
      <c r="D44" s="14">
        <f t="dataTable" ref="D44:D50" dt2D="0" dtr="0" r1="C23" ca="1"/>
        <v>3000</v>
      </c>
    </row>
    <row r="45" spans="2:13" x14ac:dyDescent="0.3">
      <c r="B45" t="s">
        <v>1030</v>
      </c>
      <c r="C45" s="14">
        <v>32</v>
      </c>
      <c r="D45" s="14">
        <v>3200</v>
      </c>
    </row>
    <row r="46" spans="2:13" x14ac:dyDescent="0.3">
      <c r="C46" s="14">
        <v>35</v>
      </c>
      <c r="D46" s="14">
        <v>3500</v>
      </c>
    </row>
    <row r="47" spans="2:13" x14ac:dyDescent="0.3">
      <c r="C47" s="14">
        <v>38</v>
      </c>
      <c r="D47" s="14">
        <v>3800</v>
      </c>
    </row>
    <row r="48" spans="2:13" x14ac:dyDescent="0.3">
      <c r="B48" s="11"/>
      <c r="C48" s="14">
        <v>41</v>
      </c>
      <c r="D48" s="14">
        <v>4100</v>
      </c>
      <c r="K48" s="1"/>
      <c r="L48" s="1"/>
    </row>
    <row r="49" spans="2:12" x14ac:dyDescent="0.3">
      <c r="B49" s="11"/>
      <c r="C49" s="14">
        <v>44</v>
      </c>
      <c r="D49" s="14">
        <v>4400</v>
      </c>
      <c r="K49" s="1"/>
      <c r="L49" s="1"/>
    </row>
    <row r="50" spans="2:12" x14ac:dyDescent="0.3">
      <c r="B50" s="11"/>
      <c r="C50" s="14">
        <v>47</v>
      </c>
      <c r="D50" s="14">
        <v>4700</v>
      </c>
      <c r="K50" s="1"/>
      <c r="L50" s="1"/>
    </row>
    <row r="51" spans="2:12" x14ac:dyDescent="0.3">
      <c r="K51" s="1"/>
      <c r="L51" s="1"/>
    </row>
    <row r="52" spans="2:12" x14ac:dyDescent="0.3">
      <c r="K52" s="1"/>
      <c r="L52" s="1"/>
    </row>
    <row r="53" spans="2:12" x14ac:dyDescent="0.3">
      <c r="G53" s="1"/>
      <c r="H53" s="1"/>
      <c r="I53" s="1"/>
      <c r="J53" s="1"/>
      <c r="K53" s="1"/>
      <c r="L53" s="1"/>
    </row>
    <row r="54" spans="2:12" x14ac:dyDescent="0.3">
      <c r="J54" s="1"/>
    </row>
    <row r="55" spans="2:12" x14ac:dyDescent="0.3">
      <c r="J55" s="1"/>
    </row>
    <row r="56" spans="2:12" x14ac:dyDescent="0.3">
      <c r="J56" s="1"/>
    </row>
    <row r="57" spans="2:12" x14ac:dyDescent="0.3">
      <c r="J57" s="1"/>
    </row>
  </sheetData>
  <mergeCells count="1">
    <mergeCell ref="B3:C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9C2BE-D3CE-44B4-B1A6-8757367AB576}">
  <sheetPr codeName="Sheet27"/>
  <dimension ref="A1:Y53"/>
  <sheetViews>
    <sheetView workbookViewId="0">
      <selection activeCell="S18" sqref="S18"/>
    </sheetView>
  </sheetViews>
  <sheetFormatPr defaultRowHeight="14.4" x14ac:dyDescent="0.3"/>
  <cols>
    <col min="1" max="1" width="10.33203125" bestFit="1" customWidth="1"/>
    <col min="4" max="4" width="10.33203125" bestFit="1" customWidth="1"/>
    <col min="11" max="11" width="15.33203125" customWidth="1"/>
    <col min="16" max="16" width="10.33203125" bestFit="1" customWidth="1"/>
    <col min="22" max="22" width="10.33203125" bestFit="1" customWidth="1"/>
  </cols>
  <sheetData>
    <row r="1" spans="1:25" x14ac:dyDescent="0.3">
      <c r="A1" s="129" t="s">
        <v>577</v>
      </c>
      <c r="B1" s="129"/>
      <c r="C1" s="129"/>
      <c r="D1" s="129"/>
      <c r="K1" s="72" t="s">
        <v>590</v>
      </c>
      <c r="M1" s="72" t="s">
        <v>591</v>
      </c>
    </row>
    <row r="2" spans="1:25" x14ac:dyDescent="0.3">
      <c r="A2" s="71" t="s">
        <v>457</v>
      </c>
      <c r="B2" s="71" t="s">
        <v>578</v>
      </c>
      <c r="C2" s="71" t="s">
        <v>579</v>
      </c>
      <c r="D2" s="71" t="s">
        <v>346</v>
      </c>
      <c r="K2" s="11" t="s">
        <v>592</v>
      </c>
    </row>
    <row r="3" spans="1:25" x14ac:dyDescent="0.3">
      <c r="A3" s="70">
        <v>43072</v>
      </c>
      <c r="B3" s="3" t="s">
        <v>580</v>
      </c>
      <c r="C3" s="3" t="s">
        <v>588</v>
      </c>
      <c r="D3" s="3">
        <v>5648</v>
      </c>
      <c r="K3" s="11" t="s">
        <v>593</v>
      </c>
    </row>
    <row r="4" spans="1:25" x14ac:dyDescent="0.3">
      <c r="A4" s="70">
        <v>43050</v>
      </c>
      <c r="B4" s="3" t="s">
        <v>581</v>
      </c>
      <c r="C4" s="3" t="s">
        <v>335</v>
      </c>
      <c r="D4" s="3">
        <v>2598</v>
      </c>
      <c r="K4" s="11" t="s">
        <v>594</v>
      </c>
    </row>
    <row r="5" spans="1:25" x14ac:dyDescent="0.3">
      <c r="A5" s="70">
        <v>43012</v>
      </c>
      <c r="B5" s="3" t="s">
        <v>582</v>
      </c>
      <c r="C5" s="3" t="s">
        <v>589</v>
      </c>
      <c r="D5" s="3">
        <v>8695</v>
      </c>
      <c r="K5" s="11" t="s">
        <v>595</v>
      </c>
    </row>
    <row r="6" spans="1:25" x14ac:dyDescent="0.3">
      <c r="A6" s="70">
        <v>42991</v>
      </c>
      <c r="B6" s="3" t="s">
        <v>583</v>
      </c>
      <c r="C6" s="3" t="s">
        <v>589</v>
      </c>
      <c r="D6" s="3">
        <v>6488</v>
      </c>
      <c r="K6" s="11" t="s">
        <v>637</v>
      </c>
    </row>
    <row r="7" spans="1:25" x14ac:dyDescent="0.3">
      <c r="A7" s="70">
        <v>42990</v>
      </c>
      <c r="B7" s="3" t="s">
        <v>583</v>
      </c>
      <c r="C7" s="3" t="s">
        <v>588</v>
      </c>
      <c r="D7" s="3">
        <v>6325</v>
      </c>
      <c r="K7" s="11" t="s">
        <v>596</v>
      </c>
    </row>
    <row r="8" spans="1:25" x14ac:dyDescent="0.3">
      <c r="A8" s="70">
        <v>42978</v>
      </c>
      <c r="B8" s="3" t="s">
        <v>584</v>
      </c>
      <c r="C8" s="3" t="s">
        <v>335</v>
      </c>
      <c r="D8" s="3">
        <v>3569</v>
      </c>
    </row>
    <row r="9" spans="1:25" x14ac:dyDescent="0.3">
      <c r="A9" s="70">
        <v>42967</v>
      </c>
      <c r="B9" s="3" t="s">
        <v>584</v>
      </c>
      <c r="C9" s="3" t="s">
        <v>589</v>
      </c>
      <c r="D9" s="3">
        <v>5658</v>
      </c>
      <c r="F9" s="11" t="s">
        <v>597</v>
      </c>
      <c r="K9" s="71" t="s">
        <v>457</v>
      </c>
      <c r="L9" s="71" t="s">
        <v>578</v>
      </c>
      <c r="M9" s="71" t="s">
        <v>579</v>
      </c>
      <c r="N9" s="71" t="s">
        <v>346</v>
      </c>
      <c r="P9" s="71" t="s">
        <v>579</v>
      </c>
      <c r="Q9" s="71" t="s">
        <v>346</v>
      </c>
      <c r="U9" s="71" t="s">
        <v>579</v>
      </c>
    </row>
    <row r="10" spans="1:25" x14ac:dyDescent="0.3">
      <c r="A10" s="70">
        <v>42955</v>
      </c>
      <c r="B10" s="3" t="s">
        <v>585</v>
      </c>
      <c r="C10" s="3" t="s">
        <v>589</v>
      </c>
      <c r="D10" s="3">
        <v>5200</v>
      </c>
      <c r="F10" t="s">
        <v>681</v>
      </c>
      <c r="K10" s="70">
        <v>43072</v>
      </c>
      <c r="L10" s="3" t="s">
        <v>580</v>
      </c>
      <c r="M10" s="3" t="s">
        <v>588</v>
      </c>
      <c r="N10" s="3">
        <v>5648</v>
      </c>
      <c r="P10" s="3" t="s">
        <v>588</v>
      </c>
      <c r="Q10" s="10" t="s">
        <v>642</v>
      </c>
      <c r="U10" s="3" t="s">
        <v>588</v>
      </c>
      <c r="V10" s="71" t="s">
        <v>457</v>
      </c>
      <c r="W10" s="71" t="s">
        <v>578</v>
      </c>
      <c r="X10" s="71" t="s">
        <v>579</v>
      </c>
      <c r="Y10" s="71" t="s">
        <v>346</v>
      </c>
    </row>
    <row r="11" spans="1:25" x14ac:dyDescent="0.3">
      <c r="A11" s="70">
        <v>42955</v>
      </c>
      <c r="B11" s="3" t="s">
        <v>585</v>
      </c>
      <c r="C11" s="3" t="s">
        <v>589</v>
      </c>
      <c r="D11" s="3">
        <v>5200</v>
      </c>
      <c r="F11" t="s">
        <v>684</v>
      </c>
      <c r="K11" s="70">
        <v>43050</v>
      </c>
      <c r="L11" s="3" t="s">
        <v>581</v>
      </c>
      <c r="M11" s="3" t="s">
        <v>335</v>
      </c>
      <c r="N11" s="3">
        <v>2598</v>
      </c>
      <c r="U11" s="3" t="s">
        <v>589</v>
      </c>
      <c r="V11" s="70">
        <v>43072</v>
      </c>
      <c r="W11" s="3" t="s">
        <v>580</v>
      </c>
      <c r="X11" s="3" t="s">
        <v>588</v>
      </c>
      <c r="Y11" s="3">
        <v>5648</v>
      </c>
    </row>
    <row r="12" spans="1:25" x14ac:dyDescent="0.3">
      <c r="A12" s="70">
        <v>42947</v>
      </c>
      <c r="B12" s="3" t="s">
        <v>586</v>
      </c>
      <c r="C12" s="3" t="s">
        <v>588</v>
      </c>
      <c r="D12" s="3">
        <v>3500</v>
      </c>
      <c r="F12" t="s">
        <v>682</v>
      </c>
      <c r="K12" s="70">
        <v>43012</v>
      </c>
      <c r="L12" s="3" t="s">
        <v>582</v>
      </c>
      <c r="M12" s="3" t="s">
        <v>589</v>
      </c>
      <c r="N12" s="3">
        <v>8695</v>
      </c>
      <c r="P12" s="71" t="s">
        <v>457</v>
      </c>
      <c r="Q12" s="71" t="s">
        <v>578</v>
      </c>
      <c r="R12" s="71" t="s">
        <v>579</v>
      </c>
      <c r="S12" s="71" t="s">
        <v>346</v>
      </c>
      <c r="V12" s="70">
        <v>43012</v>
      </c>
      <c r="W12" s="3" t="s">
        <v>582</v>
      </c>
      <c r="X12" s="3" t="s">
        <v>589</v>
      </c>
      <c r="Y12" s="3">
        <v>8695</v>
      </c>
    </row>
    <row r="13" spans="1:25" x14ac:dyDescent="0.3">
      <c r="A13" s="70">
        <v>42935</v>
      </c>
      <c r="B13" s="3" t="s">
        <v>583</v>
      </c>
      <c r="C13" s="3" t="s">
        <v>335</v>
      </c>
      <c r="D13" s="3">
        <v>7500</v>
      </c>
      <c r="F13" t="s">
        <v>685</v>
      </c>
      <c r="K13" s="70">
        <v>42991</v>
      </c>
      <c r="L13" s="3" t="s">
        <v>583</v>
      </c>
      <c r="M13" s="3" t="s">
        <v>589</v>
      </c>
      <c r="N13" s="3">
        <v>6488</v>
      </c>
      <c r="P13" s="70">
        <v>43072</v>
      </c>
      <c r="Q13" s="3" t="s">
        <v>580</v>
      </c>
      <c r="R13" s="3" t="s">
        <v>588</v>
      </c>
      <c r="S13" s="3">
        <v>5648</v>
      </c>
      <c r="V13" s="70">
        <v>42991</v>
      </c>
      <c r="W13" s="3" t="s">
        <v>583</v>
      </c>
      <c r="X13" s="3" t="s">
        <v>589</v>
      </c>
      <c r="Y13" s="3">
        <v>6488</v>
      </c>
    </row>
    <row r="14" spans="1:25" x14ac:dyDescent="0.3">
      <c r="A14" s="70">
        <v>42935</v>
      </c>
      <c r="B14" s="3" t="s">
        <v>584</v>
      </c>
      <c r="C14" s="3" t="s">
        <v>589</v>
      </c>
      <c r="D14" s="3">
        <v>5103</v>
      </c>
      <c r="F14" t="s">
        <v>683</v>
      </c>
      <c r="K14" s="70">
        <v>42990</v>
      </c>
      <c r="L14" s="3" t="s">
        <v>583</v>
      </c>
      <c r="M14" s="3" t="s">
        <v>588</v>
      </c>
      <c r="N14" s="3">
        <v>6325</v>
      </c>
      <c r="P14" s="70">
        <v>42990</v>
      </c>
      <c r="Q14" s="3" t="s">
        <v>583</v>
      </c>
      <c r="R14" s="3" t="s">
        <v>588</v>
      </c>
      <c r="S14" s="3">
        <v>6325</v>
      </c>
      <c r="V14" s="70">
        <v>42990</v>
      </c>
      <c r="W14" s="3" t="s">
        <v>583</v>
      </c>
      <c r="X14" s="3" t="s">
        <v>588</v>
      </c>
      <c r="Y14" s="3">
        <v>6325</v>
      </c>
    </row>
    <row r="15" spans="1:25" x14ac:dyDescent="0.3">
      <c r="A15" s="70">
        <v>42894</v>
      </c>
      <c r="B15" s="3" t="s">
        <v>587</v>
      </c>
      <c r="C15" s="3" t="s">
        <v>589</v>
      </c>
      <c r="D15" s="3">
        <v>6504</v>
      </c>
      <c r="K15" s="70">
        <v>42978</v>
      </c>
      <c r="L15" s="3" t="s">
        <v>584</v>
      </c>
      <c r="M15" s="3" t="s">
        <v>335</v>
      </c>
      <c r="N15" s="3">
        <v>3569</v>
      </c>
      <c r="P15" s="28">
        <v>42844</v>
      </c>
      <c r="Q15" s="3" t="s">
        <v>585</v>
      </c>
      <c r="R15" s="3" t="s">
        <v>588</v>
      </c>
      <c r="S15" s="3">
        <v>9650</v>
      </c>
      <c r="V15" s="70">
        <v>42967</v>
      </c>
      <c r="W15" s="3" t="s">
        <v>584</v>
      </c>
      <c r="X15" s="3" t="s">
        <v>589</v>
      </c>
      <c r="Y15" s="3">
        <v>5658</v>
      </c>
    </row>
    <row r="16" spans="1:25" x14ac:dyDescent="0.3">
      <c r="A16" s="70">
        <v>42879</v>
      </c>
      <c r="B16" s="3" t="s">
        <v>580</v>
      </c>
      <c r="C16" s="3" t="s">
        <v>588</v>
      </c>
      <c r="D16" s="3">
        <v>3906</v>
      </c>
      <c r="F16" s="11" t="s">
        <v>597</v>
      </c>
      <c r="K16" s="70">
        <v>42967</v>
      </c>
      <c r="L16" s="3" t="s">
        <v>584</v>
      </c>
      <c r="M16" s="3" t="s">
        <v>589</v>
      </c>
      <c r="N16" s="3">
        <v>5658</v>
      </c>
      <c r="P16" s="28">
        <v>42844</v>
      </c>
      <c r="Q16" s="3" t="s">
        <v>585</v>
      </c>
      <c r="R16" s="3" t="s">
        <v>588</v>
      </c>
      <c r="S16" s="3">
        <v>9650</v>
      </c>
      <c r="V16" s="70">
        <v>42955</v>
      </c>
      <c r="W16" s="3" t="s">
        <v>585</v>
      </c>
      <c r="X16" s="3" t="s">
        <v>589</v>
      </c>
      <c r="Y16" s="3">
        <v>5200</v>
      </c>
    </row>
    <row r="17" spans="1:25" x14ac:dyDescent="0.3">
      <c r="A17" s="70">
        <v>42878</v>
      </c>
      <c r="B17" s="3" t="s">
        <v>587</v>
      </c>
      <c r="C17" s="3" t="s">
        <v>335</v>
      </c>
      <c r="D17" s="3">
        <v>2800</v>
      </c>
      <c r="F17" t="s">
        <v>689</v>
      </c>
      <c r="K17" s="70">
        <v>42955</v>
      </c>
      <c r="L17" s="3" t="s">
        <v>585</v>
      </c>
      <c r="M17" s="3" t="s">
        <v>589</v>
      </c>
      <c r="N17" s="3">
        <v>5200</v>
      </c>
      <c r="V17" s="70">
        <v>42955</v>
      </c>
      <c r="W17" s="3" t="s">
        <v>585</v>
      </c>
      <c r="X17" s="3" t="s">
        <v>589</v>
      </c>
      <c r="Y17" s="3">
        <v>5200</v>
      </c>
    </row>
    <row r="18" spans="1:25" x14ac:dyDescent="0.3">
      <c r="A18" s="28">
        <v>42860</v>
      </c>
      <c r="B18" s="3" t="s">
        <v>582</v>
      </c>
      <c r="C18" s="3" t="s">
        <v>589</v>
      </c>
      <c r="D18" s="3">
        <v>8000</v>
      </c>
      <c r="F18" t="s">
        <v>686</v>
      </c>
      <c r="K18" s="70">
        <v>42947</v>
      </c>
      <c r="L18" s="3" t="s">
        <v>586</v>
      </c>
      <c r="M18" s="3" t="s">
        <v>588</v>
      </c>
      <c r="N18" s="3">
        <v>3500</v>
      </c>
      <c r="P18" s="71" t="s">
        <v>579</v>
      </c>
      <c r="Q18" s="71" t="s">
        <v>457</v>
      </c>
      <c r="V18" s="70">
        <v>42947</v>
      </c>
      <c r="W18" s="3" t="s">
        <v>586</v>
      </c>
      <c r="X18" s="3" t="s">
        <v>588</v>
      </c>
      <c r="Y18" s="3">
        <v>3500</v>
      </c>
    </row>
    <row r="19" spans="1:25" x14ac:dyDescent="0.3">
      <c r="A19" s="28">
        <v>42844</v>
      </c>
      <c r="B19" s="3" t="s">
        <v>585</v>
      </c>
      <c r="C19" s="3" t="s">
        <v>588</v>
      </c>
      <c r="D19" s="3">
        <v>9650</v>
      </c>
      <c r="F19" t="s">
        <v>682</v>
      </c>
      <c r="K19" s="70">
        <v>42935</v>
      </c>
      <c r="L19" s="3" t="s">
        <v>583</v>
      </c>
      <c r="M19" s="3" t="s">
        <v>335</v>
      </c>
      <c r="N19" s="3">
        <v>7500</v>
      </c>
      <c r="P19" s="3" t="s">
        <v>588</v>
      </c>
      <c r="Q19" s="1" t="s">
        <v>643</v>
      </c>
      <c r="V19" s="70">
        <v>42935</v>
      </c>
      <c r="W19" s="3" t="s">
        <v>584</v>
      </c>
      <c r="X19" s="3" t="s">
        <v>589</v>
      </c>
      <c r="Y19" s="3">
        <v>5103</v>
      </c>
    </row>
    <row r="20" spans="1:25" x14ac:dyDescent="0.3">
      <c r="A20" s="28">
        <v>42844</v>
      </c>
      <c r="B20" s="3" t="s">
        <v>585</v>
      </c>
      <c r="C20" s="3" t="s">
        <v>588</v>
      </c>
      <c r="D20" s="3">
        <v>9650</v>
      </c>
      <c r="F20" t="s">
        <v>688</v>
      </c>
      <c r="K20" s="70">
        <v>42935</v>
      </c>
      <c r="L20" s="3" t="s">
        <v>584</v>
      </c>
      <c r="M20" s="3" t="s">
        <v>589</v>
      </c>
      <c r="N20" s="3">
        <v>5103</v>
      </c>
      <c r="V20" s="70">
        <v>42894</v>
      </c>
      <c r="W20" s="3" t="s">
        <v>587</v>
      </c>
      <c r="X20" s="3" t="s">
        <v>589</v>
      </c>
      <c r="Y20" s="3">
        <v>6504</v>
      </c>
    </row>
    <row r="21" spans="1:25" x14ac:dyDescent="0.3">
      <c r="F21" t="s">
        <v>687</v>
      </c>
      <c r="K21" s="70">
        <v>42894</v>
      </c>
      <c r="L21" s="3" t="s">
        <v>587</v>
      </c>
      <c r="M21" s="3" t="s">
        <v>589</v>
      </c>
      <c r="N21" s="3">
        <v>6504</v>
      </c>
      <c r="P21" s="71" t="s">
        <v>457</v>
      </c>
      <c r="Q21" s="71" t="s">
        <v>578</v>
      </c>
      <c r="R21" s="71" t="s">
        <v>579</v>
      </c>
      <c r="S21" s="71" t="s">
        <v>346</v>
      </c>
      <c r="V21" s="70">
        <v>42879</v>
      </c>
      <c r="W21" s="3" t="s">
        <v>580</v>
      </c>
      <c r="X21" s="3" t="s">
        <v>588</v>
      </c>
      <c r="Y21" s="3">
        <v>3906</v>
      </c>
    </row>
    <row r="22" spans="1:25" x14ac:dyDescent="0.3">
      <c r="F22" t="s">
        <v>690</v>
      </c>
      <c r="K22" s="70">
        <v>42879</v>
      </c>
      <c r="L22" s="3" t="s">
        <v>580</v>
      </c>
      <c r="M22" s="3" t="s">
        <v>588</v>
      </c>
      <c r="N22" s="3">
        <v>3906</v>
      </c>
      <c r="P22" s="70">
        <v>43072</v>
      </c>
      <c r="Q22" s="3" t="s">
        <v>580</v>
      </c>
      <c r="R22" s="3" t="s">
        <v>588</v>
      </c>
      <c r="S22" s="3">
        <v>5648</v>
      </c>
      <c r="V22" s="28">
        <v>42860</v>
      </c>
      <c r="W22" s="3" t="s">
        <v>582</v>
      </c>
      <c r="X22" s="3" t="s">
        <v>589</v>
      </c>
      <c r="Y22" s="3">
        <v>8000</v>
      </c>
    </row>
    <row r="23" spans="1:25" x14ac:dyDescent="0.3">
      <c r="A23" s="103"/>
      <c r="B23" s="1"/>
      <c r="C23" s="1"/>
      <c r="D23" s="1"/>
      <c r="K23" s="70">
        <v>42878</v>
      </c>
      <c r="L23" s="3" t="s">
        <v>587</v>
      </c>
      <c r="M23" s="3" t="s">
        <v>335</v>
      </c>
      <c r="N23" s="3">
        <v>2800</v>
      </c>
      <c r="P23" s="70">
        <v>42990</v>
      </c>
      <c r="Q23" s="3" t="s">
        <v>583</v>
      </c>
      <c r="R23" s="3" t="s">
        <v>588</v>
      </c>
      <c r="S23" s="3">
        <v>6325</v>
      </c>
      <c r="V23" s="28">
        <v>42844</v>
      </c>
      <c r="W23" s="3" t="s">
        <v>585</v>
      </c>
      <c r="X23" s="3" t="s">
        <v>588</v>
      </c>
      <c r="Y23" s="3">
        <v>9650</v>
      </c>
    </row>
    <row r="24" spans="1:25" x14ac:dyDescent="0.3">
      <c r="A24" s="103"/>
      <c r="B24" s="1"/>
      <c r="C24" s="1"/>
      <c r="D24" s="1"/>
      <c r="K24" s="70">
        <v>42860</v>
      </c>
      <c r="L24" s="3" t="s">
        <v>582</v>
      </c>
      <c r="M24" s="3" t="s">
        <v>589</v>
      </c>
      <c r="N24" s="3">
        <v>8000</v>
      </c>
      <c r="P24" s="70">
        <v>42947</v>
      </c>
      <c r="Q24" s="3" t="s">
        <v>586</v>
      </c>
      <c r="R24" s="3" t="s">
        <v>588</v>
      </c>
      <c r="S24" s="3">
        <v>3500</v>
      </c>
      <c r="V24" s="28">
        <v>42844</v>
      </c>
      <c r="W24" s="3" t="s">
        <v>585</v>
      </c>
      <c r="X24" s="3" t="s">
        <v>588</v>
      </c>
      <c r="Y24" s="3">
        <v>9650</v>
      </c>
    </row>
    <row r="25" spans="1:25" x14ac:dyDescent="0.3">
      <c r="A25" s="103"/>
      <c r="B25" s="71" t="s">
        <v>578</v>
      </c>
      <c r="C25" s="1"/>
      <c r="D25" s="71" t="s">
        <v>457</v>
      </c>
      <c r="E25" s="71" t="s">
        <v>578</v>
      </c>
      <c r="F25" s="71" t="s">
        <v>579</v>
      </c>
      <c r="G25" s="71" t="s">
        <v>346</v>
      </c>
      <c r="K25" s="70">
        <v>42844</v>
      </c>
      <c r="L25" s="3" t="s">
        <v>585</v>
      </c>
      <c r="M25" s="3" t="s">
        <v>588</v>
      </c>
      <c r="N25" s="3">
        <v>9650</v>
      </c>
      <c r="P25" s="70">
        <v>42879</v>
      </c>
      <c r="Q25" s="3" t="s">
        <v>580</v>
      </c>
      <c r="R25" s="3" t="s">
        <v>588</v>
      </c>
      <c r="S25" s="3">
        <v>3906</v>
      </c>
    </row>
    <row r="26" spans="1:25" x14ac:dyDescent="0.3">
      <c r="A26" s="103"/>
      <c r="B26" s="1" t="s">
        <v>84</v>
      </c>
      <c r="C26" s="1"/>
      <c r="D26" s="70">
        <v>43012</v>
      </c>
      <c r="E26" s="3" t="s">
        <v>582</v>
      </c>
      <c r="F26" s="3" t="s">
        <v>589</v>
      </c>
      <c r="G26" s="3">
        <v>8695</v>
      </c>
      <c r="P26" s="28">
        <v>42844</v>
      </c>
      <c r="Q26" s="3" t="s">
        <v>585</v>
      </c>
      <c r="R26" s="3" t="s">
        <v>588</v>
      </c>
      <c r="S26" s="3">
        <v>9650</v>
      </c>
      <c r="U26" s="71" t="s">
        <v>578</v>
      </c>
      <c r="V26" s="71" t="s">
        <v>457</v>
      </c>
      <c r="W26" s="71" t="s">
        <v>578</v>
      </c>
      <c r="X26" s="71" t="s">
        <v>579</v>
      </c>
      <c r="Y26" s="71" t="s">
        <v>346</v>
      </c>
    </row>
    <row r="27" spans="1:25" x14ac:dyDescent="0.3">
      <c r="A27" s="103"/>
      <c r="B27" s="1"/>
      <c r="C27" s="1"/>
      <c r="D27" s="70">
        <v>42894</v>
      </c>
      <c r="E27" s="3" t="s">
        <v>587</v>
      </c>
      <c r="F27" s="3" t="s">
        <v>589</v>
      </c>
      <c r="G27" s="3">
        <v>6504</v>
      </c>
      <c r="P27" s="28">
        <v>42844</v>
      </c>
      <c r="Q27" s="3" t="s">
        <v>585</v>
      </c>
      <c r="R27" s="3" t="s">
        <v>588</v>
      </c>
      <c r="S27" s="3">
        <v>9650</v>
      </c>
      <c r="U27" s="3" t="s">
        <v>582</v>
      </c>
      <c r="V27" s="70">
        <v>43012</v>
      </c>
      <c r="W27" s="3" t="s">
        <v>582</v>
      </c>
      <c r="X27" s="3" t="s">
        <v>589</v>
      </c>
      <c r="Y27" s="3">
        <v>8695</v>
      </c>
    </row>
    <row r="28" spans="1:25" x14ac:dyDescent="0.3">
      <c r="A28" s="103"/>
      <c r="B28" s="1"/>
      <c r="C28" s="1"/>
      <c r="D28" s="70">
        <v>42878</v>
      </c>
      <c r="E28" s="3" t="s">
        <v>587</v>
      </c>
      <c r="F28" s="3" t="s">
        <v>335</v>
      </c>
      <c r="G28" s="3">
        <v>2800</v>
      </c>
      <c r="U28" s="3" t="s">
        <v>585</v>
      </c>
      <c r="V28" s="70">
        <v>42955</v>
      </c>
      <c r="W28" s="3" t="s">
        <v>585</v>
      </c>
      <c r="X28" s="3" t="s">
        <v>589</v>
      </c>
      <c r="Y28" s="3">
        <v>5200</v>
      </c>
    </row>
    <row r="29" spans="1:25" x14ac:dyDescent="0.3">
      <c r="A29" s="103"/>
      <c r="B29" s="1"/>
      <c r="C29" s="1"/>
      <c r="D29" s="28">
        <v>42860</v>
      </c>
      <c r="E29" s="3" t="s">
        <v>582</v>
      </c>
      <c r="F29" s="3" t="s">
        <v>589</v>
      </c>
      <c r="G29" s="3">
        <v>8000</v>
      </c>
      <c r="V29" s="70">
        <v>42955</v>
      </c>
      <c r="W29" s="3" t="s">
        <v>585</v>
      </c>
      <c r="X29" s="3" t="s">
        <v>589</v>
      </c>
      <c r="Y29" s="3">
        <v>5200</v>
      </c>
    </row>
    <row r="30" spans="1:25" x14ac:dyDescent="0.3">
      <c r="A30" s="103"/>
      <c r="B30" s="1"/>
      <c r="C30" s="1"/>
      <c r="D30" s="1"/>
      <c r="V30" s="28">
        <v>42860</v>
      </c>
      <c r="W30" s="3" t="s">
        <v>582</v>
      </c>
      <c r="X30" s="3" t="s">
        <v>589</v>
      </c>
      <c r="Y30" s="3">
        <v>8000</v>
      </c>
    </row>
    <row r="31" spans="1:25" x14ac:dyDescent="0.3">
      <c r="A31" s="103"/>
      <c r="B31" s="1"/>
      <c r="C31" s="1"/>
      <c r="D31" s="1"/>
      <c r="V31" s="28">
        <v>42844</v>
      </c>
      <c r="W31" s="3" t="s">
        <v>585</v>
      </c>
      <c r="X31" s="3" t="s">
        <v>588</v>
      </c>
      <c r="Y31" s="3">
        <v>9650</v>
      </c>
    </row>
    <row r="32" spans="1:25" x14ac:dyDescent="0.3">
      <c r="A32" s="103"/>
      <c r="B32" s="1"/>
      <c r="C32" s="1"/>
      <c r="D32" s="1"/>
      <c r="V32" s="28">
        <v>42844</v>
      </c>
      <c r="W32" s="3" t="s">
        <v>585</v>
      </c>
      <c r="X32" s="3" t="s">
        <v>588</v>
      </c>
      <c r="Y32" s="3">
        <v>9650</v>
      </c>
    </row>
    <row r="33" spans="1:25" x14ac:dyDescent="0.3">
      <c r="A33" s="103"/>
      <c r="B33" s="1"/>
      <c r="C33" s="1"/>
      <c r="D33" s="1"/>
    </row>
    <row r="34" spans="1:25" x14ac:dyDescent="0.3">
      <c r="A34" s="103"/>
      <c r="B34" s="1"/>
      <c r="C34" s="1"/>
      <c r="D34" s="1"/>
    </row>
    <row r="35" spans="1:25" x14ac:dyDescent="0.3">
      <c r="A35" s="103"/>
      <c r="B35" s="1"/>
      <c r="C35" s="1"/>
      <c r="D35" s="1"/>
      <c r="E35" s="104"/>
      <c r="F35" s="104"/>
      <c r="G35" s="104"/>
      <c r="U35" s="71" t="s">
        <v>578</v>
      </c>
      <c r="V35" s="71" t="s">
        <v>457</v>
      </c>
      <c r="W35" s="71" t="s">
        <v>578</v>
      </c>
      <c r="X35" s="71" t="s">
        <v>579</v>
      </c>
      <c r="Y35" s="71" t="s">
        <v>346</v>
      </c>
    </row>
    <row r="36" spans="1:25" x14ac:dyDescent="0.3">
      <c r="A36" s="103"/>
      <c r="B36" s="1"/>
      <c r="C36" s="1"/>
      <c r="D36" s="1"/>
      <c r="E36" s="1"/>
      <c r="F36" s="1"/>
      <c r="G36" s="105"/>
      <c r="U36" t="s">
        <v>644</v>
      </c>
      <c r="V36" s="70">
        <v>43072</v>
      </c>
      <c r="W36" s="3" t="s">
        <v>580</v>
      </c>
      <c r="X36" s="3" t="s">
        <v>588</v>
      </c>
      <c r="Y36" s="3">
        <v>5648</v>
      </c>
    </row>
    <row r="37" spans="1:25" x14ac:dyDescent="0.3">
      <c r="A37" s="74"/>
      <c r="B37" s="1"/>
      <c r="C37" s="1"/>
      <c r="D37" s="1"/>
      <c r="E37" s="1"/>
      <c r="F37" s="1"/>
      <c r="G37" s="1"/>
      <c r="I37" s="104"/>
      <c r="J37" s="104"/>
      <c r="K37" s="104"/>
      <c r="L37" s="104"/>
      <c r="V37" s="70">
        <v>42991</v>
      </c>
      <c r="W37" s="3" t="s">
        <v>583</v>
      </c>
      <c r="X37" s="3" t="s">
        <v>589</v>
      </c>
      <c r="Y37" s="3">
        <v>6488</v>
      </c>
    </row>
    <row r="38" spans="1:25" x14ac:dyDescent="0.3">
      <c r="A38" s="74"/>
      <c r="B38" s="1"/>
      <c r="C38" s="1"/>
      <c r="D38" s="1"/>
      <c r="E38" s="1"/>
      <c r="F38" s="1"/>
      <c r="G38" s="1"/>
      <c r="I38" s="103"/>
      <c r="J38" s="1"/>
      <c r="K38" s="1"/>
      <c r="L38" s="1"/>
      <c r="V38" s="70">
        <v>42990</v>
      </c>
      <c r="W38" s="3" t="s">
        <v>583</v>
      </c>
      <c r="X38" s="3" t="s">
        <v>588</v>
      </c>
      <c r="Y38" s="3">
        <v>6325</v>
      </c>
    </row>
    <row r="39" spans="1:25" x14ac:dyDescent="0.3">
      <c r="D39" s="103"/>
      <c r="E39" s="1"/>
      <c r="F39" s="1"/>
      <c r="G39" s="1"/>
      <c r="I39" s="103"/>
      <c r="J39" s="1"/>
      <c r="K39" s="1"/>
      <c r="L39" s="1"/>
      <c r="V39" s="70">
        <v>42935</v>
      </c>
      <c r="W39" s="3" t="s">
        <v>583</v>
      </c>
      <c r="X39" s="3" t="s">
        <v>335</v>
      </c>
      <c r="Y39" s="3">
        <v>7500</v>
      </c>
    </row>
    <row r="40" spans="1:25" x14ac:dyDescent="0.3">
      <c r="D40" s="103"/>
      <c r="E40" s="1"/>
      <c r="F40" s="1"/>
      <c r="G40" s="1"/>
      <c r="I40" s="103"/>
      <c r="J40" s="1"/>
      <c r="K40" s="1"/>
      <c r="L40" s="1"/>
      <c r="V40" s="70">
        <v>42879</v>
      </c>
      <c r="W40" s="3" t="s">
        <v>580</v>
      </c>
      <c r="X40" s="3" t="s">
        <v>588</v>
      </c>
      <c r="Y40" s="3">
        <v>3906</v>
      </c>
    </row>
    <row r="41" spans="1:25" x14ac:dyDescent="0.3">
      <c r="D41" s="103"/>
      <c r="E41" s="1"/>
      <c r="F41" s="1"/>
      <c r="G41" s="1"/>
      <c r="I41" s="103"/>
      <c r="J41" s="1"/>
      <c r="K41" s="1"/>
      <c r="L41" s="1"/>
    </row>
    <row r="42" spans="1:25" x14ac:dyDescent="0.3">
      <c r="D42" s="103"/>
      <c r="E42" s="1"/>
      <c r="F42" s="1"/>
      <c r="G42" s="1"/>
      <c r="I42" s="103"/>
      <c r="J42" s="1"/>
      <c r="K42" s="1"/>
      <c r="L42" s="1"/>
    </row>
    <row r="43" spans="1:25" x14ac:dyDescent="0.3">
      <c r="D43" s="103"/>
      <c r="E43" s="1"/>
      <c r="F43" s="1"/>
      <c r="G43" s="1"/>
    </row>
    <row r="44" spans="1:25" x14ac:dyDescent="0.3">
      <c r="D44" s="103"/>
      <c r="E44" s="1"/>
      <c r="F44" s="1"/>
      <c r="G44" s="1"/>
    </row>
    <row r="45" spans="1:25" x14ac:dyDescent="0.3">
      <c r="D45" s="103"/>
      <c r="E45" s="1"/>
      <c r="F45" s="1"/>
      <c r="G45" s="1"/>
    </row>
    <row r="46" spans="1:25" x14ac:dyDescent="0.3">
      <c r="D46" s="103"/>
      <c r="E46" s="1"/>
      <c r="F46" s="1"/>
      <c r="G46" s="1"/>
    </row>
    <row r="47" spans="1:25" x14ac:dyDescent="0.3">
      <c r="D47" s="103"/>
      <c r="E47" s="1"/>
      <c r="F47" s="1"/>
      <c r="G47" s="1"/>
    </row>
    <row r="48" spans="1:25" x14ac:dyDescent="0.3">
      <c r="D48" s="103"/>
      <c r="E48" s="1"/>
      <c r="F48" s="1"/>
      <c r="G48" s="1"/>
    </row>
    <row r="49" spans="4:7" x14ac:dyDescent="0.3">
      <c r="D49" s="103"/>
      <c r="E49" s="1"/>
      <c r="F49" s="1"/>
      <c r="G49" s="1"/>
    </row>
    <row r="50" spans="4:7" x14ac:dyDescent="0.3">
      <c r="D50" s="103"/>
      <c r="E50" s="1"/>
      <c r="F50" s="1"/>
      <c r="G50" s="1"/>
    </row>
    <row r="51" spans="4:7" x14ac:dyDescent="0.3">
      <c r="D51" s="74"/>
      <c r="E51" s="1"/>
      <c r="F51" s="1"/>
      <c r="G51" s="1"/>
    </row>
    <row r="52" spans="4:7" x14ac:dyDescent="0.3">
      <c r="D52" s="74"/>
      <c r="E52" s="1"/>
      <c r="F52" s="1"/>
      <c r="G52" s="1"/>
    </row>
    <row r="53" spans="4:7" x14ac:dyDescent="0.3">
      <c r="D53" s="74"/>
      <c r="E53" s="1"/>
      <c r="F53" s="1"/>
      <c r="G53" s="1"/>
    </row>
  </sheetData>
  <mergeCells count="1">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D905E-5997-489C-95D5-BDB0F8432226}">
  <sheetPr codeName="Sheet28"/>
  <dimension ref="A1:J39"/>
  <sheetViews>
    <sheetView workbookViewId="0">
      <selection activeCell="J1" sqref="J1"/>
    </sheetView>
  </sheetViews>
  <sheetFormatPr defaultRowHeight="14.4" x14ac:dyDescent="0.3"/>
  <cols>
    <col min="1" max="1" width="13.77734375" customWidth="1"/>
    <col min="4" max="4" width="10.109375" bestFit="1" customWidth="1"/>
    <col min="6" max="6" width="10.6640625" bestFit="1" customWidth="1"/>
    <col min="7" max="7" width="14" bestFit="1" customWidth="1"/>
    <col min="8" max="8" width="14" customWidth="1"/>
    <col min="9" max="9" width="17.33203125" bestFit="1" customWidth="1"/>
  </cols>
  <sheetData>
    <row r="1" spans="1:10" x14ac:dyDescent="0.3">
      <c r="A1" s="130" t="s">
        <v>661</v>
      </c>
      <c r="B1" s="130"/>
      <c r="C1" s="130"/>
      <c r="D1" s="130"/>
    </row>
    <row r="2" spans="1:10" x14ac:dyDescent="0.3">
      <c r="A2" s="11" t="s">
        <v>645</v>
      </c>
      <c r="F2" s="11" t="s">
        <v>662</v>
      </c>
      <c r="G2" s="11" t="s">
        <v>691</v>
      </c>
    </row>
    <row r="3" spans="1:10" x14ac:dyDescent="0.3">
      <c r="G3" s="11" t="s">
        <v>692</v>
      </c>
    </row>
    <row r="4" spans="1:10" x14ac:dyDescent="0.3">
      <c r="A4" s="11" t="s">
        <v>646</v>
      </c>
      <c r="G4" s="11" t="s">
        <v>693</v>
      </c>
    </row>
    <row r="5" spans="1:10" x14ac:dyDescent="0.3">
      <c r="A5" s="14"/>
      <c r="B5" s="27" t="s">
        <v>647</v>
      </c>
      <c r="C5" s="27" t="s">
        <v>648</v>
      </c>
      <c r="D5" s="27" t="s">
        <v>649</v>
      </c>
      <c r="G5" s="11" t="s">
        <v>1064</v>
      </c>
    </row>
    <row r="6" spans="1:10" x14ac:dyDescent="0.3">
      <c r="A6" s="25" t="s">
        <v>659</v>
      </c>
      <c r="B6" s="3">
        <v>100</v>
      </c>
      <c r="C6" s="3">
        <v>300</v>
      </c>
      <c r="D6" s="3">
        <v>50</v>
      </c>
      <c r="G6" s="11" t="s">
        <v>1065</v>
      </c>
    </row>
    <row r="7" spans="1:10" x14ac:dyDescent="0.3">
      <c r="A7" s="14"/>
      <c r="B7" s="3"/>
      <c r="C7" s="3"/>
      <c r="D7" s="3"/>
    </row>
    <row r="8" spans="1:10" x14ac:dyDescent="0.3">
      <c r="A8" s="25" t="s">
        <v>658</v>
      </c>
      <c r="B8" s="3">
        <v>300</v>
      </c>
      <c r="C8" s="3">
        <v>1200</v>
      </c>
      <c r="D8" s="3">
        <v>120</v>
      </c>
      <c r="G8" s="11" t="s">
        <v>652</v>
      </c>
      <c r="H8" t="s">
        <v>657</v>
      </c>
      <c r="I8" s="11" t="s">
        <v>653</v>
      </c>
    </row>
    <row r="9" spans="1:10" x14ac:dyDescent="0.3">
      <c r="A9" s="25" t="s">
        <v>656</v>
      </c>
      <c r="B9" s="3">
        <v>0.5</v>
      </c>
      <c r="C9" s="3">
        <v>1</v>
      </c>
      <c r="D9" s="3">
        <v>0.5</v>
      </c>
      <c r="F9" s="11" t="s">
        <v>660</v>
      </c>
      <c r="G9">
        <f>SUMPRODUCT(Capital,OrderSize)</f>
        <v>93000</v>
      </c>
      <c r="H9" t="s">
        <v>657</v>
      </c>
      <c r="I9">
        <v>93000</v>
      </c>
    </row>
    <row r="10" spans="1:10" x14ac:dyDescent="0.3">
      <c r="A10" s="14"/>
      <c r="B10" s="3"/>
      <c r="C10" s="3"/>
      <c r="D10" s="3"/>
      <c r="F10" s="11" t="s">
        <v>660</v>
      </c>
      <c r="G10">
        <f>SUMPRODUCT(Storage,OrderSize)</f>
        <v>101</v>
      </c>
      <c r="I10">
        <v>101</v>
      </c>
    </row>
    <row r="11" spans="1:10" x14ac:dyDescent="0.3">
      <c r="A11" s="14"/>
      <c r="B11" s="27" t="s">
        <v>651</v>
      </c>
      <c r="C11" s="27" t="s">
        <v>648</v>
      </c>
      <c r="D11" s="27" t="s">
        <v>649</v>
      </c>
    </row>
    <row r="12" spans="1:10" x14ac:dyDescent="0.3">
      <c r="A12" s="25" t="s">
        <v>650</v>
      </c>
      <c r="B12" s="3">
        <v>94</v>
      </c>
      <c r="C12" s="3">
        <v>54</v>
      </c>
      <c r="D12" s="3">
        <v>0</v>
      </c>
      <c r="I12" s="11" t="s">
        <v>654</v>
      </c>
      <c r="J12" s="11" t="s">
        <v>660</v>
      </c>
    </row>
    <row r="13" spans="1:10" x14ac:dyDescent="0.3">
      <c r="I13">
        <f>SUMPRODUCT(UnitProfit,OrderSize)</f>
        <v>25600</v>
      </c>
    </row>
    <row r="14" spans="1:10" x14ac:dyDescent="0.3">
      <c r="A14" s="11" t="s">
        <v>655</v>
      </c>
    </row>
    <row r="19" spans="1:9" x14ac:dyDescent="0.3">
      <c r="A19" s="11" t="s">
        <v>646</v>
      </c>
    </row>
    <row r="20" spans="1:9" x14ac:dyDescent="0.3">
      <c r="A20" s="14"/>
      <c r="B20" s="27" t="s">
        <v>647</v>
      </c>
      <c r="C20" s="27" t="s">
        <v>648</v>
      </c>
      <c r="D20" s="27" t="s">
        <v>649</v>
      </c>
    </row>
    <row r="21" spans="1:9" x14ac:dyDescent="0.3">
      <c r="A21" s="25" t="s">
        <v>659</v>
      </c>
      <c r="B21" s="3">
        <v>100</v>
      </c>
      <c r="C21" s="3">
        <v>300</v>
      </c>
      <c r="D21" s="3">
        <v>50</v>
      </c>
    </row>
    <row r="22" spans="1:9" x14ac:dyDescent="0.3">
      <c r="A22" s="14"/>
      <c r="B22" s="3"/>
      <c r="C22" s="3"/>
      <c r="D22" s="3"/>
      <c r="G22" s="11" t="s">
        <v>652</v>
      </c>
      <c r="H22" t="s">
        <v>657</v>
      </c>
      <c r="I22" s="11" t="s">
        <v>653</v>
      </c>
    </row>
    <row r="23" spans="1:9" x14ac:dyDescent="0.3">
      <c r="A23" s="25" t="s">
        <v>658</v>
      </c>
      <c r="B23" s="3">
        <v>300</v>
      </c>
      <c r="C23" s="3">
        <v>1200</v>
      </c>
      <c r="D23" s="3">
        <v>120</v>
      </c>
      <c r="G23">
        <f>SUMPRODUCT(B23:D23,B27:D27)</f>
        <v>93000</v>
      </c>
      <c r="H23" t="s">
        <v>657</v>
      </c>
      <c r="I23">
        <v>93000</v>
      </c>
    </row>
    <row r="24" spans="1:9" x14ac:dyDescent="0.3">
      <c r="A24" s="25" t="s">
        <v>656</v>
      </c>
      <c r="B24" s="3">
        <v>0.5</v>
      </c>
      <c r="C24" s="3">
        <v>1</v>
      </c>
      <c r="D24" s="3">
        <v>0.5</v>
      </c>
      <c r="G24">
        <f>SUMPRODUCT(B24:D24,B27:D27)</f>
        <v>101</v>
      </c>
      <c r="I24">
        <v>101</v>
      </c>
    </row>
    <row r="25" spans="1:9" x14ac:dyDescent="0.3">
      <c r="A25" s="14"/>
      <c r="B25" s="3"/>
      <c r="C25" s="3"/>
      <c r="D25" s="3"/>
    </row>
    <row r="26" spans="1:9" x14ac:dyDescent="0.3">
      <c r="A26" s="14"/>
      <c r="B26" s="27" t="s">
        <v>651</v>
      </c>
      <c r="C26" s="27" t="s">
        <v>648</v>
      </c>
      <c r="D26" s="27" t="s">
        <v>649</v>
      </c>
      <c r="I26" s="11" t="s">
        <v>654</v>
      </c>
    </row>
    <row r="27" spans="1:9" x14ac:dyDescent="0.3">
      <c r="A27" s="25" t="s">
        <v>650</v>
      </c>
      <c r="B27" s="3">
        <v>94</v>
      </c>
      <c r="C27" s="3">
        <v>54</v>
      </c>
      <c r="D27" s="3">
        <v>0</v>
      </c>
      <c r="I27">
        <f>SUMPRODUCT(Profits,B27:D27)</f>
        <v>25600</v>
      </c>
    </row>
    <row r="31" spans="1:9" x14ac:dyDescent="0.3">
      <c r="A31" s="11"/>
    </row>
    <row r="32" spans="1:9" x14ac:dyDescent="0.3">
      <c r="B32" s="5"/>
      <c r="C32" s="5"/>
      <c r="D32" s="5"/>
    </row>
    <row r="33" spans="1:9" x14ac:dyDescent="0.3">
      <c r="A33" s="11"/>
      <c r="B33" s="1"/>
      <c r="C33" s="1"/>
      <c r="D33" s="1"/>
    </row>
    <row r="34" spans="1:9" x14ac:dyDescent="0.3">
      <c r="B34" s="1"/>
      <c r="C34" s="1"/>
      <c r="D34" s="1"/>
      <c r="G34" s="11"/>
      <c r="I34" s="11"/>
    </row>
    <row r="35" spans="1:9" x14ac:dyDescent="0.3">
      <c r="A35" s="11"/>
      <c r="B35" s="1"/>
      <c r="C35" s="1"/>
      <c r="D35" s="1"/>
    </row>
    <row r="36" spans="1:9" x14ac:dyDescent="0.3">
      <c r="A36" s="11"/>
      <c r="B36" s="1"/>
      <c r="C36" s="1"/>
      <c r="D36" s="1"/>
    </row>
    <row r="37" spans="1:9" x14ac:dyDescent="0.3">
      <c r="B37" s="1"/>
      <c r="C37" s="1"/>
      <c r="D37" s="1"/>
    </row>
    <row r="38" spans="1:9" x14ac:dyDescent="0.3">
      <c r="B38" s="5"/>
      <c r="C38" s="5"/>
      <c r="D38" s="5"/>
      <c r="I38" s="11"/>
    </row>
    <row r="39" spans="1:9" x14ac:dyDescent="0.3">
      <c r="A39" s="11"/>
      <c r="B39" s="1"/>
      <c r="C39" s="1"/>
      <c r="D39" s="1"/>
    </row>
  </sheetData>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15322-386C-4516-B973-688A4C131540}">
  <sheetPr codeName="Sheet29"/>
  <dimension ref="A1:K22"/>
  <sheetViews>
    <sheetView workbookViewId="0">
      <selection activeCell="C23" sqref="C23"/>
    </sheetView>
  </sheetViews>
  <sheetFormatPr defaultRowHeight="14.4" x14ac:dyDescent="0.3"/>
  <cols>
    <col min="1" max="2" width="17.109375" customWidth="1"/>
    <col min="3" max="3" width="19.6640625" customWidth="1"/>
    <col min="4" max="4" width="10.21875" bestFit="1" customWidth="1"/>
    <col min="8" max="11" width="13.21875" bestFit="1" customWidth="1"/>
  </cols>
  <sheetData>
    <row r="1" spans="1:11" x14ac:dyDescent="0.3">
      <c r="A1" s="130" t="s">
        <v>675</v>
      </c>
      <c r="B1" s="130"/>
      <c r="C1" s="130"/>
    </row>
    <row r="2" spans="1:11" x14ac:dyDescent="0.3">
      <c r="A2" s="75" t="s">
        <v>663</v>
      </c>
      <c r="B2" s="75" t="s">
        <v>215</v>
      </c>
      <c r="C2" s="75" t="s">
        <v>346</v>
      </c>
      <c r="E2" s="75" t="s">
        <v>215</v>
      </c>
      <c r="F2" s="75" t="s">
        <v>215</v>
      </c>
      <c r="G2" s="75" t="s">
        <v>215</v>
      </c>
      <c r="H2" s="75" t="s">
        <v>663</v>
      </c>
      <c r="I2" s="75" t="s">
        <v>663</v>
      </c>
      <c r="J2" s="75" t="s">
        <v>663</v>
      </c>
      <c r="K2" s="75" t="s">
        <v>663</v>
      </c>
    </row>
    <row r="3" spans="1:11" x14ac:dyDescent="0.3">
      <c r="A3" s="3" t="s">
        <v>664</v>
      </c>
      <c r="B3" s="3" t="s">
        <v>107</v>
      </c>
      <c r="C3" s="3">
        <v>6000</v>
      </c>
      <c r="E3" s="3" t="s">
        <v>109</v>
      </c>
      <c r="F3" s="3" t="s">
        <v>108</v>
      </c>
      <c r="G3" s="3" t="s">
        <v>107</v>
      </c>
      <c r="H3" s="3" t="s">
        <v>665</v>
      </c>
      <c r="I3" s="3" t="s">
        <v>666</v>
      </c>
      <c r="J3" s="3" t="s">
        <v>665</v>
      </c>
      <c r="K3" s="3" t="s">
        <v>666</v>
      </c>
    </row>
    <row r="4" spans="1:11" x14ac:dyDescent="0.3">
      <c r="A4" s="3" t="s">
        <v>665</v>
      </c>
      <c r="B4" s="3" t="s">
        <v>108</v>
      </c>
      <c r="C4" s="3">
        <v>3500</v>
      </c>
    </row>
    <row r="5" spans="1:11" x14ac:dyDescent="0.3">
      <c r="A5" s="3" t="s">
        <v>666</v>
      </c>
      <c r="B5" s="3" t="s">
        <v>107</v>
      </c>
      <c r="C5" s="3">
        <v>4800</v>
      </c>
    </row>
    <row r="6" spans="1:11" x14ac:dyDescent="0.3">
      <c r="A6" s="3" t="s">
        <v>667</v>
      </c>
      <c r="B6" s="3" t="s">
        <v>109</v>
      </c>
      <c r="C6" s="3">
        <v>9000</v>
      </c>
    </row>
    <row r="7" spans="1:11" x14ac:dyDescent="0.3">
      <c r="A7" s="3" t="s">
        <v>664</v>
      </c>
      <c r="B7" s="3" t="s">
        <v>107</v>
      </c>
      <c r="C7" s="3">
        <v>5000</v>
      </c>
    </row>
    <row r="8" spans="1:11" x14ac:dyDescent="0.3">
      <c r="A8" s="3" t="s">
        <v>665</v>
      </c>
      <c r="B8" s="3" t="s">
        <v>108</v>
      </c>
      <c r="C8" s="3">
        <v>4520</v>
      </c>
    </row>
    <row r="9" spans="1:11" x14ac:dyDescent="0.3">
      <c r="A9" s="3" t="s">
        <v>666</v>
      </c>
      <c r="B9" s="3" t="s">
        <v>109</v>
      </c>
      <c r="C9" s="3">
        <v>6520</v>
      </c>
    </row>
    <row r="10" spans="1:11" x14ac:dyDescent="0.3">
      <c r="A10" s="3" t="s">
        <v>667</v>
      </c>
      <c r="B10" s="3" t="s">
        <v>108</v>
      </c>
      <c r="C10" s="3">
        <v>3500</v>
      </c>
    </row>
    <row r="11" spans="1:11" x14ac:dyDescent="0.3">
      <c r="A11" s="3" t="s">
        <v>664</v>
      </c>
      <c r="B11" s="3" t="s">
        <v>107</v>
      </c>
      <c r="C11" s="3">
        <v>5800</v>
      </c>
    </row>
    <row r="12" spans="1:11" x14ac:dyDescent="0.3">
      <c r="A12" s="3" t="s">
        <v>665</v>
      </c>
      <c r="B12" s="3" t="s">
        <v>108</v>
      </c>
      <c r="C12" s="3">
        <v>8600</v>
      </c>
    </row>
    <row r="13" spans="1:11" x14ac:dyDescent="0.3">
      <c r="A13" s="3" t="s">
        <v>666</v>
      </c>
      <c r="B13" s="3" t="s">
        <v>109</v>
      </c>
      <c r="C13" s="3">
        <v>4800</v>
      </c>
    </row>
    <row r="14" spans="1:11" x14ac:dyDescent="0.3">
      <c r="A14" s="3" t="s">
        <v>667</v>
      </c>
      <c r="B14" s="3" t="s">
        <v>107</v>
      </c>
      <c r="C14" s="3">
        <v>5800</v>
      </c>
    </row>
    <row r="16" spans="1:11" x14ac:dyDescent="0.3">
      <c r="A16" s="131" t="s">
        <v>668</v>
      </c>
      <c r="B16" s="131"/>
      <c r="C16" s="14">
        <f>DAVERAGE(A2:C14,C2,E2:E3)</f>
        <v>6773.333333333333</v>
      </c>
      <c r="D16" s="11" t="s">
        <v>676</v>
      </c>
    </row>
    <row r="17" spans="1:4" x14ac:dyDescent="0.3">
      <c r="A17" s="131" t="s">
        <v>669</v>
      </c>
      <c r="B17" s="131"/>
      <c r="C17" s="14">
        <f>DSUM(A2:C14,C2,F2:F3)</f>
        <v>20120</v>
      </c>
      <c r="D17" s="11" t="s">
        <v>677</v>
      </c>
    </row>
    <row r="18" spans="1:4" x14ac:dyDescent="0.3">
      <c r="A18" s="131" t="s">
        <v>670</v>
      </c>
      <c r="B18" s="131"/>
      <c r="C18" s="14">
        <f>DCOUNT(A2:C14,C2,G2:G3)</f>
        <v>5</v>
      </c>
      <c r="D18" s="11" t="s">
        <v>678</v>
      </c>
    </row>
    <row r="19" spans="1:4" x14ac:dyDescent="0.3">
      <c r="A19" s="131" t="s">
        <v>671</v>
      </c>
      <c r="B19" s="131"/>
      <c r="C19" s="14">
        <f>DMAX(A2:C14,C2,H2:H3)</f>
        <v>8600</v>
      </c>
      <c r="D19" s="11" t="s">
        <v>679</v>
      </c>
    </row>
    <row r="20" spans="1:4" x14ac:dyDescent="0.3">
      <c r="A20" s="131" t="s">
        <v>672</v>
      </c>
      <c r="B20" s="131"/>
      <c r="C20" s="14">
        <f>DMIN(A2:C14,C2,I2:I3)</f>
        <v>4800</v>
      </c>
      <c r="D20" s="11" t="s">
        <v>680</v>
      </c>
    </row>
    <row r="21" spans="1:4" x14ac:dyDescent="0.3">
      <c r="A21" s="131" t="s">
        <v>673</v>
      </c>
      <c r="B21" s="131"/>
      <c r="C21" s="14">
        <f>DCOUNT(A2:C14,C2,J2:J3)</f>
        <v>3</v>
      </c>
      <c r="D21" s="11" t="s">
        <v>678</v>
      </c>
    </row>
    <row r="22" spans="1:4" x14ac:dyDescent="0.3">
      <c r="A22" s="131" t="s">
        <v>674</v>
      </c>
      <c r="B22" s="131"/>
      <c r="C22" s="14">
        <f>DSUM(A2:C14,C2,K2:K3)</f>
        <v>16120</v>
      </c>
      <c r="D22" s="11" t="s">
        <v>677</v>
      </c>
    </row>
  </sheetData>
  <mergeCells count="8">
    <mergeCell ref="A21:B21"/>
    <mergeCell ref="A22:B22"/>
    <mergeCell ref="A1:C1"/>
    <mergeCell ref="A16:B16"/>
    <mergeCell ref="A17:B17"/>
    <mergeCell ref="A18:B18"/>
    <mergeCell ref="A19:B19"/>
    <mergeCell ref="A20:B20"/>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D64D-29A6-4303-B760-15E73C30994F}">
  <sheetPr codeName="Sheet30"/>
  <dimension ref="A1:C11"/>
  <sheetViews>
    <sheetView workbookViewId="0">
      <selection activeCell="Q10" sqref="Q10"/>
    </sheetView>
  </sheetViews>
  <sheetFormatPr defaultRowHeight="14.4" x14ac:dyDescent="0.3"/>
  <cols>
    <col min="1" max="1" width="7" customWidth="1"/>
    <col min="3" max="3" width="10.109375" bestFit="1" customWidth="1"/>
  </cols>
  <sheetData>
    <row r="1" spans="1:3" x14ac:dyDescent="0.3">
      <c r="B1" s="72" t="s">
        <v>702</v>
      </c>
    </row>
    <row r="2" spans="1:3" x14ac:dyDescent="0.3">
      <c r="B2" s="3" t="s">
        <v>694</v>
      </c>
      <c r="C2" s="3" t="s">
        <v>695</v>
      </c>
    </row>
    <row r="3" spans="1:3" x14ac:dyDescent="0.3">
      <c r="A3" s="1">
        <v>1</v>
      </c>
      <c r="B3" s="3" t="s">
        <v>510</v>
      </c>
      <c r="C3" s="3" t="s">
        <v>346</v>
      </c>
    </row>
    <row r="4" spans="1:3" x14ac:dyDescent="0.3">
      <c r="A4" s="1">
        <v>2</v>
      </c>
      <c r="B4" s="3" t="s">
        <v>696</v>
      </c>
      <c r="C4" s="76">
        <v>500</v>
      </c>
    </row>
    <row r="5" spans="1:3" x14ac:dyDescent="0.3">
      <c r="A5" s="1">
        <v>3</v>
      </c>
      <c r="B5" s="3" t="s">
        <v>697</v>
      </c>
      <c r="C5" s="76">
        <v>390</v>
      </c>
    </row>
    <row r="6" spans="1:3" x14ac:dyDescent="0.3">
      <c r="A6" s="1">
        <v>4</v>
      </c>
      <c r="B6" s="3" t="s">
        <v>464</v>
      </c>
      <c r="C6" s="76">
        <v>990</v>
      </c>
    </row>
    <row r="7" spans="1:3" x14ac:dyDescent="0.3">
      <c r="A7" s="1">
        <v>5</v>
      </c>
      <c r="B7" s="3" t="s">
        <v>698</v>
      </c>
      <c r="C7" s="76">
        <v>470</v>
      </c>
    </row>
    <row r="8" spans="1:3" x14ac:dyDescent="0.3">
      <c r="A8" s="1">
        <v>6</v>
      </c>
      <c r="B8" s="3" t="s">
        <v>699</v>
      </c>
      <c r="C8" s="76">
        <v>2350</v>
      </c>
    </row>
    <row r="10" spans="1:3" x14ac:dyDescent="0.3">
      <c r="A10" s="11" t="s">
        <v>700</v>
      </c>
    </row>
    <row r="11" spans="1:3" x14ac:dyDescent="0.3">
      <c r="A11" s="11" t="s">
        <v>701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C9998-6756-4ED6-897B-95B5EB8FD4CA}">
  <sheetPr codeName="Sheet31"/>
  <dimension ref="A2:C8"/>
  <sheetViews>
    <sheetView workbookViewId="0">
      <selection activeCell="H21" sqref="H21"/>
    </sheetView>
  </sheetViews>
  <sheetFormatPr defaultRowHeight="14.4" x14ac:dyDescent="0.3"/>
  <cols>
    <col min="3" max="3" width="10.109375" bestFit="1" customWidth="1"/>
  </cols>
  <sheetData>
    <row r="2" spans="1:3" x14ac:dyDescent="0.3">
      <c r="B2" s="3" t="s">
        <v>694</v>
      </c>
      <c r="C2" s="3" t="s">
        <v>695</v>
      </c>
    </row>
    <row r="3" spans="1:3" x14ac:dyDescent="0.3">
      <c r="A3" s="1">
        <v>1</v>
      </c>
      <c r="B3" s="3" t="s">
        <v>510</v>
      </c>
      <c r="C3" s="3" t="s">
        <v>346</v>
      </c>
    </row>
    <row r="4" spans="1:3" x14ac:dyDescent="0.3">
      <c r="A4" s="1">
        <v>2</v>
      </c>
      <c r="B4" s="3" t="s">
        <v>696</v>
      </c>
      <c r="C4" s="76">
        <v>550</v>
      </c>
    </row>
    <row r="5" spans="1:3" x14ac:dyDescent="0.3">
      <c r="A5" s="1">
        <v>3</v>
      </c>
      <c r="B5" s="3" t="s">
        <v>697</v>
      </c>
      <c r="C5" s="76">
        <v>490</v>
      </c>
    </row>
    <row r="6" spans="1:3" x14ac:dyDescent="0.3">
      <c r="A6" s="1">
        <v>4</v>
      </c>
      <c r="B6" s="3" t="s">
        <v>464</v>
      </c>
      <c r="C6" s="76">
        <v>730</v>
      </c>
    </row>
    <row r="7" spans="1:3" x14ac:dyDescent="0.3">
      <c r="A7" s="1">
        <v>5</v>
      </c>
      <c r="B7" s="3" t="s">
        <v>698</v>
      </c>
      <c r="C7" s="76">
        <v>520</v>
      </c>
    </row>
    <row r="8" spans="1:3" x14ac:dyDescent="0.3">
      <c r="A8" s="1">
        <v>6</v>
      </c>
      <c r="B8" s="3" t="s">
        <v>699</v>
      </c>
      <c r="C8" s="76">
        <v>2290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8FC46-38D7-4AA8-BC71-39EFB7CC50F0}">
  <sheetPr codeName="Sheet32"/>
  <dimension ref="A2:C8"/>
  <sheetViews>
    <sheetView workbookViewId="0">
      <selection activeCell="I21" sqref="I21"/>
    </sheetView>
  </sheetViews>
  <sheetFormatPr defaultRowHeight="14.4" x14ac:dyDescent="0.3"/>
  <cols>
    <col min="3" max="3" width="10.109375" bestFit="1" customWidth="1"/>
  </cols>
  <sheetData>
    <row r="2" spans="1:3" x14ac:dyDescent="0.3">
      <c r="B2" s="3" t="s">
        <v>694</v>
      </c>
      <c r="C2" s="3" t="s">
        <v>695</v>
      </c>
    </row>
    <row r="3" spans="1:3" x14ac:dyDescent="0.3">
      <c r="A3" s="1">
        <v>1</v>
      </c>
      <c r="B3" s="3" t="s">
        <v>510</v>
      </c>
      <c r="C3" s="3" t="s">
        <v>346</v>
      </c>
    </row>
    <row r="4" spans="1:3" x14ac:dyDescent="0.3">
      <c r="A4" s="1">
        <v>2</v>
      </c>
      <c r="B4" s="3" t="s">
        <v>696</v>
      </c>
      <c r="C4" s="76">
        <v>470</v>
      </c>
    </row>
    <row r="5" spans="1:3" x14ac:dyDescent="0.3">
      <c r="A5" s="1">
        <v>3</v>
      </c>
      <c r="B5" s="3" t="s">
        <v>697</v>
      </c>
      <c r="C5" s="76">
        <v>820</v>
      </c>
    </row>
    <row r="6" spans="1:3" x14ac:dyDescent="0.3">
      <c r="A6" s="1">
        <v>4</v>
      </c>
      <c r="B6" s="3" t="s">
        <v>464</v>
      </c>
      <c r="C6" s="76">
        <v>630</v>
      </c>
    </row>
    <row r="7" spans="1:3" x14ac:dyDescent="0.3">
      <c r="A7" s="1">
        <v>5</v>
      </c>
      <c r="B7" s="3" t="s">
        <v>698</v>
      </c>
      <c r="C7" s="76">
        <v>340</v>
      </c>
    </row>
    <row r="8" spans="1:3" x14ac:dyDescent="0.3">
      <c r="A8" s="1">
        <v>6</v>
      </c>
      <c r="B8" s="3" t="s">
        <v>699</v>
      </c>
      <c r="C8" s="76">
        <v>2260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4C82-D694-42D6-B540-93853CDCA3AD}">
  <sheetPr codeName="Sheet33"/>
  <dimension ref="A2:C8"/>
  <sheetViews>
    <sheetView workbookViewId="0">
      <selection activeCell="C9" sqref="C9"/>
    </sheetView>
  </sheetViews>
  <sheetFormatPr defaultRowHeight="14.4" x14ac:dyDescent="0.3"/>
  <cols>
    <col min="3" max="3" width="10.109375" bestFit="1" customWidth="1"/>
  </cols>
  <sheetData>
    <row r="2" spans="1:3" x14ac:dyDescent="0.3">
      <c r="B2" s="3" t="s">
        <v>694</v>
      </c>
      <c r="C2" s="3" t="s">
        <v>695</v>
      </c>
    </row>
    <row r="3" spans="1:3" x14ac:dyDescent="0.3">
      <c r="A3" s="1">
        <v>1</v>
      </c>
      <c r="B3" s="3" t="s">
        <v>510</v>
      </c>
      <c r="C3" s="3" t="s">
        <v>346</v>
      </c>
    </row>
    <row r="4" spans="1:3" x14ac:dyDescent="0.3">
      <c r="A4" s="1">
        <v>2</v>
      </c>
      <c r="B4" s="3" t="s">
        <v>696</v>
      </c>
      <c r="C4" s="76">
        <v>750</v>
      </c>
    </row>
    <row r="5" spans="1:3" x14ac:dyDescent="0.3">
      <c r="A5" s="1">
        <v>3</v>
      </c>
      <c r="B5" s="3" t="s">
        <v>697</v>
      </c>
      <c r="C5" s="76">
        <v>470</v>
      </c>
    </row>
    <row r="6" spans="1:3" x14ac:dyDescent="0.3">
      <c r="A6" s="1">
        <v>4</v>
      </c>
      <c r="B6" s="3" t="s">
        <v>464</v>
      </c>
      <c r="C6" s="76">
        <v>590</v>
      </c>
    </row>
    <row r="7" spans="1:3" x14ac:dyDescent="0.3">
      <c r="A7" s="1">
        <v>5</v>
      </c>
      <c r="B7" s="3" t="s">
        <v>698</v>
      </c>
      <c r="C7" s="76">
        <v>550</v>
      </c>
    </row>
    <row r="8" spans="1:3" x14ac:dyDescent="0.3">
      <c r="A8" s="1">
        <v>6</v>
      </c>
      <c r="B8" s="3" t="s">
        <v>699</v>
      </c>
      <c r="C8" s="76">
        <v>2360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51991-175D-4123-970E-28863F8892A7}">
  <sheetPr codeName="Sheet34"/>
  <dimension ref="A1:D18"/>
  <sheetViews>
    <sheetView workbookViewId="0">
      <selection activeCell="B4" sqref="B4"/>
    </sheetView>
  </sheetViews>
  <sheetFormatPr defaultRowHeight="14.4" x14ac:dyDescent="0.3"/>
  <cols>
    <col min="2" max="2" width="10.109375" bestFit="1" customWidth="1"/>
  </cols>
  <sheetData>
    <row r="1" spans="1:4" x14ac:dyDescent="0.3">
      <c r="A1" s="130" t="s">
        <v>702</v>
      </c>
      <c r="B1" s="130"/>
      <c r="C1" s="130"/>
      <c r="D1" s="130"/>
    </row>
    <row r="2" spans="1:4" x14ac:dyDescent="0.3">
      <c r="A2" s="27" t="s">
        <v>510</v>
      </c>
      <c r="B2" s="27" t="s">
        <v>346</v>
      </c>
      <c r="C2" s="27" t="s">
        <v>703</v>
      </c>
      <c r="D2" s="27" t="s">
        <v>704</v>
      </c>
    </row>
    <row r="3" spans="1:4" x14ac:dyDescent="0.3">
      <c r="A3" s="3" t="s">
        <v>696</v>
      </c>
      <c r="B3" s="76">
        <f>SUM(Jan:Apr!C4)</f>
        <v>2270</v>
      </c>
      <c r="C3" s="3">
        <f>MAX(Jan:Apr!C4)</f>
        <v>750</v>
      </c>
      <c r="D3" s="3">
        <f>MIN(Jan:Apr!C4)</f>
        <v>470</v>
      </c>
    </row>
    <row r="4" spans="1:4" x14ac:dyDescent="0.3">
      <c r="A4" s="3" t="s">
        <v>697</v>
      </c>
      <c r="B4" s="76">
        <f>SUM(Jan:Apr!C5)</f>
        <v>2170</v>
      </c>
      <c r="C4" s="3">
        <f>MAX(Jan:Apr!C5)</f>
        <v>820</v>
      </c>
      <c r="D4" s="3">
        <f>MIN(Jan:Apr!C5)</f>
        <v>390</v>
      </c>
    </row>
    <row r="5" spans="1:4" x14ac:dyDescent="0.3">
      <c r="A5" s="3" t="s">
        <v>464</v>
      </c>
      <c r="B5" s="76">
        <f>SUM(Jan:Apr!C6)</f>
        <v>2940</v>
      </c>
      <c r="C5" s="3">
        <f>MAX(Jan:Apr!C6)</f>
        <v>990</v>
      </c>
      <c r="D5" s="3">
        <f>MIN(Jan:Apr!C6)</f>
        <v>590</v>
      </c>
    </row>
    <row r="6" spans="1:4" x14ac:dyDescent="0.3">
      <c r="A6" s="3" t="s">
        <v>698</v>
      </c>
      <c r="B6" s="76">
        <f>SUM(Jan:Apr!C7)</f>
        <v>1880</v>
      </c>
      <c r="C6" s="3">
        <f>MAX(Jan:Apr!C7)</f>
        <v>550</v>
      </c>
      <c r="D6" s="3">
        <f>MIN(Jan:Apr!C7)</f>
        <v>340</v>
      </c>
    </row>
    <row r="7" spans="1:4" x14ac:dyDescent="0.3">
      <c r="A7" s="3" t="s">
        <v>699</v>
      </c>
      <c r="B7" s="76">
        <f>SUM(Jan:Apr!C8)</f>
        <v>9260</v>
      </c>
      <c r="C7" s="3">
        <f>MAX(Jan:Apr!C8)</f>
        <v>2360</v>
      </c>
      <c r="D7" s="3">
        <f>MIN(Jan:Apr!C8)</f>
        <v>2260</v>
      </c>
    </row>
    <row r="8" spans="1:4" x14ac:dyDescent="0.3">
      <c r="B8" s="5" t="s">
        <v>189</v>
      </c>
      <c r="C8" s="5" t="s">
        <v>706</v>
      </c>
      <c r="D8" s="5" t="s">
        <v>88</v>
      </c>
    </row>
    <row r="9" spans="1:4" x14ac:dyDescent="0.3">
      <c r="B9" s="5"/>
      <c r="C9" s="5"/>
      <c r="D9" s="5"/>
    </row>
    <row r="10" spans="1:4" x14ac:dyDescent="0.3">
      <c r="B10" s="5" t="s">
        <v>597</v>
      </c>
      <c r="C10" s="5"/>
      <c r="D10" s="5"/>
    </row>
    <row r="11" spans="1:4" x14ac:dyDescent="0.3">
      <c r="B11" t="s">
        <v>705</v>
      </c>
    </row>
    <row r="12" spans="1:4" x14ac:dyDescent="0.3">
      <c r="B12" t="s">
        <v>707</v>
      </c>
    </row>
    <row r="13" spans="1:4" x14ac:dyDescent="0.3">
      <c r="B13" t="s">
        <v>708</v>
      </c>
    </row>
    <row r="14" spans="1:4" x14ac:dyDescent="0.3">
      <c r="B14" t="s">
        <v>709</v>
      </c>
    </row>
    <row r="15" spans="1:4" x14ac:dyDescent="0.3">
      <c r="B15" t="s">
        <v>710</v>
      </c>
    </row>
    <row r="17" spans="2:2" x14ac:dyDescent="0.3">
      <c r="B17" s="11" t="s">
        <v>662</v>
      </c>
    </row>
    <row r="18" spans="2:2" x14ac:dyDescent="0.3">
      <c r="B18" t="s">
        <v>729</v>
      </c>
    </row>
  </sheetData>
  <mergeCells count="1">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4C617-6667-4600-B3F0-8BD4B26E9C1F}">
  <sheetPr codeName="Sheet35"/>
  <dimension ref="A1:E27"/>
  <sheetViews>
    <sheetView workbookViewId="0">
      <selection activeCell="E1" sqref="E1"/>
    </sheetView>
  </sheetViews>
  <sheetFormatPr defaultRowHeight="14.4" outlineLevelRow="1" x14ac:dyDescent="0.3"/>
  <cols>
    <col min="1" max="1" width="9.5546875" bestFit="1" customWidth="1"/>
    <col min="2" max="2" width="17.88671875" customWidth="1"/>
    <col min="3" max="3" width="10.109375" bestFit="1" customWidth="1"/>
  </cols>
  <sheetData>
    <row r="1" spans="1:5" x14ac:dyDescent="0.3">
      <c r="B1" s="72" t="s">
        <v>712</v>
      </c>
      <c r="C1" s="72"/>
      <c r="E1" s="72" t="s">
        <v>713</v>
      </c>
    </row>
    <row r="2" spans="1:5" x14ac:dyDescent="0.3">
      <c r="A2" t="s">
        <v>510</v>
      </c>
    </row>
    <row r="3" spans="1:5" outlineLevel="1" x14ac:dyDescent="0.3">
      <c r="B3" t="s">
        <v>711</v>
      </c>
      <c r="C3" s="77">
        <v>750</v>
      </c>
    </row>
    <row r="4" spans="1:5" outlineLevel="1" collapsed="1" x14ac:dyDescent="0.3">
      <c r="B4" t="s">
        <v>711</v>
      </c>
      <c r="C4" s="77">
        <f>Feb!$C$4</f>
        <v>550</v>
      </c>
    </row>
    <row r="5" spans="1:5" outlineLevel="1" collapsed="1" x14ac:dyDescent="0.3">
      <c r="B5" t="s">
        <v>711</v>
      </c>
      <c r="C5" s="77">
        <f>Jan!$C$4</f>
        <v>500</v>
      </c>
    </row>
    <row r="6" spans="1:5" outlineLevel="1" collapsed="1" x14ac:dyDescent="0.3">
      <c r="B6" t="s">
        <v>711</v>
      </c>
      <c r="C6" s="77">
        <f>Mar!$C$4</f>
        <v>470</v>
      </c>
    </row>
    <row r="7" spans="1:5" x14ac:dyDescent="0.3">
      <c r="A7" t="s">
        <v>696</v>
      </c>
      <c r="C7" s="77">
        <f>SUM(C3:C6)</f>
        <v>2270</v>
      </c>
    </row>
    <row r="8" spans="1:5" outlineLevel="1" x14ac:dyDescent="0.3">
      <c r="B8" t="s">
        <v>711</v>
      </c>
      <c r="C8" s="77">
        <f>Apr!$C$5</f>
        <v>470</v>
      </c>
    </row>
    <row r="9" spans="1:5" outlineLevel="1" collapsed="1" x14ac:dyDescent="0.3">
      <c r="B9" t="s">
        <v>711</v>
      </c>
      <c r="C9" s="77">
        <f>Feb!$C$5</f>
        <v>490</v>
      </c>
    </row>
    <row r="10" spans="1:5" outlineLevel="1" collapsed="1" x14ac:dyDescent="0.3">
      <c r="B10" t="s">
        <v>711</v>
      </c>
      <c r="C10" s="77">
        <f>Jan!$C$5</f>
        <v>390</v>
      </c>
    </row>
    <row r="11" spans="1:5" outlineLevel="1" collapsed="1" x14ac:dyDescent="0.3">
      <c r="B11" t="s">
        <v>711</v>
      </c>
      <c r="C11" s="77">
        <f>Mar!$C$5</f>
        <v>820</v>
      </c>
    </row>
    <row r="12" spans="1:5" x14ac:dyDescent="0.3">
      <c r="A12" t="s">
        <v>697</v>
      </c>
      <c r="C12" s="77">
        <f>SUM(C8:C11)</f>
        <v>2170</v>
      </c>
    </row>
    <row r="13" spans="1:5" outlineLevel="1" x14ac:dyDescent="0.3">
      <c r="B13" t="s">
        <v>711</v>
      </c>
      <c r="C13" s="77">
        <f>Apr!$C$6</f>
        <v>590</v>
      </c>
    </row>
    <row r="14" spans="1:5" outlineLevel="1" collapsed="1" x14ac:dyDescent="0.3">
      <c r="B14" t="s">
        <v>711</v>
      </c>
      <c r="C14" s="77">
        <f>Feb!$C$6</f>
        <v>730</v>
      </c>
    </row>
    <row r="15" spans="1:5" outlineLevel="1" collapsed="1" x14ac:dyDescent="0.3">
      <c r="B15" t="s">
        <v>711</v>
      </c>
      <c r="C15" s="77">
        <f>Jan!$C$6</f>
        <v>990</v>
      </c>
    </row>
    <row r="16" spans="1:5" outlineLevel="1" collapsed="1" x14ac:dyDescent="0.3">
      <c r="B16" t="s">
        <v>711</v>
      </c>
      <c r="C16" s="77">
        <f>Mar!$C$6</f>
        <v>630</v>
      </c>
    </row>
    <row r="17" spans="1:3" x14ac:dyDescent="0.3">
      <c r="A17" t="s">
        <v>464</v>
      </c>
      <c r="C17" s="77">
        <f>SUM(C13:C16)</f>
        <v>2940</v>
      </c>
    </row>
    <row r="18" spans="1:3" outlineLevel="1" x14ac:dyDescent="0.3">
      <c r="B18" t="s">
        <v>711</v>
      </c>
      <c r="C18" s="77">
        <f>Apr!$C$7</f>
        <v>550</v>
      </c>
    </row>
    <row r="19" spans="1:3" outlineLevel="1" collapsed="1" x14ac:dyDescent="0.3">
      <c r="B19" t="s">
        <v>711</v>
      </c>
      <c r="C19" s="77">
        <f>Feb!$C$7</f>
        <v>520</v>
      </c>
    </row>
    <row r="20" spans="1:3" outlineLevel="1" collapsed="1" x14ac:dyDescent="0.3">
      <c r="B20" t="s">
        <v>711</v>
      </c>
      <c r="C20" s="77">
        <f>Jan!$C$7</f>
        <v>470</v>
      </c>
    </row>
    <row r="21" spans="1:3" outlineLevel="1" collapsed="1" x14ac:dyDescent="0.3">
      <c r="B21" t="s">
        <v>711</v>
      </c>
      <c r="C21" s="77">
        <f>Mar!$C$7</f>
        <v>340</v>
      </c>
    </row>
    <row r="22" spans="1:3" x14ac:dyDescent="0.3">
      <c r="A22" t="s">
        <v>698</v>
      </c>
      <c r="C22" s="77">
        <f>SUM(C18:C21)</f>
        <v>1880</v>
      </c>
    </row>
    <row r="23" spans="1:3" outlineLevel="1" x14ac:dyDescent="0.3">
      <c r="B23" t="s">
        <v>711</v>
      </c>
      <c r="C23" s="77">
        <f>Apr!$C$8</f>
        <v>2360</v>
      </c>
    </row>
    <row r="24" spans="1:3" outlineLevel="1" collapsed="1" x14ac:dyDescent="0.3">
      <c r="B24" t="s">
        <v>711</v>
      </c>
      <c r="C24" s="77">
        <f>Feb!$C$8</f>
        <v>2290</v>
      </c>
    </row>
    <row r="25" spans="1:3" outlineLevel="1" collapsed="1" x14ac:dyDescent="0.3">
      <c r="B25" t="s">
        <v>711</v>
      </c>
      <c r="C25" s="77">
        <f>Jan!$C$8</f>
        <v>2350</v>
      </c>
    </row>
    <row r="26" spans="1:3" outlineLevel="1" collapsed="1" x14ac:dyDescent="0.3">
      <c r="B26" t="s">
        <v>711</v>
      </c>
      <c r="C26" s="77">
        <f>Mar!$C$8</f>
        <v>2260</v>
      </c>
    </row>
    <row r="27" spans="1:3" x14ac:dyDescent="0.3">
      <c r="A27" t="s">
        <v>699</v>
      </c>
      <c r="C27" s="77">
        <f>SUM(C23:C26)</f>
        <v>9260</v>
      </c>
    </row>
  </sheetData>
  <dataConsolidate topLabels="1" link="1">
    <dataRefs count="4">
      <dataRef ref="B2:C8" sheet="Apr"/>
      <dataRef ref="B2:C8" sheet="Feb"/>
      <dataRef ref="B2:C8" sheet="Jan"/>
      <dataRef ref="B2:C8" sheet="Mar"/>
    </dataRefs>
  </dataConsolidate>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26341-BAB8-43E3-8785-370EC1A59790}">
  <sheetPr codeName="Sheet36"/>
  <dimension ref="A1:P24"/>
  <sheetViews>
    <sheetView workbookViewId="0">
      <selection activeCell="L11" sqref="L11"/>
    </sheetView>
  </sheetViews>
  <sheetFormatPr defaultRowHeight="14.4" x14ac:dyDescent="0.3"/>
  <cols>
    <col min="1" max="1" width="5.88671875" bestFit="1" customWidth="1"/>
    <col min="2" max="2" width="11.109375" customWidth="1"/>
    <col min="3" max="3" width="9.88671875" bestFit="1" customWidth="1"/>
    <col min="4" max="4" width="10.5546875" bestFit="1" customWidth="1"/>
    <col min="5" max="5" width="9.88671875" customWidth="1"/>
    <col min="6" max="6" width="12" bestFit="1" customWidth="1"/>
    <col min="7" max="7" width="13.21875" bestFit="1" customWidth="1"/>
    <col min="8" max="8" width="13.21875" customWidth="1"/>
    <col min="11" max="11" width="11" bestFit="1" customWidth="1"/>
    <col min="14" max="14" width="10.33203125" bestFit="1" customWidth="1"/>
    <col min="15" max="15" width="13" customWidth="1"/>
  </cols>
  <sheetData>
    <row r="1" spans="1:16" x14ac:dyDescent="0.3">
      <c r="B1" s="72" t="s">
        <v>714</v>
      </c>
      <c r="I1" s="1"/>
      <c r="J1" s="1"/>
      <c r="K1" s="1"/>
      <c r="L1" s="1"/>
      <c r="M1" s="1"/>
      <c r="N1" s="1"/>
      <c r="O1" s="1"/>
      <c r="P1" s="1"/>
    </row>
    <row r="2" spans="1:16" x14ac:dyDescent="0.3">
      <c r="A2" s="25" t="s">
        <v>715</v>
      </c>
      <c r="B2" s="25" t="s">
        <v>717</v>
      </c>
      <c r="C2" s="25" t="s">
        <v>716</v>
      </c>
      <c r="D2" s="25" t="s">
        <v>66</v>
      </c>
      <c r="E2" s="25" t="s">
        <v>23</v>
      </c>
      <c r="F2" s="25" t="s">
        <v>718</v>
      </c>
      <c r="G2" s="25" t="s">
        <v>719</v>
      </c>
      <c r="H2" s="11"/>
      <c r="I2" s="1"/>
      <c r="J2" s="1"/>
      <c r="K2" s="1"/>
      <c r="L2" s="1"/>
      <c r="M2" s="1"/>
      <c r="N2" s="103"/>
      <c r="O2" s="1"/>
      <c r="P2" s="1"/>
    </row>
    <row r="3" spans="1:16" x14ac:dyDescent="0.3">
      <c r="A3" s="3">
        <v>25</v>
      </c>
      <c r="B3" s="3" t="s">
        <v>721</v>
      </c>
      <c r="C3" s="3">
        <v>5426</v>
      </c>
      <c r="D3" s="3" t="s">
        <v>1038</v>
      </c>
      <c r="E3" s="3">
        <v>20000</v>
      </c>
      <c r="F3" s="3">
        <v>9825204992</v>
      </c>
      <c r="G3" s="70">
        <v>45455</v>
      </c>
      <c r="H3" s="74"/>
      <c r="I3" s="1"/>
      <c r="J3" s="1"/>
      <c r="K3" s="1"/>
      <c r="L3" s="1"/>
      <c r="M3" s="1"/>
      <c r="N3" s="103"/>
      <c r="O3" s="1"/>
      <c r="P3" s="1"/>
    </row>
    <row r="4" spans="1:16" x14ac:dyDescent="0.3">
      <c r="A4" s="3">
        <v>65</v>
      </c>
      <c r="B4" s="3" t="s">
        <v>1036</v>
      </c>
      <c r="C4" s="3">
        <v>6589</v>
      </c>
      <c r="D4" s="3" t="s">
        <v>724</v>
      </c>
      <c r="E4" s="3">
        <v>30000</v>
      </c>
      <c r="F4" s="3">
        <v>7490845584</v>
      </c>
      <c r="G4" s="70">
        <v>45422</v>
      </c>
      <c r="I4" s="1"/>
      <c r="J4" s="1"/>
      <c r="K4" s="1"/>
      <c r="L4" s="1"/>
      <c r="M4" s="1"/>
      <c r="N4" s="103"/>
      <c r="O4" s="1"/>
      <c r="P4" s="1"/>
    </row>
    <row r="5" spans="1:16" x14ac:dyDescent="0.3">
      <c r="A5" s="3">
        <v>35</v>
      </c>
      <c r="B5" s="3" t="s">
        <v>1037</v>
      </c>
      <c r="C5" s="3">
        <v>154</v>
      </c>
      <c r="D5" s="3" t="s">
        <v>365</v>
      </c>
      <c r="E5" s="3">
        <v>12000</v>
      </c>
      <c r="F5" s="3">
        <v>9825462575</v>
      </c>
      <c r="G5" s="70">
        <v>45365</v>
      </c>
      <c r="I5" s="1"/>
      <c r="J5" s="1"/>
      <c r="K5" s="1"/>
      <c r="L5" s="1"/>
      <c r="M5" s="1"/>
      <c r="N5" s="103"/>
      <c r="O5" s="1"/>
      <c r="P5" s="1"/>
    </row>
    <row r="6" spans="1:16" x14ac:dyDescent="0.3">
      <c r="A6" s="3">
        <v>22</v>
      </c>
      <c r="B6" s="3" t="s">
        <v>1040</v>
      </c>
      <c r="C6" s="3">
        <v>52</v>
      </c>
      <c r="D6" s="3" t="s">
        <v>365</v>
      </c>
      <c r="E6" s="3">
        <v>45000</v>
      </c>
      <c r="F6" s="3">
        <v>2365467891</v>
      </c>
      <c r="G6" s="70">
        <v>45345</v>
      </c>
      <c r="I6" s="1"/>
      <c r="J6" s="1"/>
      <c r="K6" s="1"/>
      <c r="L6" s="1"/>
      <c r="M6" s="1"/>
      <c r="N6" s="103"/>
      <c r="O6" s="1"/>
      <c r="P6" s="1"/>
    </row>
    <row r="7" spans="1:16" x14ac:dyDescent="0.3">
      <c r="A7" s="3">
        <v>100</v>
      </c>
      <c r="B7" s="3" t="s">
        <v>1041</v>
      </c>
      <c r="C7" s="3">
        <v>5</v>
      </c>
      <c r="D7" s="3" t="s">
        <v>1039</v>
      </c>
      <c r="E7" s="3">
        <v>28000</v>
      </c>
      <c r="F7" s="3">
        <v>2583691470</v>
      </c>
      <c r="G7" s="70">
        <v>45307</v>
      </c>
      <c r="I7" s="1"/>
      <c r="J7" s="1"/>
      <c r="K7" s="1"/>
      <c r="L7" s="1"/>
      <c r="M7" s="1"/>
      <c r="N7" s="103"/>
      <c r="O7" s="1"/>
      <c r="P7" s="1"/>
    </row>
    <row r="8" spans="1:16" x14ac:dyDescent="0.3">
      <c r="A8" s="3">
        <v>2</v>
      </c>
      <c r="B8" s="3" t="s">
        <v>1042</v>
      </c>
      <c r="C8" s="3">
        <v>6987</v>
      </c>
      <c r="D8" s="3" t="s">
        <v>1038</v>
      </c>
      <c r="E8" s="3">
        <v>48000</v>
      </c>
      <c r="F8" s="3">
        <v>1234567890</v>
      </c>
      <c r="G8" s="70">
        <v>45407</v>
      </c>
      <c r="I8" s="1"/>
      <c r="J8" s="1"/>
      <c r="K8" s="1"/>
      <c r="L8" s="1"/>
      <c r="M8" s="1"/>
      <c r="N8" s="103"/>
      <c r="O8" s="1"/>
      <c r="P8" s="1"/>
    </row>
    <row r="9" spans="1:16" x14ac:dyDescent="0.3">
      <c r="I9" s="1"/>
    </row>
    <row r="10" spans="1:16" x14ac:dyDescent="0.3">
      <c r="A10" t="s">
        <v>720</v>
      </c>
      <c r="E10" t="s">
        <v>1043</v>
      </c>
      <c r="J10" t="s">
        <v>722</v>
      </c>
      <c r="P10" t="s">
        <v>723</v>
      </c>
    </row>
    <row r="11" spans="1:16" x14ac:dyDescent="0.3">
      <c r="A11" t="s">
        <v>730</v>
      </c>
      <c r="E11" t="s">
        <v>734</v>
      </c>
      <c r="J11" t="s">
        <v>737</v>
      </c>
      <c r="P11" t="s">
        <v>740</v>
      </c>
    </row>
    <row r="12" spans="1:16" x14ac:dyDescent="0.3">
      <c r="A12" t="s">
        <v>731</v>
      </c>
      <c r="E12" t="s">
        <v>735</v>
      </c>
      <c r="J12" t="s">
        <v>738</v>
      </c>
      <c r="P12" t="s">
        <v>725</v>
      </c>
    </row>
    <row r="13" spans="1:16" x14ac:dyDescent="0.3">
      <c r="A13" t="s">
        <v>732</v>
      </c>
      <c r="E13" t="s">
        <v>736</v>
      </c>
      <c r="J13" t="s">
        <v>736</v>
      </c>
      <c r="P13" t="s">
        <v>726</v>
      </c>
    </row>
    <row r="14" spans="1:16" x14ac:dyDescent="0.3">
      <c r="A14" t="s">
        <v>733</v>
      </c>
      <c r="P14" t="s">
        <v>739</v>
      </c>
    </row>
    <row r="19" spans="1:5" x14ac:dyDescent="0.3">
      <c r="A19" t="s">
        <v>727</v>
      </c>
      <c r="E19" t="s">
        <v>728</v>
      </c>
    </row>
    <row r="20" spans="1:5" x14ac:dyDescent="0.3">
      <c r="A20" t="s">
        <v>741</v>
      </c>
      <c r="E20" t="s">
        <v>744</v>
      </c>
    </row>
    <row r="21" spans="1:5" x14ac:dyDescent="0.3">
      <c r="A21" t="s">
        <v>731</v>
      </c>
      <c r="E21" t="s">
        <v>745</v>
      </c>
    </row>
    <row r="22" spans="1:5" x14ac:dyDescent="0.3">
      <c r="A22" t="s">
        <v>742</v>
      </c>
      <c r="E22" t="s">
        <v>736</v>
      </c>
    </row>
    <row r="23" spans="1:5" x14ac:dyDescent="0.3">
      <c r="A23" t="s">
        <v>743</v>
      </c>
    </row>
    <row r="24" spans="1:5" x14ac:dyDescent="0.3">
      <c r="A24" t="s">
        <v>736</v>
      </c>
    </row>
  </sheetData>
  <dataValidations count="10">
    <dataValidation type="whole" allowBlank="1" showInputMessage="1" showErrorMessage="1" sqref="A2:A3 A4:A8 I2:I8" xr:uid="{681A432B-25D6-4002-9B8A-30290F8B5DC3}">
      <formula1>1</formula1>
      <formula2>100</formula2>
    </dataValidation>
    <dataValidation type="list" allowBlank="1" showInputMessage="1" showErrorMessage="1" sqref="D2 D3:D8" xr:uid="{3D390642-024C-4B83-A681-C450DE4C7AF6}">
      <formula1>"Manager,Accountant,Clerk,Faculty"</formula1>
    </dataValidation>
    <dataValidation type="whole" operator="lessThan" allowBlank="1" showInputMessage="1" showErrorMessage="1" sqref="E3:E8" xr:uid="{F0D5625B-8D8B-4F75-AC2F-5C58FA6F82CC}">
      <formula1>50000</formula1>
    </dataValidation>
    <dataValidation type="date" operator="lessThan" allowBlank="1" showInputMessage="1" showErrorMessage="1" sqref="H3:H8 G3:G8 N2:N8" xr:uid="{B69572C1-54AB-4340-A763-D340F2352786}">
      <formula1>TODAY()</formula1>
    </dataValidation>
    <dataValidation type="custom" allowBlank="1" showInputMessage="1" showErrorMessage="1" sqref="F2" xr:uid="{ACF05476-04C8-400C-91E2-3C96662073B4}">
      <formula1>AND(ISNUMBER(#REF!),LEN(#REF!)=10)</formula1>
    </dataValidation>
    <dataValidation type="custom" allowBlank="1" showInputMessage="1" showErrorMessage="1" sqref="B3:B8 J2:J8" xr:uid="{8E6F6684-D851-4AF7-87C5-28A3A048669D}">
      <formula1>AND(ISTEXT(B2),LEN(B2)&lt;=4)</formula1>
    </dataValidation>
    <dataValidation type="custom" allowBlank="1" showInputMessage="1" showErrorMessage="1" sqref="F3:F8 K2:K8" xr:uid="{DD989B2E-9DD5-4381-B7E4-88BBC3375FC7}">
      <formula1>AND(ISNUMBER(F2),LEN(F2)=10)</formula1>
    </dataValidation>
    <dataValidation type="custom" allowBlank="1" showInputMessage="1" showErrorMessage="1" sqref="C3:C8" xr:uid="{33113F81-424A-4903-B79B-5156D7B8169E}">
      <formula1>AND(ISNUMBER(C3),LEN(C3)&lt;=4)</formula1>
    </dataValidation>
    <dataValidation type="list" allowBlank="1" showInputMessage="1" showErrorMessage="1" sqref="L2:L8" xr:uid="{A6292387-469F-40FF-8888-5CA8293D965F}">
      <formula1>"Manager,Accoutant,Clerk,Faculty"</formula1>
    </dataValidation>
    <dataValidation type="whole" operator="lessThanOrEqual" allowBlank="1" showInputMessage="1" showErrorMessage="1" sqref="M2:M8" xr:uid="{AC992F12-BF57-4831-999D-B93B819DCC31}">
      <formula1>50000</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231E-6C1E-4791-A89E-1FD750438DC2}">
  <sheetPr codeName="Sheet37"/>
  <dimension ref="B2:D9"/>
  <sheetViews>
    <sheetView workbookViewId="0">
      <selection activeCell="I19" sqref="I19"/>
    </sheetView>
  </sheetViews>
  <sheetFormatPr defaultRowHeight="14.4" x14ac:dyDescent="0.3"/>
  <sheetData>
    <row r="2" spans="2:4" x14ac:dyDescent="0.3">
      <c r="B2" s="27" t="s">
        <v>746</v>
      </c>
      <c r="C2" s="27" t="s">
        <v>747</v>
      </c>
      <c r="D2" s="27" t="s">
        <v>748</v>
      </c>
    </row>
    <row r="3" spans="2:4" x14ac:dyDescent="0.3">
      <c r="B3" s="3" t="s">
        <v>749</v>
      </c>
      <c r="C3" s="3" t="s">
        <v>750</v>
      </c>
      <c r="D3" s="3">
        <v>100</v>
      </c>
    </row>
    <row r="4" spans="2:4" x14ac:dyDescent="0.3">
      <c r="B4" s="3" t="s">
        <v>751</v>
      </c>
      <c r="C4" s="3" t="s">
        <v>752</v>
      </c>
      <c r="D4" s="3">
        <v>86</v>
      </c>
    </row>
    <row r="5" spans="2:4" x14ac:dyDescent="0.3">
      <c r="B5" s="3" t="s">
        <v>753</v>
      </c>
      <c r="C5" s="3" t="s">
        <v>754</v>
      </c>
      <c r="D5" s="3">
        <v>92</v>
      </c>
    </row>
    <row r="6" spans="2:4" x14ac:dyDescent="0.3">
      <c r="B6" s="3" t="s">
        <v>755</v>
      </c>
      <c r="C6" s="3" t="s">
        <v>33</v>
      </c>
      <c r="D6" s="3">
        <v>71</v>
      </c>
    </row>
    <row r="7" spans="2:4" x14ac:dyDescent="0.3">
      <c r="B7" s="3" t="s">
        <v>756</v>
      </c>
      <c r="C7" s="3" t="s">
        <v>757</v>
      </c>
      <c r="D7" s="3">
        <v>88</v>
      </c>
    </row>
    <row r="8" spans="2:4" x14ac:dyDescent="0.3">
      <c r="B8" s="3" t="s">
        <v>758</v>
      </c>
      <c r="C8" s="3" t="s">
        <v>759</v>
      </c>
      <c r="D8" s="3">
        <v>90</v>
      </c>
    </row>
    <row r="9" spans="2:4" x14ac:dyDescent="0.3">
      <c r="B9" s="3" t="s">
        <v>760</v>
      </c>
      <c r="C9" s="3" t="s">
        <v>761</v>
      </c>
      <c r="D9" s="3">
        <v>88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A893B-E922-428B-99C0-D61494311A77}">
  <sheetPr codeName="Sheet38"/>
  <dimension ref="B2:D9"/>
  <sheetViews>
    <sheetView workbookViewId="0">
      <selection activeCell="D10" sqref="D10"/>
    </sheetView>
  </sheetViews>
  <sheetFormatPr defaultRowHeight="14.4" x14ac:dyDescent="0.3"/>
  <sheetData>
    <row r="2" spans="2:4" x14ac:dyDescent="0.3">
      <c r="B2" s="27" t="s">
        <v>746</v>
      </c>
      <c r="C2" s="27" t="s">
        <v>747</v>
      </c>
      <c r="D2" s="27" t="s">
        <v>748</v>
      </c>
    </row>
    <row r="3" spans="2:4" x14ac:dyDescent="0.3">
      <c r="B3" s="3" t="s">
        <v>749</v>
      </c>
      <c r="C3" s="3" t="s">
        <v>750</v>
      </c>
      <c r="D3" s="3">
        <v>98</v>
      </c>
    </row>
    <row r="4" spans="2:4" x14ac:dyDescent="0.3">
      <c r="B4" s="3" t="s">
        <v>751</v>
      </c>
      <c r="C4" s="3" t="s">
        <v>752</v>
      </c>
      <c r="D4" s="3">
        <v>80</v>
      </c>
    </row>
    <row r="5" spans="2:4" x14ac:dyDescent="0.3">
      <c r="B5" s="3" t="s">
        <v>753</v>
      </c>
      <c r="C5" s="3" t="s">
        <v>754</v>
      </c>
      <c r="D5" s="3">
        <v>90</v>
      </c>
    </row>
    <row r="6" spans="2:4" x14ac:dyDescent="0.3">
      <c r="B6" s="3" t="s">
        <v>755</v>
      </c>
      <c r="C6" s="3" t="s">
        <v>33</v>
      </c>
      <c r="D6" s="3">
        <v>75</v>
      </c>
    </row>
    <row r="7" spans="2:4" x14ac:dyDescent="0.3">
      <c r="B7" s="3" t="s">
        <v>756</v>
      </c>
      <c r="C7" s="3" t="s">
        <v>757</v>
      </c>
      <c r="D7" s="3">
        <v>90</v>
      </c>
    </row>
    <row r="8" spans="2:4" x14ac:dyDescent="0.3">
      <c r="B8" s="3" t="s">
        <v>758</v>
      </c>
      <c r="C8" s="3" t="s">
        <v>759</v>
      </c>
      <c r="D8" s="3">
        <v>85</v>
      </c>
    </row>
    <row r="9" spans="2:4" x14ac:dyDescent="0.3">
      <c r="B9" s="3" t="s">
        <v>760</v>
      </c>
      <c r="C9" s="3" t="s">
        <v>761</v>
      </c>
      <c r="D9" s="3">
        <v>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98047-A2A3-4DC7-A95A-52DD8ACF463D}">
  <sheetPr codeName="Sheet39"/>
  <dimension ref="B2:D9"/>
  <sheetViews>
    <sheetView workbookViewId="0">
      <selection activeCell="K23" sqref="K23"/>
    </sheetView>
  </sheetViews>
  <sheetFormatPr defaultRowHeight="14.4" x14ac:dyDescent="0.3"/>
  <sheetData>
    <row r="2" spans="2:4" x14ac:dyDescent="0.3">
      <c r="B2" s="27" t="s">
        <v>746</v>
      </c>
      <c r="C2" s="27" t="s">
        <v>747</v>
      </c>
      <c r="D2" s="27" t="s">
        <v>748</v>
      </c>
    </row>
    <row r="3" spans="2:4" x14ac:dyDescent="0.3">
      <c r="B3" s="3" t="s">
        <v>749</v>
      </c>
      <c r="C3" s="3" t="s">
        <v>750</v>
      </c>
      <c r="D3" s="3">
        <v>95</v>
      </c>
    </row>
    <row r="4" spans="2:4" x14ac:dyDescent="0.3">
      <c r="B4" s="3" t="s">
        <v>751</v>
      </c>
      <c r="C4" s="3" t="s">
        <v>752</v>
      </c>
      <c r="D4" s="3">
        <v>82</v>
      </c>
    </row>
    <row r="5" spans="2:4" x14ac:dyDescent="0.3">
      <c r="B5" s="3" t="s">
        <v>753</v>
      </c>
      <c r="C5" s="3" t="s">
        <v>754</v>
      </c>
      <c r="D5" s="3">
        <v>95</v>
      </c>
    </row>
    <row r="6" spans="2:4" x14ac:dyDescent="0.3">
      <c r="B6" s="3" t="s">
        <v>755</v>
      </c>
      <c r="C6" s="3" t="s">
        <v>33</v>
      </c>
      <c r="D6" s="3">
        <v>75</v>
      </c>
    </row>
    <row r="7" spans="2:4" x14ac:dyDescent="0.3">
      <c r="B7" s="3" t="s">
        <v>756</v>
      </c>
      <c r="C7" s="3" t="s">
        <v>757</v>
      </c>
      <c r="D7" s="3">
        <v>85</v>
      </c>
    </row>
    <row r="8" spans="2:4" x14ac:dyDescent="0.3">
      <c r="B8" s="3" t="s">
        <v>758</v>
      </c>
      <c r="C8" s="3" t="s">
        <v>759</v>
      </c>
      <c r="D8" s="3">
        <v>85</v>
      </c>
    </row>
    <row r="9" spans="2:4" x14ac:dyDescent="0.3">
      <c r="B9" s="3" t="s">
        <v>760</v>
      </c>
      <c r="C9" s="3" t="s">
        <v>761</v>
      </c>
      <c r="D9" s="3">
        <v>83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EA7BB-2B29-4CF8-984F-744DFBED1CCA}">
  <sheetPr codeName="Sheet40"/>
  <dimension ref="B2:D9"/>
  <sheetViews>
    <sheetView workbookViewId="0">
      <selection activeCell="D10" sqref="D10"/>
    </sheetView>
  </sheetViews>
  <sheetFormatPr defaultRowHeight="14.4" x14ac:dyDescent="0.3"/>
  <sheetData>
    <row r="2" spans="2:4" x14ac:dyDescent="0.3">
      <c r="B2" s="27" t="s">
        <v>746</v>
      </c>
      <c r="C2" s="27" t="s">
        <v>747</v>
      </c>
      <c r="D2" s="27" t="s">
        <v>748</v>
      </c>
    </row>
    <row r="3" spans="2:4" x14ac:dyDescent="0.3">
      <c r="B3" s="3" t="s">
        <v>749</v>
      </c>
      <c r="C3" s="3" t="s">
        <v>750</v>
      </c>
      <c r="D3" s="3">
        <v>96</v>
      </c>
    </row>
    <row r="4" spans="2:4" x14ac:dyDescent="0.3">
      <c r="B4" s="3" t="s">
        <v>751</v>
      </c>
      <c r="C4" s="3" t="s">
        <v>752</v>
      </c>
      <c r="D4" s="3">
        <v>82</v>
      </c>
    </row>
    <row r="5" spans="2:4" x14ac:dyDescent="0.3">
      <c r="B5" s="3" t="s">
        <v>753</v>
      </c>
      <c r="C5" s="3" t="s">
        <v>754</v>
      </c>
      <c r="D5" s="3">
        <v>87</v>
      </c>
    </row>
    <row r="6" spans="2:4" x14ac:dyDescent="0.3">
      <c r="B6" s="3" t="s">
        <v>755</v>
      </c>
      <c r="C6" s="3" t="s">
        <v>33</v>
      </c>
      <c r="D6" s="3">
        <v>73</v>
      </c>
    </row>
    <row r="7" spans="2:4" x14ac:dyDescent="0.3">
      <c r="B7" s="3" t="s">
        <v>756</v>
      </c>
      <c r="C7" s="3" t="s">
        <v>757</v>
      </c>
      <c r="D7" s="3">
        <v>86</v>
      </c>
    </row>
    <row r="8" spans="2:4" x14ac:dyDescent="0.3">
      <c r="B8" s="3" t="s">
        <v>758</v>
      </c>
      <c r="C8" s="3" t="s">
        <v>759</v>
      </c>
      <c r="D8" s="3">
        <v>93</v>
      </c>
    </row>
    <row r="9" spans="2:4" x14ac:dyDescent="0.3">
      <c r="B9" s="3" t="s">
        <v>760</v>
      </c>
      <c r="C9" s="3" t="s">
        <v>761</v>
      </c>
      <c r="D9" s="3">
        <v>84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F77B1-9C01-4FB6-BBAA-A464DBF6C8CB}">
  <sheetPr codeName="Sheet41"/>
  <dimension ref="B2:G9"/>
  <sheetViews>
    <sheetView workbookViewId="0">
      <selection activeCell="F3" sqref="F3"/>
    </sheetView>
  </sheetViews>
  <sheetFormatPr defaultRowHeight="14.4" x14ac:dyDescent="0.3"/>
  <cols>
    <col min="5" max="5" width="12.77734375" bestFit="1" customWidth="1"/>
    <col min="6" max="6" width="9.5546875" bestFit="1" customWidth="1"/>
  </cols>
  <sheetData>
    <row r="2" spans="2:7" x14ac:dyDescent="0.3">
      <c r="B2" s="27" t="s">
        <v>746</v>
      </c>
      <c r="C2" s="27" t="s">
        <v>747</v>
      </c>
      <c r="D2" s="27" t="s">
        <v>748</v>
      </c>
      <c r="E2" s="27" t="s">
        <v>762</v>
      </c>
      <c r="F2" s="27" t="s">
        <v>763</v>
      </c>
      <c r="G2" s="27" t="s">
        <v>764</v>
      </c>
    </row>
    <row r="3" spans="2:7" x14ac:dyDescent="0.3">
      <c r="B3" s="3" t="s">
        <v>749</v>
      </c>
      <c r="C3" s="3" t="s">
        <v>750</v>
      </c>
      <c r="D3" s="3">
        <f>SUM(Weeka:Weekd!D3)</f>
        <v>389</v>
      </c>
      <c r="E3" s="3">
        <f>COUNT(Weeka:Weekd!D3)</f>
        <v>4</v>
      </c>
      <c r="F3" s="3">
        <f>MAX(Weeka:Weekd!D3)</f>
        <v>100</v>
      </c>
      <c r="G3" s="3">
        <f>MIN(Weeka:Weekd!D3)</f>
        <v>95</v>
      </c>
    </row>
    <row r="4" spans="2:7" x14ac:dyDescent="0.3">
      <c r="B4" s="3" t="s">
        <v>751</v>
      </c>
      <c r="C4" s="3" t="s">
        <v>752</v>
      </c>
      <c r="D4" s="3">
        <f>SUM(Weeka:Weekd!D4)</f>
        <v>330</v>
      </c>
      <c r="E4" s="3">
        <f>COUNT(Weeka:Weekd!D4)</f>
        <v>4</v>
      </c>
      <c r="F4" s="3">
        <f>MAX(Weeka:Weekd!D4)</f>
        <v>86</v>
      </c>
      <c r="G4" s="3">
        <f>MIN(Weeka:Weekd!D4)</f>
        <v>80</v>
      </c>
    </row>
    <row r="5" spans="2:7" x14ac:dyDescent="0.3">
      <c r="B5" s="3" t="s">
        <v>753</v>
      </c>
      <c r="C5" s="3" t="s">
        <v>754</v>
      </c>
      <c r="D5" s="3">
        <f>SUM(Weeka:Weekd!D5)</f>
        <v>364</v>
      </c>
      <c r="E5" s="3">
        <f>COUNT(Weeka:Weekd!D5)</f>
        <v>4</v>
      </c>
      <c r="F5" s="3">
        <f>MAX(Weeka:Weekd!D5)</f>
        <v>95</v>
      </c>
      <c r="G5" s="3">
        <f>MIN(Weeka:Weekd!D5)</f>
        <v>87</v>
      </c>
    </row>
    <row r="6" spans="2:7" x14ac:dyDescent="0.3">
      <c r="B6" s="3" t="s">
        <v>755</v>
      </c>
      <c r="C6" s="3" t="s">
        <v>33</v>
      </c>
      <c r="D6" s="3">
        <f>SUM(Weeka:Weekd!D6)</f>
        <v>294</v>
      </c>
      <c r="E6" s="3">
        <f>COUNT(Weeka:Weekd!D6)</f>
        <v>4</v>
      </c>
      <c r="F6" s="3">
        <f>MAX(Weeka:Weekd!D6)</f>
        <v>75</v>
      </c>
      <c r="G6" s="3">
        <f>MIN(Weeka:Weekd!D6)</f>
        <v>71</v>
      </c>
    </row>
    <row r="7" spans="2:7" x14ac:dyDescent="0.3">
      <c r="B7" s="3" t="s">
        <v>756</v>
      </c>
      <c r="C7" s="3" t="s">
        <v>757</v>
      </c>
      <c r="D7" s="3">
        <f>SUM(Weeka:Weekd!D7)</f>
        <v>349</v>
      </c>
      <c r="E7" s="3">
        <f>COUNT(Weeka:Weekd!D7)</f>
        <v>4</v>
      </c>
      <c r="F7" s="3">
        <f>MAX(Weeka:Weekd!D7)</f>
        <v>90</v>
      </c>
      <c r="G7" s="3">
        <f>MIN(Weeka:Weekd!D7)</f>
        <v>85</v>
      </c>
    </row>
    <row r="8" spans="2:7" x14ac:dyDescent="0.3">
      <c r="B8" s="3" t="s">
        <v>758</v>
      </c>
      <c r="C8" s="3" t="s">
        <v>759</v>
      </c>
      <c r="D8" s="3">
        <f>SUM(Weeka:Weekd!D8)</f>
        <v>353</v>
      </c>
      <c r="E8" s="3">
        <f>COUNT(Weeka:Weekd!D8)</f>
        <v>4</v>
      </c>
      <c r="F8" s="3">
        <f>MAX(Weeka:Weekd!D8)</f>
        <v>93</v>
      </c>
      <c r="G8" s="3">
        <f>MIN(Weeka:Weekd!D8)</f>
        <v>85</v>
      </c>
    </row>
    <row r="9" spans="2:7" x14ac:dyDescent="0.3">
      <c r="B9" s="3" t="s">
        <v>760</v>
      </c>
      <c r="C9" s="3" t="s">
        <v>761</v>
      </c>
      <c r="D9" s="3">
        <f>SUM(Weeka:Weekd!D9)</f>
        <v>330</v>
      </c>
      <c r="E9" s="3">
        <f>COUNT(Weeka:Weekd!D9)</f>
        <v>4</v>
      </c>
      <c r="F9" s="3">
        <f>MAX(Weeka:Weekd!D9)</f>
        <v>88</v>
      </c>
      <c r="G9" s="3">
        <f>MIN(Weeka:Weekd!D9)</f>
        <v>75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018E-0C3C-4235-AD54-F896CC4B643E}">
  <sheetPr codeName="Sheet42"/>
  <dimension ref="C2:H15"/>
  <sheetViews>
    <sheetView workbookViewId="0">
      <selection activeCell="I27" sqref="I27"/>
    </sheetView>
  </sheetViews>
  <sheetFormatPr defaultRowHeight="14.4" x14ac:dyDescent="0.3"/>
  <cols>
    <col min="3" max="3" width="12.77734375" bestFit="1" customWidth="1"/>
    <col min="4" max="4" width="10.33203125" bestFit="1" customWidth="1"/>
    <col min="5" max="5" width="12.21875" bestFit="1" customWidth="1"/>
    <col min="6" max="6" width="10.44140625" bestFit="1" customWidth="1"/>
    <col min="7" max="7" width="11.109375" bestFit="1" customWidth="1"/>
    <col min="8" max="8" width="10.77734375" bestFit="1" customWidth="1"/>
  </cols>
  <sheetData>
    <row r="2" spans="3:8" x14ac:dyDescent="0.3">
      <c r="C2" s="25" t="s">
        <v>770</v>
      </c>
      <c r="D2" s="25" t="s">
        <v>765</v>
      </c>
      <c r="E2" s="25" t="s">
        <v>766</v>
      </c>
      <c r="F2" s="25" t="s">
        <v>767</v>
      </c>
      <c r="G2" s="25" t="s">
        <v>768</v>
      </c>
      <c r="H2" s="25" t="s">
        <v>769</v>
      </c>
    </row>
    <row r="3" spans="3:8" x14ac:dyDescent="0.3">
      <c r="C3" s="3">
        <v>982564</v>
      </c>
      <c r="D3" s="70">
        <v>45485</v>
      </c>
      <c r="E3" s="70">
        <v>45486</v>
      </c>
      <c r="F3" s="3" t="s">
        <v>1044</v>
      </c>
      <c r="G3" s="3" t="s">
        <v>245</v>
      </c>
      <c r="H3" s="3">
        <v>50000</v>
      </c>
    </row>
    <row r="4" spans="3:8" x14ac:dyDescent="0.3">
      <c r="C4" s="3">
        <v>56842</v>
      </c>
      <c r="D4" s="70">
        <v>45455</v>
      </c>
      <c r="E4" s="70">
        <v>45457</v>
      </c>
      <c r="F4" s="3" t="s">
        <v>1045</v>
      </c>
      <c r="G4" s="3" t="s">
        <v>246</v>
      </c>
      <c r="H4" s="3">
        <v>40000</v>
      </c>
    </row>
    <row r="5" spans="3:8" x14ac:dyDescent="0.3">
      <c r="C5" s="3">
        <v>2546</v>
      </c>
      <c r="D5" s="70">
        <v>45422</v>
      </c>
      <c r="E5" s="70">
        <v>45424</v>
      </c>
      <c r="F5" s="3" t="s">
        <v>1046</v>
      </c>
      <c r="G5" s="3" t="s">
        <v>49</v>
      </c>
      <c r="H5" s="3">
        <v>30000</v>
      </c>
    </row>
    <row r="6" spans="3:8" x14ac:dyDescent="0.3">
      <c r="C6" s="3">
        <v>9586</v>
      </c>
      <c r="D6" s="70">
        <v>45390</v>
      </c>
      <c r="E6" s="70">
        <v>45392</v>
      </c>
      <c r="F6" s="3" t="s">
        <v>1047</v>
      </c>
      <c r="G6" s="3" t="s">
        <v>1050</v>
      </c>
      <c r="H6" s="3">
        <v>56000</v>
      </c>
    </row>
    <row r="7" spans="3:8" x14ac:dyDescent="0.3">
      <c r="C7" s="3">
        <v>6854</v>
      </c>
      <c r="D7" s="70">
        <v>45356</v>
      </c>
      <c r="E7" s="70">
        <v>45358</v>
      </c>
      <c r="F7" s="3" t="s">
        <v>1048</v>
      </c>
      <c r="G7" s="3" t="s">
        <v>50</v>
      </c>
      <c r="H7" s="3">
        <v>87000</v>
      </c>
    </row>
    <row r="8" spans="3:8" x14ac:dyDescent="0.3">
      <c r="C8" s="3">
        <v>85624</v>
      </c>
      <c r="D8" s="70">
        <v>45324</v>
      </c>
      <c r="E8" s="70">
        <v>45326</v>
      </c>
      <c r="F8" s="3" t="s">
        <v>1049</v>
      </c>
      <c r="G8" s="3" t="s">
        <v>245</v>
      </c>
      <c r="H8" s="3">
        <v>92000</v>
      </c>
    </row>
    <row r="10" spans="3:8" x14ac:dyDescent="0.3">
      <c r="C10" t="s">
        <v>771</v>
      </c>
    </row>
    <row r="11" spans="3:8" x14ac:dyDescent="0.3">
      <c r="C11" t="s">
        <v>772</v>
      </c>
    </row>
    <row r="12" spans="3:8" x14ac:dyDescent="0.3">
      <c r="C12" t="s">
        <v>773</v>
      </c>
    </row>
    <row r="13" spans="3:8" x14ac:dyDescent="0.3">
      <c r="C13" t="s">
        <v>774</v>
      </c>
    </row>
    <row r="14" spans="3:8" x14ac:dyDescent="0.3">
      <c r="C14" t="s">
        <v>775</v>
      </c>
    </row>
    <row r="15" spans="3:8" x14ac:dyDescent="0.3">
      <c r="C15" t="s">
        <v>776</v>
      </c>
    </row>
  </sheetData>
  <dataValidations count="7">
    <dataValidation type="date" operator="lessThan" allowBlank="1" showInputMessage="1" showErrorMessage="1" sqref="D3:D8" xr:uid="{1F364EEF-4863-45CE-B4BA-A67E6AC566D1}">
      <formula1>TODAY()</formula1>
    </dataValidation>
    <dataValidation type="date" operator="greaterThan" allowBlank="1" showInputMessage="1" showErrorMessage="1" sqref="E3:E8" xr:uid="{875C01F7-B893-4A59-92B1-9654AE2AA038}">
      <formula1>D3</formula1>
    </dataValidation>
    <dataValidation type="list" allowBlank="1" showInputMessage="1" showErrorMessage="1" sqref="G2" xr:uid="{B10CBADB-ABF3-45E7-B7C8-DA00D71A9609}">
      <formula1>"Mouse, Printer, Monitor, Keyboard, Motherboard"</formula1>
    </dataValidation>
    <dataValidation type="whole" allowBlank="1" showInputMessage="1" showErrorMessage="1" sqref="H3:H8" xr:uid="{5C27BEC5-04D3-4C8A-8836-BF9B65AE1CB4}">
      <formula1>20000</formula1>
      <formula2>100000</formula2>
    </dataValidation>
    <dataValidation type="custom" allowBlank="1" showInputMessage="1" showErrorMessage="1" sqref="C3:C8" xr:uid="{0D3E7E0C-46CE-407C-9A9D-DDDF28650F25}">
      <formula1>AND(ISNUMBER(C3))</formula1>
    </dataValidation>
    <dataValidation type="custom" allowBlank="1" showInputMessage="1" showErrorMessage="1" sqref="F3:F8" xr:uid="{C9CFD8CD-B89F-44F3-B6EE-5584BD1835A9}">
      <formula1>AND(ISTEXT(F3))</formula1>
    </dataValidation>
    <dataValidation type="list" allowBlank="1" showInputMessage="1" showErrorMessage="1" sqref="G3:G8" xr:uid="{F434657D-A4F4-43E7-BB03-5A906695D047}">
      <formula1>"Mouse,Printer,Monitor,Keyboard,Motherboard"</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6079-E9DC-49CE-9B4A-C92F5DB9E168}">
  <sheetPr codeName="Sheet43"/>
  <dimension ref="C1:F26"/>
  <sheetViews>
    <sheetView workbookViewId="0">
      <selection activeCell="E18" sqref="E18"/>
    </sheetView>
  </sheetViews>
  <sheetFormatPr defaultRowHeight="14.4" x14ac:dyDescent="0.3"/>
  <cols>
    <col min="3" max="3" width="27.88671875" customWidth="1"/>
    <col min="4" max="4" width="26.109375" customWidth="1"/>
    <col min="5" max="5" width="16.109375" customWidth="1"/>
  </cols>
  <sheetData>
    <row r="1" spans="3:6" x14ac:dyDescent="0.3">
      <c r="C1" s="72" t="s">
        <v>794</v>
      </c>
      <c r="D1" s="78"/>
    </row>
    <row r="2" spans="3:6" x14ac:dyDescent="0.3">
      <c r="C2" s="11"/>
    </row>
    <row r="3" spans="3:6" x14ac:dyDescent="0.3">
      <c r="C3" s="114" t="s">
        <v>777</v>
      </c>
      <c r="D3" s="114"/>
    </row>
    <row r="4" spans="3:6" x14ac:dyDescent="0.3">
      <c r="C4" s="27" t="s">
        <v>778</v>
      </c>
      <c r="D4" s="27" t="s">
        <v>43</v>
      </c>
      <c r="F4" s="11" t="s">
        <v>787</v>
      </c>
    </row>
    <row r="5" spans="3:6" x14ac:dyDescent="0.3">
      <c r="C5" s="14" t="s">
        <v>779</v>
      </c>
      <c r="D5" s="14">
        <v>400</v>
      </c>
      <c r="F5" s="11" t="s">
        <v>788</v>
      </c>
    </row>
    <row r="6" spans="3:6" x14ac:dyDescent="0.3">
      <c r="C6" s="14" t="s">
        <v>780</v>
      </c>
      <c r="D6" s="14">
        <v>150</v>
      </c>
      <c r="F6" s="11" t="s">
        <v>789</v>
      </c>
    </row>
    <row r="7" spans="3:6" x14ac:dyDescent="0.3">
      <c r="C7" s="14" t="s">
        <v>781</v>
      </c>
      <c r="D7" s="14">
        <v>100</v>
      </c>
      <c r="F7" s="11" t="s">
        <v>790</v>
      </c>
    </row>
    <row r="8" spans="3:6" x14ac:dyDescent="0.3">
      <c r="C8" s="14" t="s">
        <v>782</v>
      </c>
      <c r="D8" s="14">
        <v>350</v>
      </c>
      <c r="F8" s="11" t="s">
        <v>791</v>
      </c>
    </row>
    <row r="9" spans="3:6" x14ac:dyDescent="0.3">
      <c r="C9" s="14" t="s">
        <v>783</v>
      </c>
      <c r="D9" s="14">
        <v>600</v>
      </c>
    </row>
    <row r="10" spans="3:6" x14ac:dyDescent="0.3">
      <c r="C10" s="25" t="s">
        <v>784</v>
      </c>
      <c r="D10" s="14">
        <f>SUM(D5:D9)</f>
        <v>1600</v>
      </c>
      <c r="E10" s="11" t="s">
        <v>189</v>
      </c>
    </row>
    <row r="11" spans="3:6" x14ac:dyDescent="0.3">
      <c r="C11" s="14"/>
      <c r="D11" s="14"/>
    </row>
    <row r="12" spans="3:6" x14ac:dyDescent="0.3">
      <c r="C12" s="25" t="s">
        <v>785</v>
      </c>
      <c r="D12" s="14">
        <v>8</v>
      </c>
    </row>
    <row r="13" spans="3:6" x14ac:dyDescent="0.3">
      <c r="C13" s="25" t="s">
        <v>786</v>
      </c>
      <c r="D13" s="14">
        <f>D10/D12</f>
        <v>200</v>
      </c>
      <c r="E13" s="11" t="s">
        <v>896</v>
      </c>
    </row>
    <row r="15" spans="3:6" x14ac:dyDescent="0.3">
      <c r="C15" s="132" t="s">
        <v>795</v>
      </c>
      <c r="D15" s="133"/>
      <c r="E15" s="134"/>
    </row>
    <row r="16" spans="3:6" x14ac:dyDescent="0.3">
      <c r="C16" s="27" t="s">
        <v>525</v>
      </c>
      <c r="D16" s="27" t="s">
        <v>484</v>
      </c>
      <c r="E16" s="27" t="s">
        <v>112</v>
      </c>
    </row>
    <row r="17" spans="3:6" x14ac:dyDescent="0.3">
      <c r="C17" s="3">
        <v>829</v>
      </c>
      <c r="D17" s="3">
        <v>2</v>
      </c>
      <c r="E17" s="3">
        <f>IFERROR(C17/D17,"")</f>
        <v>414.5</v>
      </c>
      <c r="F17" s="11" t="s">
        <v>792</v>
      </c>
    </row>
    <row r="18" spans="3:6" x14ac:dyDescent="0.3">
      <c r="C18" s="3">
        <v>953</v>
      </c>
      <c r="D18" s="3">
        <v>0</v>
      </c>
      <c r="E18" s="3" t="str">
        <f>IFERROR(C18/D18,"")</f>
        <v/>
      </c>
      <c r="F18" s="11" t="s">
        <v>793</v>
      </c>
    </row>
    <row r="19" spans="3:6" x14ac:dyDescent="0.3">
      <c r="C19" s="3">
        <v>946</v>
      </c>
      <c r="D19" s="3">
        <v>4</v>
      </c>
      <c r="E19" s="3">
        <f t="shared" ref="E19:E26" si="0">IFERROR(C19/D19,"")</f>
        <v>236.5</v>
      </c>
    </row>
    <row r="20" spans="3:6" x14ac:dyDescent="0.3">
      <c r="C20" s="3">
        <v>604</v>
      </c>
      <c r="D20" s="3">
        <v>4</v>
      </c>
      <c r="E20" s="3">
        <f t="shared" si="0"/>
        <v>151</v>
      </c>
    </row>
    <row r="21" spans="3:6" x14ac:dyDescent="0.3">
      <c r="C21" s="3">
        <v>576</v>
      </c>
      <c r="D21" s="3">
        <v>3</v>
      </c>
      <c r="E21" s="3">
        <f t="shared" si="0"/>
        <v>192</v>
      </c>
    </row>
    <row r="22" spans="3:6" x14ac:dyDescent="0.3">
      <c r="C22" s="3">
        <v>554</v>
      </c>
      <c r="D22" s="3">
        <v>5</v>
      </c>
      <c r="E22" s="3">
        <f t="shared" si="0"/>
        <v>110.8</v>
      </c>
    </row>
    <row r="23" spans="3:6" x14ac:dyDescent="0.3">
      <c r="C23" s="3">
        <v>637</v>
      </c>
      <c r="D23" s="3">
        <v>0</v>
      </c>
      <c r="E23" s="3" t="str">
        <f t="shared" si="0"/>
        <v/>
      </c>
    </row>
    <row r="24" spans="3:6" x14ac:dyDescent="0.3">
      <c r="C24" s="3">
        <v>560</v>
      </c>
      <c r="D24" s="3">
        <v>2</v>
      </c>
      <c r="E24" s="3">
        <f t="shared" si="0"/>
        <v>280</v>
      </c>
    </row>
    <row r="25" spans="3:6" x14ac:dyDescent="0.3">
      <c r="C25" s="3">
        <v>672</v>
      </c>
      <c r="D25" s="3">
        <v>4</v>
      </c>
      <c r="E25" s="3">
        <f t="shared" si="0"/>
        <v>168</v>
      </c>
    </row>
    <row r="26" spans="3:6" x14ac:dyDescent="0.3">
      <c r="C26" s="3">
        <v>728</v>
      </c>
      <c r="D26" s="3">
        <v>10</v>
      </c>
      <c r="E26" s="3">
        <f t="shared" si="0"/>
        <v>72.8</v>
      </c>
    </row>
  </sheetData>
  <mergeCells count="2">
    <mergeCell ref="C3:D3"/>
    <mergeCell ref="C15:E1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ADB64-EE49-4AA4-A840-502A2EB10392}">
  <sheetPr codeName="Sheet44"/>
  <dimension ref="A1:G32"/>
  <sheetViews>
    <sheetView workbookViewId="0">
      <selection activeCell="E1" sqref="E1"/>
    </sheetView>
  </sheetViews>
  <sheetFormatPr defaultRowHeight="14.4" x14ac:dyDescent="0.3"/>
  <cols>
    <col min="2" max="2" width="21.88671875" bestFit="1" customWidth="1"/>
    <col min="3" max="3" width="16.44140625" bestFit="1" customWidth="1"/>
    <col min="4" max="4" width="8.88671875" style="1"/>
    <col min="5" max="5" width="11.21875" style="1" bestFit="1" customWidth="1"/>
    <col min="6" max="6" width="8.88671875" style="1"/>
    <col min="7" max="7" width="25.77734375" style="1" bestFit="1" customWidth="1"/>
    <col min="10" max="10" width="11.44140625" bestFit="1" customWidth="1"/>
    <col min="12" max="12" width="25.77734375" bestFit="1" customWidth="1"/>
  </cols>
  <sheetData>
    <row r="1" spans="1:7" x14ac:dyDescent="0.3">
      <c r="C1" s="72" t="s">
        <v>859</v>
      </c>
    </row>
    <row r="2" spans="1:7" x14ac:dyDescent="0.3">
      <c r="A2" s="11" t="s">
        <v>0</v>
      </c>
      <c r="B2" s="11" t="s">
        <v>131</v>
      </c>
      <c r="C2" s="11" t="s">
        <v>796</v>
      </c>
      <c r="D2" s="5" t="s">
        <v>797</v>
      </c>
      <c r="E2" s="5" t="s">
        <v>798</v>
      </c>
      <c r="F2" s="5" t="s">
        <v>156</v>
      </c>
      <c r="G2" s="5" t="s">
        <v>799</v>
      </c>
    </row>
    <row r="3" spans="1:7" x14ac:dyDescent="0.3">
      <c r="A3">
        <v>1</v>
      </c>
      <c r="B3" t="s">
        <v>800</v>
      </c>
      <c r="C3" t="s">
        <v>830</v>
      </c>
      <c r="D3" s="1" t="str">
        <f>LEFT(C3,2)</f>
        <v>35</v>
      </c>
      <c r="E3" s="1" t="str">
        <f>MID(C3,3,10)</f>
        <v>AABC514298</v>
      </c>
      <c r="F3" s="1">
        <f>LEN(C3)</f>
        <v>15</v>
      </c>
      <c r="G3" s="1" t="str">
        <f>UPPER(B3)</f>
        <v>ANDAMAN NICOBAR ISLANDS</v>
      </c>
    </row>
    <row r="4" spans="1:7" x14ac:dyDescent="0.3">
      <c r="A4">
        <v>2</v>
      </c>
      <c r="B4" t="s">
        <v>801</v>
      </c>
      <c r="C4" t="s">
        <v>829</v>
      </c>
      <c r="D4" s="1" t="str">
        <f t="shared" ref="D4:D31" si="0">LEFT(C4,2)</f>
        <v>37</v>
      </c>
      <c r="E4" s="1" t="str">
        <f t="shared" ref="E4:E31" si="1">MID(C4,3,10)</f>
        <v>AABCS1429B</v>
      </c>
      <c r="F4" s="1">
        <f t="shared" ref="F4:F30" si="2">LEN(C4)</f>
        <v>15</v>
      </c>
      <c r="G4" s="1" t="str">
        <f t="shared" ref="G4:G31" si="3">UPPER(B4)</f>
        <v>ANDRA PRADESH</v>
      </c>
    </row>
    <row r="5" spans="1:7" x14ac:dyDescent="0.3">
      <c r="A5">
        <v>3</v>
      </c>
      <c r="B5" t="s">
        <v>802</v>
      </c>
      <c r="C5" t="s">
        <v>831</v>
      </c>
      <c r="D5" s="1" t="str">
        <f t="shared" si="0"/>
        <v>18</v>
      </c>
      <c r="E5" s="1" t="str">
        <f t="shared" si="1"/>
        <v>AABCS1420B</v>
      </c>
      <c r="F5" s="1">
        <f t="shared" si="2"/>
        <v>15</v>
      </c>
      <c r="G5" s="1" t="str">
        <f t="shared" si="3"/>
        <v>ASSAM</v>
      </c>
    </row>
    <row r="6" spans="1:7" x14ac:dyDescent="0.3">
      <c r="A6">
        <v>4</v>
      </c>
      <c r="B6" t="s">
        <v>803</v>
      </c>
      <c r="C6" t="s">
        <v>832</v>
      </c>
      <c r="D6" s="1" t="str">
        <f t="shared" si="0"/>
        <v>10</v>
      </c>
      <c r="E6" s="1" t="str">
        <f t="shared" si="1"/>
        <v>AABCS1429B</v>
      </c>
      <c r="F6" s="1">
        <f t="shared" si="2"/>
        <v>15</v>
      </c>
      <c r="G6" s="1" t="str">
        <f t="shared" si="3"/>
        <v>BIHAR</v>
      </c>
    </row>
    <row r="7" spans="1:7" x14ac:dyDescent="0.3">
      <c r="A7">
        <v>5</v>
      </c>
      <c r="B7" t="s">
        <v>804</v>
      </c>
      <c r="C7" t="s">
        <v>833</v>
      </c>
      <c r="D7" s="1" t="str">
        <f t="shared" si="0"/>
        <v>04</v>
      </c>
      <c r="E7" s="1" t="str">
        <f t="shared" si="1"/>
        <v>AABCS1429B</v>
      </c>
      <c r="F7" s="1">
        <f t="shared" si="2"/>
        <v>15</v>
      </c>
      <c r="G7" s="1" t="str">
        <f t="shared" si="3"/>
        <v>CHANDIGARH</v>
      </c>
    </row>
    <row r="8" spans="1:7" x14ac:dyDescent="0.3">
      <c r="A8">
        <v>6</v>
      </c>
      <c r="B8" t="s">
        <v>805</v>
      </c>
      <c r="C8" t="s">
        <v>834</v>
      </c>
      <c r="D8" s="1" t="str">
        <f t="shared" si="0"/>
        <v>22</v>
      </c>
      <c r="E8" s="1" t="str">
        <f t="shared" si="1"/>
        <v>AABCS1429B</v>
      </c>
      <c r="F8" s="1">
        <f t="shared" si="2"/>
        <v>15</v>
      </c>
      <c r="G8" s="1" t="str">
        <f t="shared" si="3"/>
        <v>CHATTISGARH</v>
      </c>
    </row>
    <row r="9" spans="1:7" x14ac:dyDescent="0.3">
      <c r="A9">
        <v>7</v>
      </c>
      <c r="B9" t="s">
        <v>806</v>
      </c>
      <c r="C9" t="s">
        <v>835</v>
      </c>
      <c r="D9" s="1" t="str">
        <f t="shared" si="0"/>
        <v>26</v>
      </c>
      <c r="E9" s="1" t="str">
        <f t="shared" si="1"/>
        <v>AABCS1429B</v>
      </c>
      <c r="F9" s="1">
        <f t="shared" si="2"/>
        <v>15</v>
      </c>
      <c r="G9" s="1" t="str">
        <f t="shared" si="3"/>
        <v>DADR NAGAR HAVELI</v>
      </c>
    </row>
    <row r="10" spans="1:7" x14ac:dyDescent="0.3">
      <c r="A10">
        <v>8</v>
      </c>
      <c r="B10" t="s">
        <v>807</v>
      </c>
      <c r="C10" t="s">
        <v>836</v>
      </c>
      <c r="D10" s="1" t="str">
        <f t="shared" si="0"/>
        <v>07</v>
      </c>
      <c r="E10" s="1" t="str">
        <f t="shared" si="1"/>
        <v>AABCS1429B</v>
      </c>
      <c r="F10" s="1">
        <f t="shared" si="2"/>
        <v>15</v>
      </c>
      <c r="G10" s="1" t="str">
        <f t="shared" si="3"/>
        <v>DELHI</v>
      </c>
    </row>
    <row r="11" spans="1:7" x14ac:dyDescent="0.3">
      <c r="A11">
        <v>9</v>
      </c>
      <c r="B11" t="s">
        <v>808</v>
      </c>
      <c r="C11" t="s">
        <v>837</v>
      </c>
      <c r="D11" s="1" t="str">
        <f t="shared" si="0"/>
        <v>25</v>
      </c>
      <c r="E11" s="1" t="str">
        <f t="shared" si="1"/>
        <v>AABCS1429B</v>
      </c>
      <c r="F11" s="1">
        <f t="shared" si="2"/>
        <v>15</v>
      </c>
      <c r="G11" s="1" t="str">
        <f t="shared" si="3"/>
        <v>DIU DAMAN</v>
      </c>
    </row>
    <row r="12" spans="1:7" x14ac:dyDescent="0.3">
      <c r="A12">
        <v>10</v>
      </c>
      <c r="B12" t="s">
        <v>809</v>
      </c>
      <c r="C12" t="s">
        <v>838</v>
      </c>
      <c r="D12" s="1" t="str">
        <f t="shared" si="0"/>
        <v>30</v>
      </c>
      <c r="E12" s="1" t="str">
        <f t="shared" si="1"/>
        <v>AABCS1429B</v>
      </c>
      <c r="F12" s="1">
        <f t="shared" si="2"/>
        <v>15</v>
      </c>
      <c r="G12" s="1" t="str">
        <f t="shared" si="3"/>
        <v>GOA</v>
      </c>
    </row>
    <row r="13" spans="1:7" x14ac:dyDescent="0.3">
      <c r="A13">
        <v>11</v>
      </c>
      <c r="B13" t="s">
        <v>810</v>
      </c>
      <c r="C13" t="s">
        <v>839</v>
      </c>
      <c r="D13" s="1" t="str">
        <f t="shared" si="0"/>
        <v>24</v>
      </c>
      <c r="E13" s="1" t="str">
        <f t="shared" si="1"/>
        <v>AABCS1429B</v>
      </c>
      <c r="F13" s="1">
        <f t="shared" si="2"/>
        <v>15</v>
      </c>
      <c r="G13" s="1" t="str">
        <f t="shared" si="3"/>
        <v>GUJARAT</v>
      </c>
    </row>
    <row r="14" spans="1:7" x14ac:dyDescent="0.3">
      <c r="A14">
        <v>12</v>
      </c>
      <c r="B14" t="s">
        <v>811</v>
      </c>
      <c r="C14" t="s">
        <v>840</v>
      </c>
      <c r="D14" s="1" t="str">
        <f t="shared" si="0"/>
        <v>06</v>
      </c>
      <c r="E14" s="1" t="str">
        <f t="shared" si="1"/>
        <v>AABCS1429B</v>
      </c>
      <c r="F14" s="1">
        <f t="shared" si="2"/>
        <v>15</v>
      </c>
      <c r="G14" s="1" t="str">
        <f t="shared" si="3"/>
        <v>HARYANA</v>
      </c>
    </row>
    <row r="15" spans="1:7" x14ac:dyDescent="0.3">
      <c r="A15">
        <v>13</v>
      </c>
      <c r="B15" t="s">
        <v>812</v>
      </c>
      <c r="C15" t="s">
        <v>841</v>
      </c>
      <c r="D15" s="1" t="str">
        <f t="shared" si="0"/>
        <v>02</v>
      </c>
      <c r="E15" s="1" t="str">
        <f t="shared" si="1"/>
        <v>AABCS1429B</v>
      </c>
      <c r="F15" s="1">
        <f t="shared" si="2"/>
        <v>15</v>
      </c>
      <c r="G15" s="1" t="str">
        <f t="shared" si="3"/>
        <v>HIMACHAL PRADESH</v>
      </c>
    </row>
    <row r="16" spans="1:7" x14ac:dyDescent="0.3">
      <c r="A16">
        <v>14</v>
      </c>
      <c r="B16" t="s">
        <v>813</v>
      </c>
      <c r="C16" t="s">
        <v>842</v>
      </c>
      <c r="D16" s="1" t="str">
        <f t="shared" si="0"/>
        <v>01</v>
      </c>
      <c r="E16" s="1" t="str">
        <f t="shared" si="1"/>
        <v>AABCS1429B</v>
      </c>
      <c r="F16" s="1">
        <f t="shared" si="2"/>
        <v>15</v>
      </c>
      <c r="G16" s="1" t="str">
        <f t="shared" si="3"/>
        <v>JAMMU &amp; KASHMIR</v>
      </c>
    </row>
    <row r="17" spans="1:7" x14ac:dyDescent="0.3">
      <c r="A17">
        <v>15</v>
      </c>
      <c r="B17" t="s">
        <v>814</v>
      </c>
      <c r="C17" t="s">
        <v>843</v>
      </c>
      <c r="D17" s="1" t="str">
        <f t="shared" si="0"/>
        <v>20</v>
      </c>
      <c r="E17" s="1" t="str">
        <f t="shared" si="1"/>
        <v>AABCS1429B</v>
      </c>
      <c r="F17" s="1">
        <f t="shared" si="2"/>
        <v>15</v>
      </c>
      <c r="G17" s="1" t="str">
        <f t="shared" si="3"/>
        <v>JHARKHAND</v>
      </c>
    </row>
    <row r="18" spans="1:7" x14ac:dyDescent="0.3">
      <c r="A18">
        <v>16</v>
      </c>
      <c r="B18" t="s">
        <v>815</v>
      </c>
      <c r="C18" t="s">
        <v>844</v>
      </c>
      <c r="D18" s="1" t="str">
        <f t="shared" si="0"/>
        <v>29</v>
      </c>
      <c r="E18" s="1" t="str">
        <f t="shared" si="1"/>
        <v>AABCS1429B</v>
      </c>
      <c r="F18" s="1">
        <f t="shared" si="2"/>
        <v>15</v>
      </c>
      <c r="G18" s="1" t="str">
        <f t="shared" si="3"/>
        <v>KARNATAKA</v>
      </c>
    </row>
    <row r="19" spans="1:7" x14ac:dyDescent="0.3">
      <c r="A19">
        <v>17</v>
      </c>
      <c r="B19" t="s">
        <v>816</v>
      </c>
      <c r="C19" t="s">
        <v>845</v>
      </c>
      <c r="D19" s="1" t="str">
        <f t="shared" si="0"/>
        <v>32</v>
      </c>
      <c r="E19" s="1" t="str">
        <f t="shared" si="1"/>
        <v>AABCS1429B</v>
      </c>
      <c r="F19" s="1">
        <f t="shared" si="2"/>
        <v>15</v>
      </c>
      <c r="G19" s="1" t="str">
        <f t="shared" si="3"/>
        <v>KERALA</v>
      </c>
    </row>
    <row r="20" spans="1:7" x14ac:dyDescent="0.3">
      <c r="A20">
        <v>18</v>
      </c>
      <c r="B20" t="s">
        <v>817</v>
      </c>
      <c r="C20" t="s">
        <v>846</v>
      </c>
      <c r="D20" s="1" t="str">
        <f t="shared" si="0"/>
        <v>23</v>
      </c>
      <c r="E20" s="1" t="str">
        <f t="shared" si="1"/>
        <v>AABCS1429B</v>
      </c>
      <c r="F20" s="1">
        <f t="shared" si="2"/>
        <v>15</v>
      </c>
      <c r="G20" s="1" t="str">
        <f t="shared" si="3"/>
        <v>MADYA PRADESH</v>
      </c>
    </row>
    <row r="21" spans="1:7" x14ac:dyDescent="0.3">
      <c r="A21">
        <v>19</v>
      </c>
      <c r="B21" t="s">
        <v>818</v>
      </c>
      <c r="C21" t="s">
        <v>847</v>
      </c>
      <c r="D21" s="1" t="str">
        <f t="shared" si="0"/>
        <v>27</v>
      </c>
      <c r="E21" s="1" t="str">
        <f t="shared" si="1"/>
        <v>AABCS1429B</v>
      </c>
      <c r="F21" s="1">
        <f t="shared" si="2"/>
        <v>15</v>
      </c>
      <c r="G21" s="1" t="str">
        <f t="shared" si="3"/>
        <v>MAHARASTRA</v>
      </c>
    </row>
    <row r="22" spans="1:7" x14ac:dyDescent="0.3">
      <c r="A22">
        <v>20</v>
      </c>
      <c r="B22" t="s">
        <v>819</v>
      </c>
      <c r="C22" t="s">
        <v>848</v>
      </c>
      <c r="D22" s="1" t="str">
        <f t="shared" si="0"/>
        <v>21</v>
      </c>
      <c r="E22" s="1" t="str">
        <f t="shared" si="1"/>
        <v>AABCS1429B</v>
      </c>
      <c r="F22" s="1">
        <f t="shared" si="2"/>
        <v>15</v>
      </c>
      <c r="G22" s="1" t="str">
        <f t="shared" si="3"/>
        <v>ORISSA</v>
      </c>
    </row>
    <row r="23" spans="1:7" x14ac:dyDescent="0.3">
      <c r="A23">
        <v>21</v>
      </c>
      <c r="B23" t="s">
        <v>820</v>
      </c>
      <c r="C23" t="s">
        <v>849</v>
      </c>
      <c r="D23" s="1" t="str">
        <f t="shared" si="0"/>
        <v>34</v>
      </c>
      <c r="E23" s="1" t="str">
        <f t="shared" si="1"/>
        <v>AABCS1429B</v>
      </c>
      <c r="F23" s="1">
        <f t="shared" si="2"/>
        <v>15</v>
      </c>
      <c r="G23" s="1" t="str">
        <f t="shared" si="3"/>
        <v>PONDICHERRY</v>
      </c>
    </row>
    <row r="24" spans="1:7" x14ac:dyDescent="0.3">
      <c r="A24">
        <v>22</v>
      </c>
      <c r="B24" t="s">
        <v>821</v>
      </c>
      <c r="C24" t="s">
        <v>850</v>
      </c>
      <c r="D24" s="1" t="str">
        <f t="shared" si="0"/>
        <v>03</v>
      </c>
      <c r="E24" s="1" t="str">
        <f t="shared" si="1"/>
        <v>AABCS1429B</v>
      </c>
      <c r="F24" s="1">
        <f t="shared" si="2"/>
        <v>15</v>
      </c>
      <c r="G24" s="1" t="str">
        <f t="shared" si="3"/>
        <v>PUNJAB</v>
      </c>
    </row>
    <row r="25" spans="1:7" x14ac:dyDescent="0.3">
      <c r="A25">
        <v>23</v>
      </c>
      <c r="B25" t="s">
        <v>822</v>
      </c>
      <c r="C25" t="s">
        <v>851</v>
      </c>
      <c r="D25" s="1" t="str">
        <f t="shared" si="0"/>
        <v>08</v>
      </c>
      <c r="E25" s="1" t="str">
        <f t="shared" si="1"/>
        <v>AABCS1429B</v>
      </c>
      <c r="F25" s="1">
        <f t="shared" si="2"/>
        <v>15</v>
      </c>
      <c r="G25" s="1" t="str">
        <f t="shared" si="3"/>
        <v>RAJASTHAN</v>
      </c>
    </row>
    <row r="26" spans="1:7" x14ac:dyDescent="0.3">
      <c r="A26">
        <v>24</v>
      </c>
      <c r="B26" t="s">
        <v>823</v>
      </c>
      <c r="C26" t="s">
        <v>852</v>
      </c>
      <c r="D26" s="1" t="str">
        <f t="shared" si="0"/>
        <v>33</v>
      </c>
      <c r="E26" s="1" t="str">
        <f t="shared" si="1"/>
        <v>AABCS1429B</v>
      </c>
      <c r="F26" s="1">
        <f t="shared" si="2"/>
        <v>15</v>
      </c>
      <c r="G26" s="1" t="str">
        <f t="shared" si="3"/>
        <v>TAMIL NADU</v>
      </c>
    </row>
    <row r="27" spans="1:7" x14ac:dyDescent="0.3">
      <c r="A27">
        <v>25</v>
      </c>
      <c r="B27" t="s">
        <v>824</v>
      </c>
      <c r="C27" t="s">
        <v>853</v>
      </c>
      <c r="D27" s="1" t="str">
        <f t="shared" si="0"/>
        <v>36</v>
      </c>
      <c r="E27" s="1" t="str">
        <f t="shared" si="1"/>
        <v>AABCS1429B</v>
      </c>
      <c r="F27" s="1">
        <f t="shared" si="2"/>
        <v>15</v>
      </c>
      <c r="G27" s="1" t="str">
        <f t="shared" si="3"/>
        <v>TELANGANA</v>
      </c>
    </row>
    <row r="28" spans="1:7" x14ac:dyDescent="0.3">
      <c r="A28">
        <v>26</v>
      </c>
      <c r="B28" t="s">
        <v>825</v>
      </c>
      <c r="C28" t="s">
        <v>854</v>
      </c>
      <c r="D28" s="1" t="str">
        <f t="shared" si="0"/>
        <v>16</v>
      </c>
      <c r="E28" s="1" t="str">
        <f t="shared" si="1"/>
        <v>AABCS1429B</v>
      </c>
      <c r="F28" s="1">
        <f t="shared" si="2"/>
        <v>15</v>
      </c>
      <c r="G28" s="1" t="str">
        <f t="shared" si="3"/>
        <v>TRIPURA</v>
      </c>
    </row>
    <row r="29" spans="1:7" x14ac:dyDescent="0.3">
      <c r="A29">
        <v>27</v>
      </c>
      <c r="B29" t="s">
        <v>826</v>
      </c>
      <c r="C29" t="s">
        <v>855</v>
      </c>
      <c r="D29" s="1" t="str">
        <f t="shared" si="0"/>
        <v>09</v>
      </c>
      <c r="E29" s="1" t="str">
        <f t="shared" si="1"/>
        <v>AABCS1429B</v>
      </c>
      <c r="F29" s="1">
        <f t="shared" si="2"/>
        <v>15</v>
      </c>
      <c r="G29" s="1" t="str">
        <f t="shared" si="3"/>
        <v>UTTAR PRADESH</v>
      </c>
    </row>
    <row r="30" spans="1:7" x14ac:dyDescent="0.3">
      <c r="A30">
        <v>28</v>
      </c>
      <c r="B30" t="s">
        <v>827</v>
      </c>
      <c r="C30" t="s">
        <v>856</v>
      </c>
      <c r="D30" s="1" t="str">
        <f t="shared" si="0"/>
        <v>05</v>
      </c>
      <c r="E30" s="1" t="str">
        <f t="shared" si="1"/>
        <v>AABCS1429B</v>
      </c>
      <c r="F30" s="1">
        <f t="shared" si="2"/>
        <v>15</v>
      </c>
      <c r="G30" s="1" t="str">
        <f t="shared" si="3"/>
        <v>UTTARKHAND</v>
      </c>
    </row>
    <row r="31" spans="1:7" x14ac:dyDescent="0.3">
      <c r="A31">
        <v>29</v>
      </c>
      <c r="B31" t="s">
        <v>828</v>
      </c>
      <c r="C31" t="s">
        <v>857</v>
      </c>
      <c r="D31" s="1" t="str">
        <f t="shared" si="0"/>
        <v>19</v>
      </c>
      <c r="E31" s="1" t="str">
        <f t="shared" si="1"/>
        <v>AABCS1429B</v>
      </c>
      <c r="F31" s="1">
        <v>15</v>
      </c>
      <c r="G31" s="1" t="str">
        <f t="shared" si="3"/>
        <v>WEST BENGAL</v>
      </c>
    </row>
    <row r="32" spans="1:7" x14ac:dyDescent="0.3">
      <c r="D32" s="5" t="s">
        <v>193</v>
      </c>
      <c r="E32" s="5" t="s">
        <v>212</v>
      </c>
      <c r="F32" s="5" t="s">
        <v>195</v>
      </c>
      <c r="G32" s="5" t="s">
        <v>858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8CA27-E000-42F3-815E-A3310FDE14E6}">
  <sheetPr codeName="Sheet45"/>
  <dimension ref="B1:X38"/>
  <sheetViews>
    <sheetView workbookViewId="0"/>
  </sheetViews>
  <sheetFormatPr defaultRowHeight="14.4" x14ac:dyDescent="0.3"/>
  <cols>
    <col min="5" max="5" width="9.6640625" bestFit="1" customWidth="1"/>
    <col min="6" max="6" width="10.6640625" bestFit="1" customWidth="1"/>
  </cols>
  <sheetData>
    <row r="1" spans="2:9" x14ac:dyDescent="0.3">
      <c r="D1" s="72" t="s">
        <v>899</v>
      </c>
      <c r="F1" s="72"/>
    </row>
    <row r="2" spans="2:9" x14ac:dyDescent="0.3">
      <c r="C2" s="135" t="s">
        <v>897</v>
      </c>
      <c r="D2" s="135"/>
      <c r="E2" s="135"/>
      <c r="F2" s="135"/>
    </row>
    <row r="3" spans="2:9" x14ac:dyDescent="0.3">
      <c r="B3" t="s">
        <v>876</v>
      </c>
    </row>
    <row r="5" spans="2:9" x14ac:dyDescent="0.3">
      <c r="C5" s="13" t="s">
        <v>877</v>
      </c>
      <c r="D5" s="13" t="s">
        <v>878</v>
      </c>
      <c r="E5" s="13" t="s">
        <v>879</v>
      </c>
      <c r="F5" s="13" t="s">
        <v>879</v>
      </c>
      <c r="I5" s="5"/>
    </row>
    <row r="6" spans="2:9" x14ac:dyDescent="0.3">
      <c r="C6" s="3" t="s">
        <v>880</v>
      </c>
      <c r="D6" s="3">
        <v>46</v>
      </c>
      <c r="E6" s="3">
        <f>RANK(D6,$D$6:$D$11,0)</f>
        <v>1</v>
      </c>
      <c r="F6" s="3">
        <f>RANK(D6,$D$6:$D$11,1)</f>
        <v>6</v>
      </c>
      <c r="H6" s="11" t="s">
        <v>885</v>
      </c>
    </row>
    <row r="7" spans="2:9" x14ac:dyDescent="0.3">
      <c r="C7" s="3" t="s">
        <v>881</v>
      </c>
      <c r="D7" s="3">
        <v>31</v>
      </c>
      <c r="E7" s="3">
        <f t="shared" ref="E7:E11" si="0">RANK(D7,$D$6:$D$11,0)</f>
        <v>5</v>
      </c>
      <c r="F7" s="3">
        <f t="shared" ref="F7:F11" si="1">RANK(D7,$D$6:$D$11,1)</f>
        <v>2</v>
      </c>
      <c r="H7" s="79" t="s">
        <v>886</v>
      </c>
    </row>
    <row r="8" spans="2:9" x14ac:dyDescent="0.3">
      <c r="C8" s="3" t="s">
        <v>257</v>
      </c>
      <c r="D8" s="3">
        <v>39</v>
      </c>
      <c r="E8" s="3">
        <f t="shared" si="0"/>
        <v>2</v>
      </c>
      <c r="F8" s="3">
        <f t="shared" si="1"/>
        <v>5</v>
      </c>
    </row>
    <row r="9" spans="2:9" x14ac:dyDescent="0.3">
      <c r="C9" s="3" t="s">
        <v>882</v>
      </c>
      <c r="D9" s="3">
        <v>32</v>
      </c>
      <c r="E9" s="3">
        <f t="shared" si="0"/>
        <v>4</v>
      </c>
      <c r="F9" s="3">
        <f t="shared" si="1"/>
        <v>3</v>
      </c>
    </row>
    <row r="10" spans="2:9" x14ac:dyDescent="0.3">
      <c r="C10" s="3" t="s">
        <v>883</v>
      </c>
      <c r="D10" s="3">
        <v>36</v>
      </c>
      <c r="E10" s="3">
        <f t="shared" si="0"/>
        <v>3</v>
      </c>
      <c r="F10" s="3">
        <f t="shared" si="1"/>
        <v>4</v>
      </c>
    </row>
    <row r="11" spans="2:9" x14ac:dyDescent="0.3">
      <c r="C11" s="3" t="s">
        <v>884</v>
      </c>
      <c r="D11" s="3">
        <v>20</v>
      </c>
      <c r="E11" s="3">
        <f t="shared" si="0"/>
        <v>6</v>
      </c>
      <c r="F11" s="3">
        <f t="shared" si="1"/>
        <v>1</v>
      </c>
    </row>
    <row r="12" spans="2:9" x14ac:dyDescent="0.3">
      <c r="E12" s="11" t="s">
        <v>887</v>
      </c>
      <c r="F12" s="11" t="s">
        <v>888</v>
      </c>
      <c r="H12" s="11" t="s">
        <v>889</v>
      </c>
    </row>
    <row r="13" spans="2:9" x14ac:dyDescent="0.3">
      <c r="E13" s="11"/>
      <c r="F13" s="11"/>
      <c r="H13" s="11"/>
    </row>
    <row r="14" spans="2:9" x14ac:dyDescent="0.3">
      <c r="C14" s="136" t="s">
        <v>898</v>
      </c>
      <c r="D14" s="136"/>
      <c r="E14" s="136"/>
      <c r="F14" s="136"/>
    </row>
    <row r="16" spans="2:9" x14ac:dyDescent="0.3">
      <c r="B16" t="s">
        <v>860</v>
      </c>
    </row>
    <row r="18" spans="2:24" x14ac:dyDescent="0.3">
      <c r="B18" t="s">
        <v>861</v>
      </c>
      <c r="I18" t="s">
        <v>865</v>
      </c>
      <c r="N18" t="s">
        <v>866</v>
      </c>
      <c r="S18" t="s">
        <v>873</v>
      </c>
    </row>
    <row r="19" spans="2:24" x14ac:dyDescent="0.3">
      <c r="W19" s="80" t="s">
        <v>895</v>
      </c>
    </row>
    <row r="20" spans="2:24" x14ac:dyDescent="0.3">
      <c r="B20" s="13" t="s">
        <v>862</v>
      </c>
      <c r="C20" s="13" t="s">
        <v>863</v>
      </c>
      <c r="I20" s="13" t="s">
        <v>694</v>
      </c>
      <c r="N20" s="13" t="s">
        <v>867</v>
      </c>
      <c r="O20" s="13" t="s">
        <v>868</v>
      </c>
      <c r="S20" s="13" t="s">
        <v>874</v>
      </c>
      <c r="T20" s="13" t="s">
        <v>875</v>
      </c>
      <c r="W20" t="s">
        <v>14</v>
      </c>
    </row>
    <row r="21" spans="2:24" x14ac:dyDescent="0.3">
      <c r="B21" s="3">
        <v>1</v>
      </c>
      <c r="C21" s="3">
        <v>102</v>
      </c>
      <c r="I21" s="3">
        <v>0</v>
      </c>
      <c r="N21" s="3" t="s">
        <v>31</v>
      </c>
      <c r="O21" s="3">
        <v>50</v>
      </c>
      <c r="S21" s="3">
        <v>0</v>
      </c>
      <c r="T21" s="3">
        <v>2</v>
      </c>
      <c r="W21">
        <v>22</v>
      </c>
    </row>
    <row r="22" spans="2:24" x14ac:dyDescent="0.3">
      <c r="B22" s="3">
        <v>2</v>
      </c>
      <c r="C22" s="3">
        <v>99</v>
      </c>
      <c r="I22" s="3">
        <v>20</v>
      </c>
      <c r="N22" s="3" t="s">
        <v>869</v>
      </c>
      <c r="O22" s="3">
        <v>47</v>
      </c>
      <c r="S22" s="3">
        <v>12</v>
      </c>
      <c r="T22" s="3">
        <v>12</v>
      </c>
      <c r="W22">
        <v>29</v>
      </c>
    </row>
    <row r="23" spans="2:24" x14ac:dyDescent="0.3">
      <c r="B23" s="3">
        <v>3</v>
      </c>
      <c r="C23" s="3">
        <v>97</v>
      </c>
      <c r="I23" s="3">
        <v>1</v>
      </c>
      <c r="N23" s="3" t="s">
        <v>870</v>
      </c>
      <c r="O23" s="3">
        <v>52</v>
      </c>
      <c r="S23" s="3">
        <v>2</v>
      </c>
      <c r="T23" s="3">
        <v>4</v>
      </c>
      <c r="W23">
        <v>40</v>
      </c>
      <c r="X23">
        <v>20</v>
      </c>
    </row>
    <row r="24" spans="2:24" x14ac:dyDescent="0.3">
      <c r="B24" s="3">
        <v>4</v>
      </c>
      <c r="C24" s="3">
        <v>100</v>
      </c>
      <c r="I24" s="3">
        <v>27</v>
      </c>
      <c r="N24" s="3" t="s">
        <v>585</v>
      </c>
      <c r="O24" s="3">
        <v>46</v>
      </c>
      <c r="S24" s="3">
        <v>12</v>
      </c>
      <c r="T24" s="3">
        <v>14</v>
      </c>
      <c r="W24">
        <v>30</v>
      </c>
      <c r="X24">
        <v>25</v>
      </c>
    </row>
    <row r="25" spans="2:24" x14ac:dyDescent="0.3">
      <c r="B25" s="3">
        <v>5</v>
      </c>
      <c r="C25" s="3">
        <v>98</v>
      </c>
      <c r="I25" s="3">
        <v>2</v>
      </c>
      <c r="N25" s="3" t="s">
        <v>871</v>
      </c>
      <c r="O25" s="3">
        <v>45</v>
      </c>
      <c r="S25" s="3">
        <v>6</v>
      </c>
      <c r="T25" s="3">
        <v>8</v>
      </c>
      <c r="W25">
        <v>48</v>
      </c>
      <c r="X25">
        <v>30</v>
      </c>
    </row>
    <row r="26" spans="2:24" x14ac:dyDescent="0.3">
      <c r="B26" s="3">
        <v>6</v>
      </c>
      <c r="C26" s="3">
        <v>105</v>
      </c>
      <c r="H26" t="s">
        <v>864</v>
      </c>
      <c r="I26" s="3">
        <f>STDEVA(I21:I25)</f>
        <v>12.589678312014172</v>
      </c>
      <c r="N26" s="3" t="s">
        <v>872</v>
      </c>
      <c r="O26" s="3">
        <v>48</v>
      </c>
      <c r="S26" s="3" t="s">
        <v>864</v>
      </c>
      <c r="T26" s="3">
        <f>CORREL(S21:S25,T21:T25)</f>
        <v>0.98945488983630714</v>
      </c>
      <c r="W26">
        <v>24</v>
      </c>
      <c r="X26">
        <v>35</v>
      </c>
    </row>
    <row r="27" spans="2:24" x14ac:dyDescent="0.3">
      <c r="B27" s="3">
        <v>7</v>
      </c>
      <c r="C27" s="3">
        <v>102</v>
      </c>
      <c r="I27" t="s">
        <v>1051</v>
      </c>
      <c r="N27" s="3" t="s">
        <v>864</v>
      </c>
      <c r="O27" s="3">
        <f>VARA(O21:O26)</f>
        <v>6.8</v>
      </c>
      <c r="T27" t="s">
        <v>891</v>
      </c>
      <c r="W27">
        <v>21</v>
      </c>
      <c r="X27">
        <v>40</v>
      </c>
    </row>
    <row r="28" spans="2:24" x14ac:dyDescent="0.3">
      <c r="B28" s="3" t="s">
        <v>864</v>
      </c>
      <c r="C28" s="3">
        <f>STDEVA(C21:C27)</f>
        <v>2.7602622373694166</v>
      </c>
      <c r="I28">
        <f>STDEVA(I21:I25)</f>
        <v>12.589678312014172</v>
      </c>
      <c r="O28" t="s">
        <v>890</v>
      </c>
      <c r="T28">
        <f>CORREL(S21:S25,T21:T25)</f>
        <v>0.98945488983630714</v>
      </c>
      <c r="W28">
        <v>19</v>
      </c>
    </row>
    <row r="29" spans="2:24" x14ac:dyDescent="0.3">
      <c r="C29" t="s">
        <v>1051</v>
      </c>
      <c r="O29">
        <f>VARA(O21:O26)</f>
        <v>6.8</v>
      </c>
      <c r="W29">
        <v>24</v>
      </c>
    </row>
    <row r="30" spans="2:24" x14ac:dyDescent="0.3">
      <c r="C30">
        <f>STDEVA(C21:C27)</f>
        <v>2.7602622373694166</v>
      </c>
      <c r="W30">
        <v>22</v>
      </c>
    </row>
    <row r="31" spans="2:24" x14ac:dyDescent="0.3">
      <c r="W31">
        <v>25</v>
      </c>
    </row>
    <row r="32" spans="2:24" x14ac:dyDescent="0.3">
      <c r="W32">
        <v>52</v>
      </c>
    </row>
    <row r="33" spans="23:23" x14ac:dyDescent="0.3">
      <c r="W33">
        <v>35</v>
      </c>
    </row>
    <row r="34" spans="23:23" x14ac:dyDescent="0.3">
      <c r="W34">
        <v>40</v>
      </c>
    </row>
    <row r="35" spans="23:23" x14ac:dyDescent="0.3">
      <c r="W35">
        <v>31</v>
      </c>
    </row>
    <row r="36" spans="23:23" x14ac:dyDescent="0.3">
      <c r="W36">
        <v>37</v>
      </c>
    </row>
    <row r="37" spans="23:23" x14ac:dyDescent="0.3">
      <c r="W37">
        <v>21</v>
      </c>
    </row>
    <row r="38" spans="23:23" x14ac:dyDescent="0.3">
      <c r="W38">
        <v>23</v>
      </c>
    </row>
  </sheetData>
  <mergeCells count="2">
    <mergeCell ref="C2:F2"/>
    <mergeCell ref="C14:F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7585-92E0-46AA-9007-616E42D83F6C}">
  <sheetPr codeName="Sheet46"/>
  <dimension ref="A1:B7"/>
  <sheetViews>
    <sheetView workbookViewId="0">
      <selection activeCell="G23" sqref="G23"/>
    </sheetView>
  </sheetViews>
  <sheetFormatPr defaultRowHeight="14.4" x14ac:dyDescent="0.3"/>
  <sheetData>
    <row r="1" spans="1:2" x14ac:dyDescent="0.3">
      <c r="A1" s="82" t="s">
        <v>892</v>
      </c>
      <c r="B1" s="82" t="s">
        <v>894</v>
      </c>
    </row>
    <row r="2" spans="1:2" x14ac:dyDescent="0.3">
      <c r="A2">
        <v>20</v>
      </c>
      <c r="B2">
        <v>1</v>
      </c>
    </row>
    <row r="3" spans="1:2" x14ac:dyDescent="0.3">
      <c r="A3">
        <v>25</v>
      </c>
      <c r="B3">
        <v>8</v>
      </c>
    </row>
    <row r="4" spans="1:2" x14ac:dyDescent="0.3">
      <c r="A4">
        <v>30</v>
      </c>
      <c r="B4">
        <v>2</v>
      </c>
    </row>
    <row r="5" spans="1:2" x14ac:dyDescent="0.3">
      <c r="A5">
        <v>35</v>
      </c>
      <c r="B5">
        <v>2</v>
      </c>
    </row>
    <row r="6" spans="1:2" x14ac:dyDescent="0.3">
      <c r="A6">
        <v>40</v>
      </c>
      <c r="B6">
        <v>3</v>
      </c>
    </row>
    <row r="7" spans="1:2" ht="15" thickBot="1" x14ac:dyDescent="0.35">
      <c r="A7" s="81" t="s">
        <v>893</v>
      </c>
      <c r="B7" s="81">
        <v>2</v>
      </c>
    </row>
  </sheetData>
  <sortState xmlns:xlrd2="http://schemas.microsoft.com/office/spreadsheetml/2017/richdata2" ref="A2:A6">
    <sortCondition ref="A2"/>
  </sortState>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1D929-9D78-484C-BCF3-F363F7FAB686}">
  <sheetPr codeName="Sheet47"/>
  <dimension ref="A2:Q33"/>
  <sheetViews>
    <sheetView workbookViewId="0">
      <selection activeCell="N19" sqref="N19"/>
    </sheetView>
  </sheetViews>
  <sheetFormatPr defaultRowHeight="14.4" x14ac:dyDescent="0.3"/>
  <cols>
    <col min="2" max="2" width="10.33203125" bestFit="1" customWidth="1"/>
    <col min="3" max="3" width="13.77734375" bestFit="1" customWidth="1"/>
    <col min="4" max="4" width="15.44140625" bestFit="1" customWidth="1"/>
    <col min="5" max="5" width="14.88671875" bestFit="1" customWidth="1"/>
    <col min="7" max="7" width="10.33203125" bestFit="1" customWidth="1"/>
    <col min="8" max="8" width="10.33203125" customWidth="1"/>
    <col min="13" max="13" width="20.88671875" customWidth="1"/>
    <col min="14" max="14" width="8.88671875" style="1"/>
    <col min="15" max="15" width="10.44140625" style="11" bestFit="1" customWidth="1"/>
    <col min="17" max="17" width="14.44140625" bestFit="1" customWidth="1"/>
  </cols>
  <sheetData>
    <row r="2" spans="1:17" x14ac:dyDescent="0.3">
      <c r="A2" s="8" t="s">
        <v>900</v>
      </c>
      <c r="B2" s="8" t="s">
        <v>457</v>
      </c>
      <c r="C2" s="8" t="s">
        <v>901</v>
      </c>
      <c r="D2" s="8" t="s">
        <v>510</v>
      </c>
      <c r="E2" s="8" t="s">
        <v>902</v>
      </c>
      <c r="F2" s="8" t="s">
        <v>903</v>
      </c>
      <c r="G2" s="8" t="s">
        <v>904</v>
      </c>
      <c r="H2" s="34"/>
    </row>
    <row r="3" spans="1:17" x14ac:dyDescent="0.3">
      <c r="A3" s="3">
        <v>100001</v>
      </c>
      <c r="B3" s="70">
        <v>41306</v>
      </c>
      <c r="C3" s="3" t="s">
        <v>905</v>
      </c>
      <c r="D3" s="3" t="s">
        <v>910</v>
      </c>
      <c r="E3" s="3">
        <v>25</v>
      </c>
      <c r="F3" s="3" t="s">
        <v>914</v>
      </c>
      <c r="G3" s="3" t="s">
        <v>919</v>
      </c>
      <c r="H3" s="1"/>
    </row>
    <row r="4" spans="1:17" x14ac:dyDescent="0.3">
      <c r="A4" s="3">
        <v>100002</v>
      </c>
      <c r="B4" s="70">
        <v>41306</v>
      </c>
      <c r="C4" s="3" t="s">
        <v>906</v>
      </c>
      <c r="D4" s="3" t="s">
        <v>911</v>
      </c>
      <c r="E4" s="3">
        <v>30</v>
      </c>
      <c r="F4" s="3" t="s">
        <v>915</v>
      </c>
      <c r="G4" s="3" t="s">
        <v>150</v>
      </c>
      <c r="H4" s="1"/>
      <c r="I4" t="s">
        <v>1053</v>
      </c>
      <c r="J4" s="83"/>
      <c r="K4" s="1"/>
      <c r="L4" s="1"/>
      <c r="N4" s="1">
        <f xml:space="preserve"> COUNTIF(G3:G26,G3)</f>
        <v>4</v>
      </c>
      <c r="O4" s="11" t="s">
        <v>183</v>
      </c>
    </row>
    <row r="5" spans="1:17" x14ac:dyDescent="0.3">
      <c r="A5" s="3">
        <v>100003</v>
      </c>
      <c r="B5" s="70">
        <v>41307</v>
      </c>
      <c r="C5" s="3" t="s">
        <v>907</v>
      </c>
      <c r="D5" s="3" t="s">
        <v>911</v>
      </c>
      <c r="E5" s="3">
        <v>15</v>
      </c>
      <c r="F5" s="3" t="s">
        <v>915</v>
      </c>
      <c r="G5" s="3" t="s">
        <v>147</v>
      </c>
      <c r="H5" s="10"/>
      <c r="I5" s="84" t="s">
        <v>922</v>
      </c>
      <c r="N5" s="1">
        <f>COUNTIF(D3:D26,D13)</f>
        <v>5</v>
      </c>
      <c r="O5" s="11" t="s">
        <v>183</v>
      </c>
      <c r="Q5" s="8" t="s">
        <v>904</v>
      </c>
    </row>
    <row r="6" spans="1:17" x14ac:dyDescent="0.3">
      <c r="A6" s="3">
        <v>100004</v>
      </c>
      <c r="B6" s="70">
        <v>41308</v>
      </c>
      <c r="C6" s="3" t="s">
        <v>906</v>
      </c>
      <c r="D6" s="3" t="s">
        <v>910</v>
      </c>
      <c r="E6" s="3">
        <v>32</v>
      </c>
      <c r="F6" s="3" t="s">
        <v>914</v>
      </c>
      <c r="G6" s="3" t="s">
        <v>150</v>
      </c>
      <c r="I6" s="50" t="s">
        <v>923</v>
      </c>
      <c r="N6" s="1">
        <f>COUNTIF(F3:F26,F5)</f>
        <v>8</v>
      </c>
      <c r="O6" s="11" t="s">
        <v>183</v>
      </c>
      <c r="Q6" s="3" t="s">
        <v>150</v>
      </c>
    </row>
    <row r="7" spans="1:17" x14ac:dyDescent="0.3">
      <c r="A7" s="3">
        <v>100005</v>
      </c>
      <c r="B7" s="70">
        <v>41308</v>
      </c>
      <c r="C7" s="3" t="s">
        <v>908</v>
      </c>
      <c r="D7" s="3" t="s">
        <v>912</v>
      </c>
      <c r="E7" s="3">
        <v>25</v>
      </c>
      <c r="F7" s="3" t="s">
        <v>915</v>
      </c>
      <c r="G7" s="3" t="s">
        <v>919</v>
      </c>
      <c r="H7" s="1"/>
      <c r="I7" s="50" t="s">
        <v>924</v>
      </c>
      <c r="N7" s="1">
        <f>SUMIF(D3:D26,D9,E3:E26)</f>
        <v>105</v>
      </c>
      <c r="O7" s="11" t="s">
        <v>85</v>
      </c>
      <c r="Q7" s="3" t="s">
        <v>920</v>
      </c>
    </row>
    <row r="8" spans="1:17" x14ac:dyDescent="0.3">
      <c r="A8" s="3">
        <v>100006</v>
      </c>
      <c r="B8" s="70">
        <v>41308</v>
      </c>
      <c r="C8" s="3" t="s">
        <v>907</v>
      </c>
      <c r="D8" s="3" t="s">
        <v>911</v>
      </c>
      <c r="E8" s="3">
        <v>18</v>
      </c>
      <c r="F8" s="3" t="s">
        <v>916</v>
      </c>
      <c r="G8" s="3" t="s">
        <v>920</v>
      </c>
      <c r="H8" s="1"/>
      <c r="I8" s="50" t="s">
        <v>925</v>
      </c>
      <c r="N8" s="1">
        <f>SUMIF(D3:D26,D4,E3:E26)</f>
        <v>164</v>
      </c>
      <c r="O8" s="11" t="s">
        <v>85</v>
      </c>
      <c r="Q8" s="3" t="s">
        <v>147</v>
      </c>
    </row>
    <row r="9" spans="1:17" x14ac:dyDescent="0.3">
      <c r="A9" s="3">
        <v>100007</v>
      </c>
      <c r="B9" s="70">
        <v>41308</v>
      </c>
      <c r="C9" s="3" t="s">
        <v>905</v>
      </c>
      <c r="D9" s="3" t="s">
        <v>912</v>
      </c>
      <c r="E9" s="3">
        <v>15</v>
      </c>
      <c r="F9" s="3" t="s">
        <v>917</v>
      </c>
      <c r="G9" s="3" t="s">
        <v>147</v>
      </c>
      <c r="H9" s="1"/>
      <c r="I9" s="50" t="s">
        <v>926</v>
      </c>
      <c r="N9" s="1">
        <f>SUMIF(F3:F26,F3,E3:E26)</f>
        <v>156</v>
      </c>
      <c r="O9" s="11" t="s">
        <v>85</v>
      </c>
    </row>
    <row r="10" spans="1:17" x14ac:dyDescent="0.3">
      <c r="A10" s="3">
        <v>100008</v>
      </c>
      <c r="B10" s="70">
        <v>41309</v>
      </c>
      <c r="C10" s="3" t="s">
        <v>907</v>
      </c>
      <c r="D10" s="3" t="s">
        <v>912</v>
      </c>
      <c r="E10" s="3">
        <v>25</v>
      </c>
      <c r="F10" s="3" t="s">
        <v>915</v>
      </c>
      <c r="G10" s="3" t="s">
        <v>920</v>
      </c>
      <c r="H10" s="1"/>
      <c r="I10" s="50" t="s">
        <v>927</v>
      </c>
      <c r="N10" s="1">
        <f>COUNTA(G3,D13)</f>
        <v>2</v>
      </c>
      <c r="O10" s="11" t="s">
        <v>928</v>
      </c>
    </row>
    <row r="11" spans="1:17" x14ac:dyDescent="0.3">
      <c r="A11" s="3">
        <v>100009</v>
      </c>
      <c r="B11" s="70">
        <v>41309</v>
      </c>
      <c r="C11" s="3" t="s">
        <v>906</v>
      </c>
      <c r="D11" s="3" t="s">
        <v>910</v>
      </c>
      <c r="E11" s="3">
        <v>30</v>
      </c>
      <c r="F11" s="3" t="s">
        <v>916</v>
      </c>
      <c r="G11" s="3" t="s">
        <v>921</v>
      </c>
      <c r="H11" s="1"/>
      <c r="I11" s="50" t="s">
        <v>929</v>
      </c>
      <c r="N11" s="1">
        <f>COUNTA(C6,F11)</f>
        <v>2</v>
      </c>
      <c r="O11" s="11" t="s">
        <v>928</v>
      </c>
    </row>
    <row r="12" spans="1:17" x14ac:dyDescent="0.3">
      <c r="A12" s="3">
        <v>100010</v>
      </c>
      <c r="B12" s="70">
        <v>41309</v>
      </c>
      <c r="C12" s="3" t="s">
        <v>908</v>
      </c>
      <c r="D12" s="3" t="s">
        <v>912</v>
      </c>
      <c r="E12" s="3">
        <v>15</v>
      </c>
      <c r="F12" s="3" t="s">
        <v>917</v>
      </c>
      <c r="G12" s="3" t="s">
        <v>150</v>
      </c>
      <c r="H12" s="1"/>
      <c r="I12" s="50" t="s">
        <v>1052</v>
      </c>
      <c r="N12" s="1">
        <f>COUNTIFS(G3:G26,G3,B3:B26,"&gt;03-02-2013")</f>
        <v>2</v>
      </c>
      <c r="O12" s="11" t="s">
        <v>930</v>
      </c>
    </row>
    <row r="13" spans="1:17" x14ac:dyDescent="0.3">
      <c r="A13" s="3">
        <v>100011</v>
      </c>
      <c r="B13" s="70">
        <v>41309</v>
      </c>
      <c r="C13" s="3" t="s">
        <v>909</v>
      </c>
      <c r="D13" s="3" t="s">
        <v>913</v>
      </c>
      <c r="E13" s="3">
        <v>25</v>
      </c>
      <c r="F13" s="3" t="s">
        <v>915</v>
      </c>
      <c r="G13" s="3" t="s">
        <v>147</v>
      </c>
      <c r="H13" s="1"/>
      <c r="I13" s="50" t="s">
        <v>1054</v>
      </c>
      <c r="N13" s="1">
        <f>COUNTIFS(B3:B26,"&gt;03-02-2013",B3:B26,"&lt;06-02-2013")</f>
        <v>9</v>
      </c>
      <c r="O13" s="11" t="s">
        <v>930</v>
      </c>
    </row>
    <row r="14" spans="1:17" x14ac:dyDescent="0.3">
      <c r="A14" s="3">
        <v>100012</v>
      </c>
      <c r="B14" s="70">
        <v>41309</v>
      </c>
      <c r="C14" s="3" t="s">
        <v>905</v>
      </c>
      <c r="D14" s="3" t="s">
        <v>911</v>
      </c>
      <c r="E14" s="3">
        <v>14</v>
      </c>
      <c r="F14" s="3" t="s">
        <v>914</v>
      </c>
      <c r="G14" s="3" t="s">
        <v>150</v>
      </c>
      <c r="H14" s="1"/>
      <c r="I14" s="50" t="s">
        <v>931</v>
      </c>
      <c r="N14" s="1">
        <f>SUMIFS(E3:E26,D3:D26,D17,G3:G26,G6)</f>
        <v>25</v>
      </c>
      <c r="O14" s="11" t="s">
        <v>936</v>
      </c>
    </row>
    <row r="15" spans="1:17" x14ac:dyDescent="0.3">
      <c r="A15" s="3">
        <v>100013</v>
      </c>
      <c r="B15" s="70">
        <v>41310</v>
      </c>
      <c r="C15" s="3" t="s">
        <v>905</v>
      </c>
      <c r="D15" s="3" t="s">
        <v>911</v>
      </c>
      <c r="E15" s="3">
        <v>25</v>
      </c>
      <c r="F15" s="3" t="s">
        <v>918</v>
      </c>
      <c r="G15" s="3" t="s">
        <v>920</v>
      </c>
      <c r="H15" s="1"/>
      <c r="I15" s="50" t="s">
        <v>932</v>
      </c>
      <c r="N15" s="1">
        <f>SUMIFS(E3:E26,G3:G26,G11,F3:F26,F11)</f>
        <v>75</v>
      </c>
      <c r="O15" s="11" t="s">
        <v>936</v>
      </c>
    </row>
    <row r="16" spans="1:17" x14ac:dyDescent="0.3">
      <c r="A16" s="3">
        <v>100014</v>
      </c>
      <c r="B16" s="70">
        <v>41310</v>
      </c>
      <c r="C16" s="3" t="s">
        <v>907</v>
      </c>
      <c r="D16" s="3" t="s">
        <v>910</v>
      </c>
      <c r="E16" s="3">
        <v>30</v>
      </c>
      <c r="F16" s="3" t="s">
        <v>914</v>
      </c>
      <c r="G16" s="3" t="s">
        <v>147</v>
      </c>
      <c r="H16" s="1"/>
      <c r="I16" s="50" t="s">
        <v>1066</v>
      </c>
      <c r="N16" s="1">
        <f>SUMIFS(E3:E26,B3:B26,"&gt;03-02-2013",B3:B26,"&lt;06-02-2013")</f>
        <v>194</v>
      </c>
      <c r="O16" s="11" t="s">
        <v>936</v>
      </c>
    </row>
    <row r="17" spans="1:17" x14ac:dyDescent="0.3">
      <c r="A17" s="3">
        <v>100015</v>
      </c>
      <c r="B17" s="70">
        <v>41310</v>
      </c>
      <c r="C17" s="3" t="s">
        <v>908</v>
      </c>
      <c r="D17" s="3" t="s">
        <v>913</v>
      </c>
      <c r="E17" s="3">
        <v>15</v>
      </c>
      <c r="F17" s="3" t="s">
        <v>915</v>
      </c>
      <c r="G17" s="3" t="s">
        <v>919</v>
      </c>
      <c r="H17" s="1"/>
      <c r="I17" s="50" t="s">
        <v>933</v>
      </c>
      <c r="N17" s="1">
        <f>DSUM(A2:G26,E2,Q5:Q8)</f>
        <v>386</v>
      </c>
      <c r="O17" s="11" t="s">
        <v>677</v>
      </c>
      <c r="P17">
        <f>SUMIFS(E2:E26,G2:G26,G6)+SUMIFS(E2:E26,G2:G26,G15)+SUMIFS(E2:E26,G2:G26,G16)</f>
        <v>386</v>
      </c>
      <c r="Q17" s="11" t="s">
        <v>1067</v>
      </c>
    </row>
    <row r="18" spans="1:17" x14ac:dyDescent="0.3">
      <c r="A18" s="3">
        <v>100016</v>
      </c>
      <c r="B18" s="70">
        <v>41310</v>
      </c>
      <c r="C18" s="3" t="s">
        <v>906</v>
      </c>
      <c r="D18" s="3" t="s">
        <v>910</v>
      </c>
      <c r="E18" s="3">
        <v>15</v>
      </c>
      <c r="F18" s="3" t="s">
        <v>916</v>
      </c>
      <c r="G18" s="3" t="s">
        <v>921</v>
      </c>
      <c r="H18" s="1"/>
      <c r="I18" s="50" t="s">
        <v>934</v>
      </c>
      <c r="N18" s="1">
        <f>AVERAGEIF(D3:D26,D12,E3:E26)</f>
        <v>21</v>
      </c>
      <c r="O18" s="11" t="s">
        <v>935</v>
      </c>
    </row>
    <row r="19" spans="1:17" x14ac:dyDescent="0.3">
      <c r="A19" s="3">
        <v>100017</v>
      </c>
      <c r="B19" s="70">
        <v>41311</v>
      </c>
      <c r="C19" s="3" t="s">
        <v>905</v>
      </c>
      <c r="D19" s="3" t="s">
        <v>913</v>
      </c>
      <c r="E19" s="3">
        <v>25</v>
      </c>
      <c r="F19" s="3" t="s">
        <v>916</v>
      </c>
      <c r="G19" s="3" t="s">
        <v>150</v>
      </c>
      <c r="H19" s="1"/>
    </row>
    <row r="20" spans="1:17" x14ac:dyDescent="0.3">
      <c r="A20" s="3">
        <v>100018</v>
      </c>
      <c r="B20" s="70">
        <v>41312</v>
      </c>
      <c r="C20" s="3" t="s">
        <v>905</v>
      </c>
      <c r="D20" s="3" t="s">
        <v>910</v>
      </c>
      <c r="E20" s="3">
        <v>30</v>
      </c>
      <c r="F20" s="3" t="s">
        <v>914</v>
      </c>
      <c r="G20" s="3" t="s">
        <v>147</v>
      </c>
      <c r="H20" s="1"/>
    </row>
    <row r="21" spans="1:17" x14ac:dyDescent="0.3">
      <c r="A21" s="3">
        <v>100019</v>
      </c>
      <c r="B21" s="70">
        <v>41313</v>
      </c>
      <c r="C21" s="3" t="s">
        <v>908</v>
      </c>
      <c r="D21" s="3" t="s">
        <v>911</v>
      </c>
      <c r="E21" s="3">
        <v>13</v>
      </c>
      <c r="F21" s="3" t="s">
        <v>915</v>
      </c>
      <c r="G21" s="3" t="s">
        <v>920</v>
      </c>
      <c r="H21" s="1"/>
    </row>
    <row r="22" spans="1:17" x14ac:dyDescent="0.3">
      <c r="A22" s="3">
        <v>100020</v>
      </c>
      <c r="B22" s="70">
        <v>41313</v>
      </c>
      <c r="C22" s="3" t="s">
        <v>906</v>
      </c>
      <c r="D22" s="3" t="s">
        <v>912</v>
      </c>
      <c r="E22" s="3">
        <v>25</v>
      </c>
      <c r="F22" s="3" t="s">
        <v>917</v>
      </c>
      <c r="G22" s="3" t="s">
        <v>147</v>
      </c>
      <c r="H22" s="1"/>
    </row>
    <row r="23" spans="1:17" x14ac:dyDescent="0.3">
      <c r="A23" s="3">
        <v>100021</v>
      </c>
      <c r="B23" s="70">
        <v>41313</v>
      </c>
      <c r="C23" s="3" t="s">
        <v>907</v>
      </c>
      <c r="D23" s="3" t="s">
        <v>913</v>
      </c>
      <c r="E23" s="3">
        <v>30</v>
      </c>
      <c r="F23" s="3" t="s">
        <v>916</v>
      </c>
      <c r="G23" s="3" t="s">
        <v>921</v>
      </c>
      <c r="H23" s="1"/>
    </row>
    <row r="24" spans="1:17" x14ac:dyDescent="0.3">
      <c r="A24" s="3">
        <v>100022</v>
      </c>
      <c r="B24" s="70">
        <v>41313</v>
      </c>
      <c r="C24" s="3" t="s">
        <v>906</v>
      </c>
      <c r="D24" s="3" t="s">
        <v>911</v>
      </c>
      <c r="E24" s="3">
        <v>15</v>
      </c>
      <c r="F24" s="3" t="s">
        <v>918</v>
      </c>
      <c r="G24" s="3" t="s">
        <v>150</v>
      </c>
      <c r="H24" s="1"/>
    </row>
    <row r="25" spans="1:17" x14ac:dyDescent="0.3">
      <c r="A25" s="3">
        <v>100023</v>
      </c>
      <c r="B25" s="70">
        <v>41313</v>
      </c>
      <c r="C25" s="3" t="s">
        <v>905</v>
      </c>
      <c r="D25" s="3" t="s">
        <v>913</v>
      </c>
      <c r="E25" s="3">
        <v>25</v>
      </c>
      <c r="F25" s="3" t="s">
        <v>914</v>
      </c>
      <c r="G25" s="3" t="s">
        <v>919</v>
      </c>
      <c r="H25" s="1"/>
    </row>
    <row r="26" spans="1:17" x14ac:dyDescent="0.3">
      <c r="A26" s="3">
        <v>100024</v>
      </c>
      <c r="B26" s="70">
        <v>41314</v>
      </c>
      <c r="C26" s="3" t="s">
        <v>908</v>
      </c>
      <c r="D26" s="3" t="s">
        <v>911</v>
      </c>
      <c r="E26" s="3">
        <v>34</v>
      </c>
      <c r="F26" s="3" t="s">
        <v>915</v>
      </c>
      <c r="G26" s="3" t="s">
        <v>920</v>
      </c>
      <c r="H26" s="1"/>
    </row>
    <row r="27" spans="1:17" x14ac:dyDescent="0.3">
      <c r="A27" s="1"/>
      <c r="B27" s="1"/>
      <c r="C27" s="1"/>
      <c r="D27" s="1"/>
      <c r="E27" s="1"/>
      <c r="F27" s="1"/>
      <c r="G27" s="1"/>
      <c r="H27" s="1"/>
    </row>
    <row r="28" spans="1:17" x14ac:dyDescent="0.3">
      <c r="A28" s="1"/>
      <c r="B28" s="1"/>
      <c r="C28" s="1"/>
      <c r="D28" s="1"/>
      <c r="E28" s="1"/>
      <c r="F28" s="1"/>
      <c r="G28" s="1"/>
      <c r="H28" s="1"/>
    </row>
    <row r="29" spans="1:17" x14ac:dyDescent="0.3">
      <c r="A29" s="1"/>
      <c r="B29" s="1"/>
      <c r="C29" s="1"/>
      <c r="D29" s="1"/>
      <c r="E29" s="1"/>
      <c r="F29" s="1"/>
      <c r="G29" s="1"/>
      <c r="H29" s="1"/>
    </row>
    <row r="30" spans="1:17" x14ac:dyDescent="0.3">
      <c r="A30" s="1"/>
      <c r="B30" s="1"/>
      <c r="C30" s="1"/>
      <c r="D30" s="1"/>
      <c r="E30" s="1"/>
      <c r="F30" s="1"/>
      <c r="G30" s="1"/>
      <c r="H30" s="1"/>
    </row>
    <row r="31" spans="1:17" x14ac:dyDescent="0.3">
      <c r="A31" s="1"/>
      <c r="B31" s="1"/>
      <c r="C31" s="1"/>
      <c r="D31" s="1"/>
      <c r="E31" s="1"/>
      <c r="F31" s="1"/>
      <c r="G31" s="1"/>
      <c r="H31" s="1"/>
    </row>
    <row r="33" spans="15:15" x14ac:dyDescent="0.3">
      <c r="O33"/>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2866F-6825-4B26-A29C-4AC7125B81A0}">
  <sheetPr codeName="Sheet48"/>
  <dimension ref="B1:K33"/>
  <sheetViews>
    <sheetView workbookViewId="0">
      <selection activeCell="L31" sqref="L31"/>
    </sheetView>
  </sheetViews>
  <sheetFormatPr defaultRowHeight="14.4" x14ac:dyDescent="0.3"/>
  <cols>
    <col min="2" max="2" width="18.109375" customWidth="1"/>
    <col min="3" max="3" width="12.109375" customWidth="1"/>
    <col min="4" max="4" width="27.6640625" bestFit="1" customWidth="1"/>
    <col min="5" max="5" width="11.6640625" bestFit="1" customWidth="1"/>
    <col min="6" max="7" width="10.33203125" bestFit="1" customWidth="1"/>
  </cols>
  <sheetData>
    <row r="1" spans="2:11" x14ac:dyDescent="0.3">
      <c r="B1" s="137" t="s">
        <v>975</v>
      </c>
      <c r="C1" s="137"/>
      <c r="D1" s="137"/>
      <c r="E1" s="137"/>
      <c r="F1" s="137"/>
      <c r="G1" s="72" t="s">
        <v>976</v>
      </c>
      <c r="K1" s="72" t="s">
        <v>1055</v>
      </c>
    </row>
    <row r="2" spans="2:11" x14ac:dyDescent="0.3">
      <c r="C2" t="s">
        <v>937</v>
      </c>
      <c r="K2" s="72" t="s">
        <v>983</v>
      </c>
    </row>
    <row r="4" spans="2:11" x14ac:dyDescent="0.3">
      <c r="B4" s="86"/>
      <c r="C4" s="86"/>
      <c r="D4" s="87" t="s">
        <v>938</v>
      </c>
      <c r="E4" s="86"/>
      <c r="F4" s="86"/>
      <c r="G4" s="86"/>
    </row>
    <row r="5" spans="2:11" x14ac:dyDescent="0.3">
      <c r="B5" s="86"/>
      <c r="C5" s="86"/>
      <c r="D5" s="87" t="s">
        <v>939</v>
      </c>
      <c r="E5" s="86"/>
      <c r="F5" s="86"/>
      <c r="G5" s="86"/>
    </row>
    <row r="6" spans="2:11" x14ac:dyDescent="0.3">
      <c r="B6" s="86"/>
      <c r="C6" s="86"/>
      <c r="D6" s="86" t="s">
        <v>940</v>
      </c>
      <c r="E6" s="86"/>
      <c r="F6" s="86"/>
      <c r="G6" s="86"/>
    </row>
    <row r="7" spans="2:11" x14ac:dyDescent="0.3">
      <c r="B7" s="86"/>
      <c r="C7" s="86"/>
      <c r="D7" s="86" t="s">
        <v>941</v>
      </c>
      <c r="E7" s="86"/>
      <c r="F7" s="86"/>
      <c r="G7" s="86"/>
    </row>
    <row r="8" spans="2:11" x14ac:dyDescent="0.3">
      <c r="B8" s="88" t="s">
        <v>948</v>
      </c>
      <c r="C8" s="89"/>
      <c r="D8" s="87" t="s">
        <v>942</v>
      </c>
      <c r="E8" s="87" t="s">
        <v>943</v>
      </c>
      <c r="F8" s="147" t="s">
        <v>944</v>
      </c>
      <c r="G8" s="147"/>
    </row>
    <row r="9" spans="2:11" x14ac:dyDescent="0.3">
      <c r="B9" s="89" t="s">
        <v>968</v>
      </c>
      <c r="C9" s="89"/>
      <c r="D9" s="86"/>
      <c r="E9" s="138" t="s">
        <v>947</v>
      </c>
      <c r="F9" s="141">
        <v>43282</v>
      </c>
      <c r="G9" s="142"/>
    </row>
    <row r="10" spans="2:11" x14ac:dyDescent="0.3">
      <c r="B10" s="89" t="s">
        <v>949</v>
      </c>
      <c r="C10" s="89"/>
      <c r="D10" s="86" t="s">
        <v>945</v>
      </c>
      <c r="E10" s="139"/>
      <c r="F10" s="143"/>
      <c r="G10" s="144"/>
    </row>
    <row r="11" spans="2:11" x14ac:dyDescent="0.3">
      <c r="B11" s="89" t="s">
        <v>950</v>
      </c>
      <c r="C11" s="89"/>
      <c r="D11" s="86" t="s">
        <v>946</v>
      </c>
      <c r="E11" s="140"/>
      <c r="F11" s="145"/>
      <c r="G11" s="146"/>
    </row>
    <row r="12" spans="2:11" x14ac:dyDescent="0.3">
      <c r="B12" s="86" t="s">
        <v>951</v>
      </c>
      <c r="C12" s="86"/>
      <c r="D12" s="86"/>
      <c r="E12" s="86"/>
      <c r="F12" s="86"/>
      <c r="G12" s="86"/>
    </row>
    <row r="13" spans="2:11" x14ac:dyDescent="0.3">
      <c r="B13" s="86"/>
      <c r="C13" s="86"/>
      <c r="D13" s="86"/>
      <c r="E13" s="86"/>
      <c r="F13" s="86"/>
      <c r="G13" s="86"/>
    </row>
    <row r="14" spans="2:11" x14ac:dyDescent="0.3">
      <c r="B14" s="108" t="s">
        <v>952</v>
      </c>
      <c r="C14" s="87" t="s">
        <v>953</v>
      </c>
      <c r="D14" s="87" t="s">
        <v>954</v>
      </c>
      <c r="E14" s="87" t="s">
        <v>955</v>
      </c>
      <c r="F14" s="87" t="s">
        <v>956</v>
      </c>
      <c r="G14" s="87" t="s">
        <v>957</v>
      </c>
    </row>
    <row r="15" spans="2:11" x14ac:dyDescent="0.3">
      <c r="B15" s="109" t="s">
        <v>958</v>
      </c>
      <c r="C15" s="90">
        <v>8501</v>
      </c>
      <c r="D15" s="90">
        <v>50</v>
      </c>
      <c r="E15" s="90" t="s">
        <v>966</v>
      </c>
      <c r="F15" s="90">
        <v>200</v>
      </c>
      <c r="G15" s="90">
        <f>D15*F15</f>
        <v>10000</v>
      </c>
      <c r="H15" s="11" t="s">
        <v>982</v>
      </c>
    </row>
    <row r="16" spans="2:11" x14ac:dyDescent="0.3">
      <c r="B16" s="109" t="s">
        <v>959</v>
      </c>
      <c r="C16" s="90">
        <v>8501</v>
      </c>
      <c r="D16" s="90">
        <v>5</v>
      </c>
      <c r="E16" s="90" t="s">
        <v>967</v>
      </c>
      <c r="F16" s="90">
        <v>3000</v>
      </c>
      <c r="G16" s="90">
        <f>D16*F16</f>
        <v>15000</v>
      </c>
      <c r="H16" s="11" t="s">
        <v>982</v>
      </c>
    </row>
    <row r="17" spans="2:8" x14ac:dyDescent="0.3">
      <c r="B17" s="86"/>
      <c r="C17" s="86"/>
      <c r="D17" s="86"/>
      <c r="E17" s="90"/>
      <c r="F17" s="90"/>
      <c r="G17" s="90"/>
    </row>
    <row r="18" spans="2:8" x14ac:dyDescent="0.3">
      <c r="B18" s="109" t="s">
        <v>960</v>
      </c>
      <c r="C18" s="86"/>
      <c r="D18" s="86"/>
      <c r="E18" s="90"/>
      <c r="F18" s="90"/>
      <c r="G18" s="90">
        <f>SUM(G15:G16)</f>
        <v>25000</v>
      </c>
      <c r="H18" s="11" t="s">
        <v>981</v>
      </c>
    </row>
    <row r="19" spans="2:8" x14ac:dyDescent="0.3">
      <c r="B19" s="109"/>
      <c r="C19" s="86"/>
      <c r="D19" s="86"/>
      <c r="E19" s="90"/>
      <c r="F19" s="90"/>
      <c r="G19" s="90"/>
    </row>
    <row r="20" spans="2:8" x14ac:dyDescent="0.3">
      <c r="B20" s="109" t="s">
        <v>961</v>
      </c>
      <c r="C20" s="86"/>
      <c r="D20" s="86"/>
      <c r="E20" s="90"/>
      <c r="F20" s="90"/>
      <c r="G20" s="90">
        <f>G18*20%</f>
        <v>5000</v>
      </c>
      <c r="H20" s="11" t="s">
        <v>979</v>
      </c>
    </row>
    <row r="21" spans="2:8" x14ac:dyDescent="0.3">
      <c r="B21" s="86"/>
      <c r="C21" s="86"/>
      <c r="D21" s="86"/>
      <c r="E21" s="90"/>
      <c r="F21" s="90"/>
      <c r="G21" s="90"/>
    </row>
    <row r="22" spans="2:8" x14ac:dyDescent="0.3">
      <c r="B22" s="109" t="s">
        <v>962</v>
      </c>
      <c r="C22" s="86"/>
      <c r="D22" s="86"/>
      <c r="E22" s="90"/>
      <c r="F22" s="90"/>
      <c r="G22" s="90">
        <f>G18-G20</f>
        <v>20000</v>
      </c>
      <c r="H22" s="11" t="s">
        <v>978</v>
      </c>
    </row>
    <row r="23" spans="2:8" x14ac:dyDescent="0.3">
      <c r="B23" s="109" t="s">
        <v>963</v>
      </c>
      <c r="C23" s="86"/>
      <c r="D23" s="86"/>
      <c r="E23" s="90"/>
      <c r="F23" s="91">
        <v>0.06</v>
      </c>
      <c r="G23" s="90">
        <f>G22*F23</f>
        <v>1200</v>
      </c>
      <c r="H23" s="11" t="s">
        <v>977</v>
      </c>
    </row>
    <row r="24" spans="2:8" x14ac:dyDescent="0.3">
      <c r="B24" s="109" t="s">
        <v>964</v>
      </c>
      <c r="C24" s="86"/>
      <c r="D24" s="86"/>
      <c r="E24" s="90"/>
      <c r="F24" s="91">
        <v>0.06</v>
      </c>
      <c r="G24" s="90">
        <f>G22*F24</f>
        <v>1200</v>
      </c>
      <c r="H24" s="11" t="s">
        <v>977</v>
      </c>
    </row>
    <row r="25" spans="2:8" x14ac:dyDescent="0.3">
      <c r="B25" s="109"/>
      <c r="C25" s="86"/>
      <c r="D25" s="86"/>
      <c r="E25" s="90"/>
      <c r="F25" s="91"/>
      <c r="G25" s="90"/>
    </row>
    <row r="26" spans="2:8" x14ac:dyDescent="0.3">
      <c r="B26" s="109" t="s">
        <v>965</v>
      </c>
      <c r="C26" s="86"/>
      <c r="D26" s="86"/>
      <c r="E26" s="90"/>
      <c r="F26" s="90"/>
      <c r="G26" s="90">
        <f>SUM(G22:G24)</f>
        <v>22400</v>
      </c>
      <c r="H26" s="11" t="s">
        <v>980</v>
      </c>
    </row>
    <row r="28" spans="2:8" x14ac:dyDescent="0.3">
      <c r="B28" s="11" t="s">
        <v>969</v>
      </c>
    </row>
    <row r="29" spans="2:8" x14ac:dyDescent="0.3">
      <c r="B29" s="11" t="s">
        <v>970</v>
      </c>
    </row>
    <row r="30" spans="2:8" x14ac:dyDescent="0.3">
      <c r="B30" s="11" t="s">
        <v>971</v>
      </c>
    </row>
    <row r="31" spans="2:8" x14ac:dyDescent="0.3">
      <c r="B31" s="11" t="s">
        <v>972</v>
      </c>
    </row>
    <row r="32" spans="2:8" x14ac:dyDescent="0.3">
      <c r="B32" s="11" t="s">
        <v>973</v>
      </c>
    </row>
    <row r="33" spans="2:2" x14ac:dyDescent="0.3">
      <c r="B33" s="11" t="s">
        <v>974</v>
      </c>
    </row>
  </sheetData>
  <sheetProtection formatCells="0" formatColumns="0" formatRows="0"/>
  <mergeCells count="4">
    <mergeCell ref="B1:F1"/>
    <mergeCell ref="E9:E11"/>
    <mergeCell ref="F9:G11"/>
    <mergeCell ref="F8:G8"/>
  </mergeCells>
  <pageMargins left="0.7" right="0.7" top="0.75" bottom="0.75" header="0.3" footer="0.3"/>
  <ignoredErrors>
    <ignoredError sqref="G26 G22:G24 G20 G18 G15:G16" unlockedFormula="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41971-709D-4C76-8682-81F458E93744}">
  <sheetPr codeName="Sheet49"/>
  <dimension ref="B2:G14"/>
  <sheetViews>
    <sheetView workbookViewId="0">
      <selection activeCell="G8" sqref="G8"/>
    </sheetView>
  </sheetViews>
  <sheetFormatPr defaultRowHeight="14.4" x14ac:dyDescent="0.3"/>
  <cols>
    <col min="2" max="2" width="23.6640625" customWidth="1"/>
    <col min="3" max="3" width="12" bestFit="1" customWidth="1"/>
    <col min="4" max="4" width="8.88671875" bestFit="1" customWidth="1"/>
    <col min="5" max="5" width="11.21875" bestFit="1" customWidth="1"/>
    <col min="6" max="6" width="10.5546875" bestFit="1" customWidth="1"/>
  </cols>
  <sheetData>
    <row r="2" spans="2:7" x14ac:dyDescent="0.3">
      <c r="B2" t="s">
        <v>984</v>
      </c>
    </row>
    <row r="4" spans="2:7" x14ac:dyDescent="0.3">
      <c r="B4" s="27" t="s">
        <v>313</v>
      </c>
      <c r="C4" s="27" t="s">
        <v>985</v>
      </c>
      <c r="D4" s="27" t="s">
        <v>130</v>
      </c>
      <c r="E4" s="27" t="s">
        <v>986</v>
      </c>
      <c r="F4" s="27" t="s">
        <v>987</v>
      </c>
      <c r="G4" s="27" t="s">
        <v>315</v>
      </c>
    </row>
    <row r="5" spans="2:7" x14ac:dyDescent="0.3">
      <c r="B5" s="3" t="s">
        <v>347</v>
      </c>
      <c r="C5" s="3">
        <v>30000</v>
      </c>
      <c r="D5" s="3" t="s">
        <v>351</v>
      </c>
      <c r="E5" s="3">
        <f>IF(OR(D5="Vadodara", D5="Surat"),C5*10%,0)</f>
        <v>3000</v>
      </c>
      <c r="F5" s="3">
        <f>SUM(C5+E5)</f>
        <v>33000</v>
      </c>
      <c r="G5" s="3">
        <f>IF(AND(F5&gt;40000,D5="Vadodara"),F5*10%,0)</f>
        <v>0</v>
      </c>
    </row>
    <row r="6" spans="2:7" x14ac:dyDescent="0.3">
      <c r="B6" s="3" t="s">
        <v>253</v>
      </c>
      <c r="C6" s="3">
        <v>35000</v>
      </c>
      <c r="D6" s="3" t="s">
        <v>352</v>
      </c>
      <c r="E6" s="3">
        <f t="shared" ref="E6:E9" si="0">IF(OR(D6="Vadodara", D6="Surat"),C6*10%,0)</f>
        <v>3500</v>
      </c>
      <c r="F6" s="3">
        <f t="shared" ref="F6:F9" si="1">SUM(C6+E6)</f>
        <v>38500</v>
      </c>
      <c r="G6" s="3">
        <f t="shared" ref="G6:G9" si="2">IF(AND(F6&gt;40000,D6="Vadodara"),F6*10%,0)</f>
        <v>0</v>
      </c>
    </row>
    <row r="7" spans="2:7" x14ac:dyDescent="0.3">
      <c r="B7" s="3" t="s">
        <v>252</v>
      </c>
      <c r="C7" s="3">
        <v>40000</v>
      </c>
      <c r="D7" s="3" t="s">
        <v>351</v>
      </c>
      <c r="E7" s="3">
        <f t="shared" si="0"/>
        <v>4000</v>
      </c>
      <c r="F7" s="3">
        <f t="shared" si="1"/>
        <v>44000</v>
      </c>
      <c r="G7" s="3">
        <f>IF(AND(F7&gt;40000,D7="Vadodara"),F7*10%,0)</f>
        <v>4400</v>
      </c>
    </row>
    <row r="8" spans="2:7" x14ac:dyDescent="0.3">
      <c r="B8" s="3" t="s">
        <v>988</v>
      </c>
      <c r="C8" s="3">
        <v>25000</v>
      </c>
      <c r="D8" s="3" t="s">
        <v>990</v>
      </c>
      <c r="E8" s="3">
        <f t="shared" si="0"/>
        <v>0</v>
      </c>
      <c r="F8" s="3">
        <f t="shared" si="1"/>
        <v>25000</v>
      </c>
      <c r="G8" s="3">
        <f t="shared" si="2"/>
        <v>0</v>
      </c>
    </row>
    <row r="9" spans="2:7" x14ac:dyDescent="0.3">
      <c r="B9" s="3" t="s">
        <v>989</v>
      </c>
      <c r="C9" s="3">
        <v>32000</v>
      </c>
      <c r="D9" s="3" t="s">
        <v>352</v>
      </c>
      <c r="E9" s="3">
        <f t="shared" si="0"/>
        <v>3200</v>
      </c>
      <c r="F9" s="3">
        <f t="shared" si="1"/>
        <v>35200</v>
      </c>
      <c r="G9" s="3">
        <f t="shared" si="2"/>
        <v>0</v>
      </c>
    </row>
    <row r="10" spans="2:7" x14ac:dyDescent="0.3">
      <c r="E10" s="85" t="s">
        <v>995</v>
      </c>
      <c r="F10" s="85" t="s">
        <v>189</v>
      </c>
      <c r="G10" s="85" t="s">
        <v>994</v>
      </c>
    </row>
    <row r="11" spans="2:7" x14ac:dyDescent="0.3">
      <c r="B11" s="11" t="s">
        <v>991</v>
      </c>
      <c r="E11" s="1"/>
      <c r="F11" s="1"/>
      <c r="G11" s="1"/>
    </row>
    <row r="12" spans="2:7" x14ac:dyDescent="0.3">
      <c r="B12" s="11" t="s">
        <v>1056</v>
      </c>
    </row>
    <row r="13" spans="2:7" x14ac:dyDescent="0.3">
      <c r="B13" s="11" t="s">
        <v>992</v>
      </c>
    </row>
    <row r="14" spans="2:7" x14ac:dyDescent="0.3">
      <c r="B14" s="11" t="s">
        <v>993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A8C5-079C-4AA9-85A0-F68B92CF7DEA}">
  <sheetPr codeName="Sheet50"/>
  <dimension ref="A1:H368"/>
  <sheetViews>
    <sheetView workbookViewId="0">
      <selection activeCell="L5" sqref="L5"/>
    </sheetView>
  </sheetViews>
  <sheetFormatPr defaultRowHeight="14.4" x14ac:dyDescent="0.3"/>
  <cols>
    <col min="1" max="1" width="5.77734375" bestFit="1" customWidth="1"/>
    <col min="2" max="2" width="13.33203125" bestFit="1" customWidth="1"/>
    <col min="3" max="3" width="15.44140625" customWidth="1"/>
    <col min="5" max="5" width="15" customWidth="1"/>
    <col min="7" max="7" width="11" bestFit="1" customWidth="1"/>
    <col min="8" max="8" width="12.33203125" bestFit="1" customWidth="1"/>
  </cols>
  <sheetData>
    <row r="1" spans="1:8" x14ac:dyDescent="0.3">
      <c r="A1" s="130" t="s">
        <v>1010</v>
      </c>
      <c r="B1" s="130"/>
      <c r="C1" s="130"/>
      <c r="D1" s="130"/>
      <c r="E1" s="130"/>
      <c r="F1" s="130"/>
      <c r="G1" s="130"/>
      <c r="H1" s="130"/>
    </row>
    <row r="2" spans="1:8" ht="18" x14ac:dyDescent="0.35">
      <c r="A2" s="92" t="s">
        <v>996</v>
      </c>
      <c r="B2" s="93" t="s">
        <v>457</v>
      </c>
      <c r="C2" s="94" t="s">
        <v>997</v>
      </c>
      <c r="D2" s="94" t="s">
        <v>579</v>
      </c>
      <c r="E2" s="94" t="s">
        <v>510</v>
      </c>
      <c r="F2" s="95" t="s">
        <v>41</v>
      </c>
      <c r="G2" s="95" t="s">
        <v>998</v>
      </c>
      <c r="H2" s="95" t="s">
        <v>43</v>
      </c>
    </row>
    <row r="3" spans="1:8" ht="18" x14ac:dyDescent="0.35">
      <c r="A3" s="96">
        <v>1</v>
      </c>
      <c r="B3" s="97">
        <v>44197</v>
      </c>
      <c r="C3" s="98" t="s">
        <v>999</v>
      </c>
      <c r="D3" s="98" t="s">
        <v>1000</v>
      </c>
      <c r="E3" s="98" t="s">
        <v>50</v>
      </c>
      <c r="F3" s="99">
        <v>7</v>
      </c>
      <c r="G3" s="99">
        <v>210</v>
      </c>
      <c r="H3" s="99">
        <v>1470</v>
      </c>
    </row>
    <row r="4" spans="1:8" ht="18" x14ac:dyDescent="0.35">
      <c r="A4" s="96">
        <v>2</v>
      </c>
      <c r="B4" s="97">
        <v>44198</v>
      </c>
      <c r="C4" s="98" t="s">
        <v>1001</v>
      </c>
      <c r="D4" s="98" t="s">
        <v>1002</v>
      </c>
      <c r="E4" s="98" t="s">
        <v>245</v>
      </c>
      <c r="F4" s="99">
        <v>6</v>
      </c>
      <c r="G4" s="99">
        <v>2100</v>
      </c>
      <c r="H4" s="99">
        <v>12600</v>
      </c>
    </row>
    <row r="5" spans="1:8" ht="18" x14ac:dyDescent="0.35">
      <c r="A5" s="96">
        <v>3</v>
      </c>
      <c r="B5" s="97">
        <v>44199</v>
      </c>
      <c r="C5" s="98" t="s">
        <v>1003</v>
      </c>
      <c r="D5" s="98" t="s">
        <v>1000</v>
      </c>
      <c r="E5" s="98" t="s">
        <v>246</v>
      </c>
      <c r="F5" s="99">
        <v>5</v>
      </c>
      <c r="G5" s="99">
        <v>1200</v>
      </c>
      <c r="H5" s="99">
        <v>6000</v>
      </c>
    </row>
    <row r="6" spans="1:8" ht="18" x14ac:dyDescent="0.35">
      <c r="A6" s="96">
        <v>4</v>
      </c>
      <c r="B6" s="97">
        <v>44200</v>
      </c>
      <c r="C6" s="98" t="s">
        <v>988</v>
      </c>
      <c r="D6" s="98" t="s">
        <v>1002</v>
      </c>
      <c r="E6" s="98" t="s">
        <v>1004</v>
      </c>
      <c r="F6" s="99">
        <v>4</v>
      </c>
      <c r="G6" s="99">
        <v>1500</v>
      </c>
      <c r="H6" s="99">
        <v>6000</v>
      </c>
    </row>
    <row r="7" spans="1:8" ht="18" x14ac:dyDescent="0.35">
      <c r="A7" s="96">
        <v>5</v>
      </c>
      <c r="B7" s="97">
        <v>44201</v>
      </c>
      <c r="C7" s="98" t="s">
        <v>1005</v>
      </c>
      <c r="D7" s="98" t="s">
        <v>1000</v>
      </c>
      <c r="E7" s="98" t="s">
        <v>1006</v>
      </c>
      <c r="F7" s="99">
        <v>3</v>
      </c>
      <c r="G7" s="99">
        <v>300</v>
      </c>
      <c r="H7" s="99">
        <v>900</v>
      </c>
    </row>
    <row r="8" spans="1:8" ht="18" x14ac:dyDescent="0.35">
      <c r="A8" s="96">
        <v>6</v>
      </c>
      <c r="B8" s="97">
        <v>44202</v>
      </c>
      <c r="C8" s="98" t="s">
        <v>1007</v>
      </c>
      <c r="D8" s="98" t="s">
        <v>1000</v>
      </c>
      <c r="E8" s="98" t="s">
        <v>49</v>
      </c>
      <c r="F8" s="99">
        <v>2</v>
      </c>
      <c r="G8" s="99">
        <v>190</v>
      </c>
      <c r="H8" s="99">
        <v>380</v>
      </c>
    </row>
    <row r="9" spans="1:8" ht="18" x14ac:dyDescent="0.35">
      <c r="A9" s="96">
        <v>7</v>
      </c>
      <c r="B9" s="97">
        <v>44203</v>
      </c>
      <c r="C9" s="98" t="s">
        <v>999</v>
      </c>
      <c r="D9" s="98" t="s">
        <v>1000</v>
      </c>
      <c r="E9" s="98" t="s">
        <v>50</v>
      </c>
      <c r="F9" s="99">
        <v>7</v>
      </c>
      <c r="G9" s="99">
        <v>210</v>
      </c>
      <c r="H9" s="99">
        <v>1470</v>
      </c>
    </row>
    <row r="10" spans="1:8" ht="18" x14ac:dyDescent="0.35">
      <c r="A10" s="96">
        <v>8</v>
      </c>
      <c r="B10" s="97">
        <v>44204</v>
      </c>
      <c r="C10" s="98" t="s">
        <v>1001</v>
      </c>
      <c r="D10" s="98" t="s">
        <v>1002</v>
      </c>
      <c r="E10" s="98" t="s">
        <v>245</v>
      </c>
      <c r="F10" s="99">
        <v>6</v>
      </c>
      <c r="G10" s="99">
        <v>2100</v>
      </c>
      <c r="H10" s="99">
        <v>12600</v>
      </c>
    </row>
    <row r="11" spans="1:8" ht="18" x14ac:dyDescent="0.35">
      <c r="A11" s="96">
        <v>9</v>
      </c>
      <c r="B11" s="97">
        <v>44205</v>
      </c>
      <c r="C11" s="98" t="s">
        <v>1003</v>
      </c>
      <c r="D11" s="98" t="s">
        <v>1002</v>
      </c>
      <c r="E11" s="98" t="s">
        <v>246</v>
      </c>
      <c r="F11" s="99">
        <v>5</v>
      </c>
      <c r="G11" s="99">
        <v>1200</v>
      </c>
      <c r="H11" s="99">
        <v>6000</v>
      </c>
    </row>
    <row r="12" spans="1:8" ht="18" x14ac:dyDescent="0.35">
      <c r="A12" s="96">
        <v>10</v>
      </c>
      <c r="B12" s="97">
        <v>44206</v>
      </c>
      <c r="C12" s="98" t="s">
        <v>988</v>
      </c>
      <c r="D12" s="98" t="s">
        <v>1000</v>
      </c>
      <c r="E12" s="98" t="s">
        <v>1004</v>
      </c>
      <c r="F12" s="99">
        <v>4</v>
      </c>
      <c r="G12" s="99">
        <v>1500</v>
      </c>
      <c r="H12" s="99">
        <v>6000</v>
      </c>
    </row>
    <row r="13" spans="1:8" ht="18" x14ac:dyDescent="0.35">
      <c r="A13" s="96">
        <v>11</v>
      </c>
      <c r="B13" s="97">
        <v>44207</v>
      </c>
      <c r="C13" s="98" t="s">
        <v>1005</v>
      </c>
      <c r="D13" s="98" t="s">
        <v>1000</v>
      </c>
      <c r="E13" s="98" t="s">
        <v>1006</v>
      </c>
      <c r="F13" s="99">
        <v>3</v>
      </c>
      <c r="G13" s="99">
        <v>300</v>
      </c>
      <c r="H13" s="99">
        <v>900</v>
      </c>
    </row>
    <row r="14" spans="1:8" ht="18" x14ac:dyDescent="0.35">
      <c r="A14" s="96">
        <v>12</v>
      </c>
      <c r="B14" s="97">
        <v>44208</v>
      </c>
      <c r="C14" s="98" t="s">
        <v>1007</v>
      </c>
      <c r="D14" s="98" t="s">
        <v>1002</v>
      </c>
      <c r="E14" s="98" t="s">
        <v>49</v>
      </c>
      <c r="F14" s="99">
        <v>2</v>
      </c>
      <c r="G14" s="99">
        <v>190</v>
      </c>
      <c r="H14" s="99">
        <v>380</v>
      </c>
    </row>
    <row r="15" spans="1:8" ht="18" x14ac:dyDescent="0.35">
      <c r="A15" s="96">
        <v>13</v>
      </c>
      <c r="B15" s="97">
        <v>44209</v>
      </c>
      <c r="C15" s="98" t="s">
        <v>1007</v>
      </c>
      <c r="D15" s="98" t="s">
        <v>1000</v>
      </c>
      <c r="E15" s="98" t="s">
        <v>50</v>
      </c>
      <c r="F15" s="99">
        <v>2</v>
      </c>
      <c r="G15" s="99">
        <v>210</v>
      </c>
      <c r="H15" s="99">
        <v>420</v>
      </c>
    </row>
    <row r="16" spans="1:8" ht="18" x14ac:dyDescent="0.35">
      <c r="A16" s="96">
        <v>14</v>
      </c>
      <c r="B16" s="97">
        <v>44210</v>
      </c>
      <c r="C16" s="98" t="s">
        <v>999</v>
      </c>
      <c r="D16" s="98" t="s">
        <v>1000</v>
      </c>
      <c r="E16" s="98" t="s">
        <v>245</v>
      </c>
      <c r="F16" s="99">
        <v>7</v>
      </c>
      <c r="G16" s="99">
        <v>2100</v>
      </c>
      <c r="H16" s="99">
        <v>14700</v>
      </c>
    </row>
    <row r="17" spans="1:8" ht="18" x14ac:dyDescent="0.35">
      <c r="A17" s="96">
        <v>15</v>
      </c>
      <c r="B17" s="97">
        <v>44211</v>
      </c>
      <c r="C17" s="98" t="s">
        <v>1001</v>
      </c>
      <c r="D17" s="98" t="s">
        <v>1000</v>
      </c>
      <c r="E17" s="98" t="s">
        <v>246</v>
      </c>
      <c r="F17" s="99">
        <v>6</v>
      </c>
      <c r="G17" s="99">
        <v>1200</v>
      </c>
      <c r="H17" s="99">
        <v>7200</v>
      </c>
    </row>
    <row r="18" spans="1:8" ht="18" x14ac:dyDescent="0.35">
      <c r="A18" s="96">
        <v>16</v>
      </c>
      <c r="B18" s="97">
        <v>44212</v>
      </c>
      <c r="C18" s="98" t="s">
        <v>1003</v>
      </c>
      <c r="D18" s="98" t="s">
        <v>1000</v>
      </c>
      <c r="E18" s="98" t="s">
        <v>1004</v>
      </c>
      <c r="F18" s="99">
        <v>5</v>
      </c>
      <c r="G18" s="99">
        <v>1500</v>
      </c>
      <c r="H18" s="99">
        <v>7500</v>
      </c>
    </row>
    <row r="19" spans="1:8" ht="18" x14ac:dyDescent="0.35">
      <c r="A19" s="96">
        <v>17</v>
      </c>
      <c r="B19" s="97">
        <v>44213</v>
      </c>
      <c r="C19" s="98" t="s">
        <v>988</v>
      </c>
      <c r="D19" s="98" t="s">
        <v>1000</v>
      </c>
      <c r="E19" s="98" t="s">
        <v>1006</v>
      </c>
      <c r="F19" s="99">
        <v>4</v>
      </c>
      <c r="G19" s="99">
        <v>300</v>
      </c>
      <c r="H19" s="99">
        <v>1200</v>
      </c>
    </row>
    <row r="20" spans="1:8" ht="18" x14ac:dyDescent="0.35">
      <c r="A20" s="96">
        <v>18</v>
      </c>
      <c r="B20" s="97">
        <v>44214</v>
      </c>
      <c r="C20" s="98" t="s">
        <v>1005</v>
      </c>
      <c r="D20" s="98" t="s">
        <v>1000</v>
      </c>
      <c r="E20" s="98" t="s">
        <v>49</v>
      </c>
      <c r="F20" s="99">
        <v>3</v>
      </c>
      <c r="G20" s="99">
        <v>190</v>
      </c>
      <c r="H20" s="99">
        <v>570</v>
      </c>
    </row>
    <row r="21" spans="1:8" ht="18" x14ac:dyDescent="0.35">
      <c r="A21" s="96">
        <v>19</v>
      </c>
      <c r="B21" s="97">
        <v>44215</v>
      </c>
      <c r="C21" s="98" t="s">
        <v>1007</v>
      </c>
      <c r="D21" s="98" t="s">
        <v>1000</v>
      </c>
      <c r="E21" s="98" t="s">
        <v>50</v>
      </c>
      <c r="F21" s="99">
        <v>2</v>
      </c>
      <c r="G21" s="99">
        <v>210</v>
      </c>
      <c r="H21" s="99">
        <v>420</v>
      </c>
    </row>
    <row r="22" spans="1:8" ht="18" x14ac:dyDescent="0.35">
      <c r="A22" s="96">
        <v>20</v>
      </c>
      <c r="B22" s="97">
        <v>44216</v>
      </c>
      <c r="C22" s="98" t="s">
        <v>999</v>
      </c>
      <c r="D22" s="98" t="s">
        <v>1000</v>
      </c>
      <c r="E22" s="98" t="s">
        <v>246</v>
      </c>
      <c r="F22" s="99">
        <v>7</v>
      </c>
      <c r="G22" s="99">
        <v>2100</v>
      </c>
      <c r="H22" s="99">
        <v>14700</v>
      </c>
    </row>
    <row r="23" spans="1:8" ht="18" x14ac:dyDescent="0.35">
      <c r="A23" s="96">
        <v>21</v>
      </c>
      <c r="B23" s="97">
        <v>44217</v>
      </c>
      <c r="C23" s="98" t="s">
        <v>1001</v>
      </c>
      <c r="D23" s="98" t="s">
        <v>1002</v>
      </c>
      <c r="E23" s="98" t="s">
        <v>1004</v>
      </c>
      <c r="F23" s="99">
        <v>6</v>
      </c>
      <c r="G23" s="99">
        <v>1200</v>
      </c>
      <c r="H23" s="99">
        <v>7200</v>
      </c>
    </row>
    <row r="24" spans="1:8" ht="18" x14ac:dyDescent="0.35">
      <c r="A24" s="96">
        <v>22</v>
      </c>
      <c r="B24" s="97">
        <v>44218</v>
      </c>
      <c r="C24" s="98" t="s">
        <v>1003</v>
      </c>
      <c r="D24" s="98" t="s">
        <v>1000</v>
      </c>
      <c r="E24" s="98" t="s">
        <v>1006</v>
      </c>
      <c r="F24" s="99">
        <v>5</v>
      </c>
      <c r="G24" s="99">
        <v>300</v>
      </c>
      <c r="H24" s="99">
        <v>1500</v>
      </c>
    </row>
    <row r="25" spans="1:8" ht="18" x14ac:dyDescent="0.35">
      <c r="A25" s="96">
        <v>23</v>
      </c>
      <c r="B25" s="97">
        <v>44219</v>
      </c>
      <c r="C25" s="98" t="s">
        <v>988</v>
      </c>
      <c r="D25" s="98" t="s">
        <v>1002</v>
      </c>
      <c r="E25" s="98" t="s">
        <v>49</v>
      </c>
      <c r="F25" s="99">
        <v>4</v>
      </c>
      <c r="G25" s="99">
        <v>200</v>
      </c>
      <c r="H25" s="99">
        <v>800</v>
      </c>
    </row>
    <row r="26" spans="1:8" ht="18" x14ac:dyDescent="0.35">
      <c r="A26" s="96">
        <v>24</v>
      </c>
      <c r="B26" s="97">
        <v>44220</v>
      </c>
      <c r="C26" s="98" t="s">
        <v>1005</v>
      </c>
      <c r="D26" s="98" t="s">
        <v>1000</v>
      </c>
      <c r="E26" s="98" t="s">
        <v>50</v>
      </c>
      <c r="F26" s="99">
        <v>3</v>
      </c>
      <c r="G26" s="99">
        <v>190</v>
      </c>
      <c r="H26" s="99">
        <v>570</v>
      </c>
    </row>
    <row r="27" spans="1:8" ht="18" x14ac:dyDescent="0.35">
      <c r="A27" s="96">
        <v>25</v>
      </c>
      <c r="B27" s="97">
        <v>44221</v>
      </c>
      <c r="C27" s="98" t="s">
        <v>1007</v>
      </c>
      <c r="D27" s="98" t="s">
        <v>1000</v>
      </c>
      <c r="E27" s="98" t="s">
        <v>245</v>
      </c>
      <c r="F27" s="99">
        <v>2</v>
      </c>
      <c r="G27" s="99">
        <v>2100</v>
      </c>
      <c r="H27" s="99">
        <v>4200</v>
      </c>
    </row>
    <row r="28" spans="1:8" ht="18" x14ac:dyDescent="0.35">
      <c r="A28" s="96">
        <v>26</v>
      </c>
      <c r="B28" s="97">
        <v>44222</v>
      </c>
      <c r="C28" s="98" t="s">
        <v>1007</v>
      </c>
      <c r="D28" s="98" t="s">
        <v>1000</v>
      </c>
      <c r="E28" s="98" t="s">
        <v>50</v>
      </c>
      <c r="F28" s="99">
        <v>7</v>
      </c>
      <c r="G28" s="99">
        <v>210</v>
      </c>
      <c r="H28" s="99">
        <v>1470</v>
      </c>
    </row>
    <row r="29" spans="1:8" ht="18" x14ac:dyDescent="0.35">
      <c r="A29" s="96">
        <v>27</v>
      </c>
      <c r="B29" s="97">
        <v>44223</v>
      </c>
      <c r="C29" s="98" t="s">
        <v>999</v>
      </c>
      <c r="D29" s="98" t="s">
        <v>1000</v>
      </c>
      <c r="E29" s="98" t="s">
        <v>245</v>
      </c>
      <c r="F29" s="99">
        <v>6</v>
      </c>
      <c r="G29" s="99">
        <v>2100</v>
      </c>
      <c r="H29" s="99">
        <v>12600</v>
      </c>
    </row>
    <row r="30" spans="1:8" ht="18" x14ac:dyDescent="0.35">
      <c r="A30" s="96">
        <v>28</v>
      </c>
      <c r="B30" s="97">
        <v>44224</v>
      </c>
      <c r="C30" s="98" t="s">
        <v>999</v>
      </c>
      <c r="D30" s="98" t="s">
        <v>1002</v>
      </c>
      <c r="E30" s="98" t="s">
        <v>50</v>
      </c>
      <c r="F30" s="99">
        <v>7</v>
      </c>
      <c r="G30" s="99">
        <v>210</v>
      </c>
      <c r="H30" s="99">
        <v>1470</v>
      </c>
    </row>
    <row r="31" spans="1:8" ht="18" x14ac:dyDescent="0.35">
      <c r="A31" s="96">
        <v>29</v>
      </c>
      <c r="B31" s="97">
        <v>44225</v>
      </c>
      <c r="C31" s="98" t="s">
        <v>999</v>
      </c>
      <c r="D31" s="98" t="s">
        <v>1008</v>
      </c>
      <c r="E31" s="98" t="s">
        <v>50</v>
      </c>
      <c r="F31" s="99">
        <v>7</v>
      </c>
      <c r="G31" s="99">
        <v>210</v>
      </c>
      <c r="H31" s="99">
        <v>1470</v>
      </c>
    </row>
    <row r="32" spans="1:8" ht="18" x14ac:dyDescent="0.35">
      <c r="A32" s="96">
        <v>30</v>
      </c>
      <c r="B32" s="97">
        <v>44226</v>
      </c>
      <c r="C32" s="98" t="s">
        <v>999</v>
      </c>
      <c r="D32" s="98" t="s">
        <v>1009</v>
      </c>
      <c r="E32" s="98" t="s">
        <v>50</v>
      </c>
      <c r="F32" s="99">
        <v>7</v>
      </c>
      <c r="G32" s="99">
        <v>210</v>
      </c>
      <c r="H32" s="99">
        <v>1470</v>
      </c>
    </row>
    <row r="33" spans="1:8" ht="18" x14ac:dyDescent="0.35">
      <c r="A33" s="96">
        <v>31</v>
      </c>
      <c r="B33" s="97">
        <v>44227</v>
      </c>
      <c r="C33" s="98" t="s">
        <v>999</v>
      </c>
      <c r="D33" s="98" t="s">
        <v>1000</v>
      </c>
      <c r="E33" s="98" t="s">
        <v>50</v>
      </c>
      <c r="F33" s="99">
        <v>7</v>
      </c>
      <c r="G33" s="99">
        <v>210</v>
      </c>
      <c r="H33" s="99">
        <v>1470</v>
      </c>
    </row>
    <row r="34" spans="1:8" ht="18" x14ac:dyDescent="0.35">
      <c r="A34" s="96">
        <v>32</v>
      </c>
      <c r="B34" s="97">
        <v>44228</v>
      </c>
      <c r="C34" s="98" t="s">
        <v>999</v>
      </c>
      <c r="D34" s="98" t="s">
        <v>1002</v>
      </c>
      <c r="E34" s="98" t="s">
        <v>50</v>
      </c>
      <c r="F34" s="99">
        <v>7</v>
      </c>
      <c r="G34" s="99">
        <v>210</v>
      </c>
      <c r="H34" s="99">
        <v>1470</v>
      </c>
    </row>
    <row r="35" spans="1:8" ht="18" x14ac:dyDescent="0.35">
      <c r="A35" s="96">
        <v>33</v>
      </c>
      <c r="B35" s="97">
        <v>44229</v>
      </c>
      <c r="C35" s="98" t="s">
        <v>999</v>
      </c>
      <c r="D35" s="98" t="s">
        <v>1008</v>
      </c>
      <c r="E35" s="98" t="s">
        <v>50</v>
      </c>
      <c r="F35" s="99">
        <v>7</v>
      </c>
      <c r="G35" s="99">
        <v>210</v>
      </c>
      <c r="H35" s="99">
        <v>1470</v>
      </c>
    </row>
    <row r="36" spans="1:8" ht="18" x14ac:dyDescent="0.35">
      <c r="A36" s="96">
        <v>34</v>
      </c>
      <c r="B36" s="97">
        <v>44230</v>
      </c>
      <c r="C36" s="98" t="s">
        <v>999</v>
      </c>
      <c r="D36" s="98" t="s">
        <v>1009</v>
      </c>
      <c r="E36" s="98" t="s">
        <v>50</v>
      </c>
      <c r="F36" s="99">
        <v>7</v>
      </c>
      <c r="G36" s="99">
        <v>210</v>
      </c>
      <c r="H36" s="99">
        <v>1470</v>
      </c>
    </row>
    <row r="37" spans="1:8" ht="18" x14ac:dyDescent="0.35">
      <c r="A37" s="96">
        <v>35</v>
      </c>
      <c r="B37" s="97">
        <v>44231</v>
      </c>
      <c r="C37" s="98" t="s">
        <v>1001</v>
      </c>
      <c r="D37" s="98" t="s">
        <v>1002</v>
      </c>
      <c r="E37" s="98" t="s">
        <v>50</v>
      </c>
      <c r="F37" s="99">
        <v>7</v>
      </c>
      <c r="G37" s="99">
        <v>210</v>
      </c>
      <c r="H37" s="99">
        <v>1470</v>
      </c>
    </row>
    <row r="38" spans="1:8" ht="18" x14ac:dyDescent="0.35">
      <c r="A38" s="96">
        <v>36</v>
      </c>
      <c r="B38" s="97">
        <v>44232</v>
      </c>
      <c r="C38" s="98" t="s">
        <v>1001</v>
      </c>
      <c r="D38" s="98" t="s">
        <v>1000</v>
      </c>
      <c r="E38" s="98" t="s">
        <v>50</v>
      </c>
      <c r="F38" s="99">
        <v>7</v>
      </c>
      <c r="G38" s="99">
        <v>210</v>
      </c>
      <c r="H38" s="99">
        <v>1470</v>
      </c>
    </row>
    <row r="39" spans="1:8" ht="18" x14ac:dyDescent="0.35">
      <c r="A39" s="96">
        <v>37</v>
      </c>
      <c r="B39" s="97">
        <v>44233</v>
      </c>
      <c r="C39" s="98" t="s">
        <v>1001</v>
      </c>
      <c r="D39" s="98" t="s">
        <v>1008</v>
      </c>
      <c r="E39" s="98" t="s">
        <v>49</v>
      </c>
      <c r="F39" s="99">
        <v>2</v>
      </c>
      <c r="G39" s="99">
        <v>190</v>
      </c>
      <c r="H39" s="99">
        <v>380</v>
      </c>
    </row>
    <row r="40" spans="1:8" ht="18" x14ac:dyDescent="0.35">
      <c r="A40" s="96">
        <v>38</v>
      </c>
      <c r="B40" s="97">
        <v>44234</v>
      </c>
      <c r="C40" s="98" t="s">
        <v>1001</v>
      </c>
      <c r="D40" s="98" t="s">
        <v>1009</v>
      </c>
      <c r="E40" s="98" t="s">
        <v>50</v>
      </c>
      <c r="F40" s="99">
        <v>2</v>
      </c>
      <c r="G40" s="99">
        <v>210</v>
      </c>
      <c r="H40" s="99">
        <v>420</v>
      </c>
    </row>
    <row r="41" spans="1:8" ht="18" x14ac:dyDescent="0.35">
      <c r="A41" s="96">
        <v>39</v>
      </c>
      <c r="B41" s="97">
        <v>44235</v>
      </c>
      <c r="C41" s="98" t="s">
        <v>1001</v>
      </c>
      <c r="D41" s="98" t="s">
        <v>1002</v>
      </c>
      <c r="E41" s="98" t="s">
        <v>245</v>
      </c>
      <c r="F41" s="99">
        <v>7</v>
      </c>
      <c r="G41" s="99">
        <v>2100</v>
      </c>
      <c r="H41" s="99">
        <v>14700</v>
      </c>
    </row>
    <row r="42" spans="1:8" ht="18" x14ac:dyDescent="0.35">
      <c r="A42" s="96">
        <v>40</v>
      </c>
      <c r="B42" s="97">
        <v>44236</v>
      </c>
      <c r="C42" s="98" t="s">
        <v>1001</v>
      </c>
      <c r="D42" s="98" t="s">
        <v>1000</v>
      </c>
      <c r="E42" s="98" t="s">
        <v>246</v>
      </c>
      <c r="F42" s="99">
        <v>6</v>
      </c>
      <c r="G42" s="99">
        <v>1200</v>
      </c>
      <c r="H42" s="99">
        <v>7200</v>
      </c>
    </row>
    <row r="43" spans="1:8" ht="18" x14ac:dyDescent="0.35">
      <c r="A43" s="96">
        <v>41</v>
      </c>
      <c r="B43" s="97">
        <v>44237</v>
      </c>
      <c r="C43" s="98" t="s">
        <v>1001</v>
      </c>
      <c r="D43" s="98" t="s">
        <v>1008</v>
      </c>
      <c r="E43" s="98" t="s">
        <v>245</v>
      </c>
      <c r="F43" s="99">
        <v>7</v>
      </c>
      <c r="G43" s="99">
        <v>2100</v>
      </c>
      <c r="H43" s="99">
        <v>14700</v>
      </c>
    </row>
    <row r="44" spans="1:8" ht="18" x14ac:dyDescent="0.35">
      <c r="A44" s="96">
        <v>42</v>
      </c>
      <c r="B44" s="97">
        <v>44238</v>
      </c>
      <c r="C44" s="98" t="s">
        <v>1001</v>
      </c>
      <c r="D44" s="98" t="s">
        <v>1009</v>
      </c>
      <c r="E44" s="98" t="s">
        <v>245</v>
      </c>
      <c r="F44" s="99">
        <v>7</v>
      </c>
      <c r="G44" s="99">
        <v>2100</v>
      </c>
      <c r="H44" s="99">
        <v>14700</v>
      </c>
    </row>
    <row r="45" spans="1:8" ht="18" x14ac:dyDescent="0.35">
      <c r="A45" s="96">
        <v>43</v>
      </c>
      <c r="B45" s="97">
        <v>44239</v>
      </c>
      <c r="C45" s="98" t="s">
        <v>1003</v>
      </c>
      <c r="D45" s="98" t="s">
        <v>1009</v>
      </c>
      <c r="E45" s="98" t="s">
        <v>245</v>
      </c>
      <c r="F45" s="99">
        <v>7</v>
      </c>
      <c r="G45" s="99">
        <v>2100</v>
      </c>
      <c r="H45" s="99">
        <v>14700</v>
      </c>
    </row>
    <row r="46" spans="1:8" ht="18" x14ac:dyDescent="0.35">
      <c r="A46" s="96">
        <v>44</v>
      </c>
      <c r="B46" s="97">
        <v>44240</v>
      </c>
      <c r="C46" s="98" t="s">
        <v>988</v>
      </c>
      <c r="D46" s="98" t="s">
        <v>1009</v>
      </c>
      <c r="E46" s="98" t="s">
        <v>245</v>
      </c>
      <c r="F46" s="99">
        <v>7</v>
      </c>
      <c r="G46" s="99">
        <v>2100</v>
      </c>
      <c r="H46" s="99">
        <v>14700</v>
      </c>
    </row>
    <row r="47" spans="1:8" ht="18" x14ac:dyDescent="0.35">
      <c r="A47" s="96">
        <v>45</v>
      </c>
      <c r="B47" s="97">
        <v>44241</v>
      </c>
      <c r="C47" s="98" t="s">
        <v>1005</v>
      </c>
      <c r="D47" s="98" t="s">
        <v>1009</v>
      </c>
      <c r="E47" s="98" t="s">
        <v>245</v>
      </c>
      <c r="F47" s="99">
        <v>7</v>
      </c>
      <c r="G47" s="99">
        <v>2100</v>
      </c>
      <c r="H47" s="99">
        <v>14700</v>
      </c>
    </row>
    <row r="48" spans="1:8" ht="18" x14ac:dyDescent="0.35">
      <c r="A48" s="96">
        <v>46</v>
      </c>
      <c r="B48" s="97">
        <v>44242</v>
      </c>
      <c r="C48" s="98" t="s">
        <v>1007</v>
      </c>
      <c r="D48" s="98" t="s">
        <v>1009</v>
      </c>
      <c r="E48" s="98" t="s">
        <v>245</v>
      </c>
      <c r="F48" s="99">
        <v>7</v>
      </c>
      <c r="G48" s="99">
        <v>2100</v>
      </c>
      <c r="H48" s="99">
        <v>14700</v>
      </c>
    </row>
    <row r="49" spans="1:8" ht="18" x14ac:dyDescent="0.35">
      <c r="A49" s="96">
        <v>47</v>
      </c>
      <c r="B49" s="97">
        <v>44243</v>
      </c>
      <c r="C49" s="98" t="s">
        <v>1007</v>
      </c>
      <c r="D49" s="98" t="s">
        <v>1000</v>
      </c>
      <c r="E49" s="98" t="s">
        <v>245</v>
      </c>
      <c r="F49" s="99">
        <v>7</v>
      </c>
      <c r="G49" s="99">
        <v>2100</v>
      </c>
      <c r="H49" s="99">
        <v>14700</v>
      </c>
    </row>
    <row r="50" spans="1:8" ht="18" x14ac:dyDescent="0.35">
      <c r="A50" s="96">
        <v>48</v>
      </c>
      <c r="B50" s="97">
        <v>44244</v>
      </c>
      <c r="C50" s="98" t="s">
        <v>1007</v>
      </c>
      <c r="D50" s="98" t="s">
        <v>1002</v>
      </c>
      <c r="E50" s="98" t="s">
        <v>245</v>
      </c>
      <c r="F50" s="99">
        <v>7</v>
      </c>
      <c r="G50" s="99">
        <v>2100</v>
      </c>
      <c r="H50" s="99">
        <v>14700</v>
      </c>
    </row>
    <row r="51" spans="1:8" ht="18" x14ac:dyDescent="0.35">
      <c r="A51" s="96">
        <v>49</v>
      </c>
      <c r="B51" s="97">
        <v>44245</v>
      </c>
      <c r="C51" s="98" t="s">
        <v>1007</v>
      </c>
      <c r="D51" s="98" t="s">
        <v>1008</v>
      </c>
      <c r="E51" s="98" t="s">
        <v>245</v>
      </c>
      <c r="F51" s="99">
        <v>7</v>
      </c>
      <c r="G51" s="99">
        <v>2100</v>
      </c>
      <c r="H51" s="99">
        <v>14700</v>
      </c>
    </row>
    <row r="52" spans="1:8" ht="18" x14ac:dyDescent="0.35">
      <c r="A52" s="96">
        <v>50</v>
      </c>
      <c r="B52" s="97">
        <v>44246</v>
      </c>
      <c r="C52" s="98" t="s">
        <v>1007</v>
      </c>
      <c r="D52" s="98" t="s">
        <v>1009</v>
      </c>
      <c r="E52" s="98" t="s">
        <v>245</v>
      </c>
      <c r="F52" s="99">
        <v>7</v>
      </c>
      <c r="G52" s="99">
        <v>2100</v>
      </c>
      <c r="H52" s="99">
        <v>14700</v>
      </c>
    </row>
    <row r="53" spans="1:8" ht="18" x14ac:dyDescent="0.35">
      <c r="A53" s="96">
        <v>51</v>
      </c>
      <c r="B53" s="97">
        <v>44247</v>
      </c>
      <c r="C53" s="98" t="s">
        <v>1007</v>
      </c>
      <c r="D53" s="98" t="s">
        <v>1000</v>
      </c>
      <c r="E53" s="98" t="s">
        <v>50</v>
      </c>
      <c r="F53" s="99">
        <v>7</v>
      </c>
      <c r="G53" s="99">
        <v>210</v>
      </c>
      <c r="H53" s="99">
        <v>1470</v>
      </c>
    </row>
    <row r="54" spans="1:8" ht="18" x14ac:dyDescent="0.35">
      <c r="A54" s="96">
        <v>52</v>
      </c>
      <c r="B54" s="97">
        <v>44248</v>
      </c>
      <c r="C54" s="98" t="s">
        <v>1007</v>
      </c>
      <c r="D54" s="98" t="s">
        <v>1002</v>
      </c>
      <c r="E54" s="98" t="s">
        <v>245</v>
      </c>
      <c r="F54" s="99">
        <v>6</v>
      </c>
      <c r="G54" s="99">
        <v>2100</v>
      </c>
      <c r="H54" s="99">
        <v>12600</v>
      </c>
    </row>
    <row r="55" spans="1:8" ht="18" x14ac:dyDescent="0.35">
      <c r="A55" s="96">
        <v>53</v>
      </c>
      <c r="B55" s="97">
        <v>44249</v>
      </c>
      <c r="C55" s="98" t="s">
        <v>1007</v>
      </c>
      <c r="D55" s="98" t="s">
        <v>1008</v>
      </c>
      <c r="E55" s="98" t="s">
        <v>246</v>
      </c>
      <c r="F55" s="99">
        <v>5</v>
      </c>
      <c r="G55" s="99">
        <v>1200</v>
      </c>
      <c r="H55" s="99">
        <v>6000</v>
      </c>
    </row>
    <row r="56" spans="1:8" ht="18" x14ac:dyDescent="0.35">
      <c r="A56" s="96">
        <v>54</v>
      </c>
      <c r="B56" s="97">
        <v>44250</v>
      </c>
      <c r="C56" s="98" t="s">
        <v>1007</v>
      </c>
      <c r="D56" s="98" t="s">
        <v>1009</v>
      </c>
      <c r="E56" s="98" t="s">
        <v>1004</v>
      </c>
      <c r="F56" s="99">
        <v>4</v>
      </c>
      <c r="G56" s="99">
        <v>1500</v>
      </c>
      <c r="H56" s="99">
        <v>6000</v>
      </c>
    </row>
    <row r="57" spans="1:8" ht="18" x14ac:dyDescent="0.35">
      <c r="A57" s="96">
        <v>55</v>
      </c>
      <c r="B57" s="97">
        <v>44251</v>
      </c>
      <c r="C57" s="98" t="s">
        <v>999</v>
      </c>
      <c r="D57" s="98" t="s">
        <v>1000</v>
      </c>
      <c r="E57" s="98" t="s">
        <v>1006</v>
      </c>
      <c r="F57" s="99">
        <v>3</v>
      </c>
      <c r="G57" s="99">
        <v>300</v>
      </c>
      <c r="H57" s="99">
        <v>900</v>
      </c>
    </row>
    <row r="58" spans="1:8" ht="18" x14ac:dyDescent="0.35">
      <c r="A58" s="96">
        <v>56</v>
      </c>
      <c r="B58" s="97">
        <v>44252</v>
      </c>
      <c r="C58" s="98" t="s">
        <v>1001</v>
      </c>
      <c r="D58" s="98" t="s">
        <v>1002</v>
      </c>
      <c r="E58" s="98" t="s">
        <v>49</v>
      </c>
      <c r="F58" s="99">
        <v>2</v>
      </c>
      <c r="G58" s="99">
        <v>190</v>
      </c>
      <c r="H58" s="99">
        <v>380</v>
      </c>
    </row>
    <row r="59" spans="1:8" ht="18" x14ac:dyDescent="0.35">
      <c r="A59" s="96">
        <v>57</v>
      </c>
      <c r="B59" s="97">
        <v>44253</v>
      </c>
      <c r="C59" s="98" t="s">
        <v>1003</v>
      </c>
      <c r="D59" s="98" t="s">
        <v>1000</v>
      </c>
      <c r="E59" s="98" t="s">
        <v>50</v>
      </c>
      <c r="F59" s="99">
        <v>7</v>
      </c>
      <c r="G59" s="99">
        <v>210</v>
      </c>
      <c r="H59" s="99">
        <v>1470</v>
      </c>
    </row>
    <row r="60" spans="1:8" ht="18" x14ac:dyDescent="0.35">
      <c r="A60" s="96">
        <v>58</v>
      </c>
      <c r="B60" s="97">
        <v>44254</v>
      </c>
      <c r="C60" s="98" t="s">
        <v>988</v>
      </c>
      <c r="D60" s="98" t="s">
        <v>1002</v>
      </c>
      <c r="E60" s="98" t="s">
        <v>245</v>
      </c>
      <c r="F60" s="99">
        <v>6</v>
      </c>
      <c r="G60" s="99">
        <v>2100</v>
      </c>
      <c r="H60" s="99">
        <v>12600</v>
      </c>
    </row>
    <row r="61" spans="1:8" ht="18" x14ac:dyDescent="0.35">
      <c r="A61" s="96">
        <v>59</v>
      </c>
      <c r="B61" s="97">
        <v>44255</v>
      </c>
      <c r="C61" s="98" t="s">
        <v>1005</v>
      </c>
      <c r="D61" s="98" t="s">
        <v>1000</v>
      </c>
      <c r="E61" s="98" t="s">
        <v>246</v>
      </c>
      <c r="F61" s="99">
        <v>5</v>
      </c>
      <c r="G61" s="99">
        <v>1200</v>
      </c>
      <c r="H61" s="99">
        <v>6000</v>
      </c>
    </row>
    <row r="62" spans="1:8" ht="18" x14ac:dyDescent="0.35">
      <c r="A62" s="96">
        <v>60</v>
      </c>
      <c r="B62" s="97">
        <v>44256</v>
      </c>
      <c r="C62" s="98" t="s">
        <v>1007</v>
      </c>
      <c r="D62" s="98" t="s">
        <v>1000</v>
      </c>
      <c r="E62" s="98" t="s">
        <v>1004</v>
      </c>
      <c r="F62" s="99">
        <v>4</v>
      </c>
      <c r="G62" s="99">
        <v>1500</v>
      </c>
      <c r="H62" s="99">
        <v>6000</v>
      </c>
    </row>
    <row r="63" spans="1:8" ht="18" x14ac:dyDescent="0.35">
      <c r="A63" s="96">
        <v>61</v>
      </c>
      <c r="B63" s="97">
        <v>44257</v>
      </c>
      <c r="C63" s="98" t="s">
        <v>999</v>
      </c>
      <c r="D63" s="98" t="s">
        <v>1000</v>
      </c>
      <c r="E63" s="98" t="s">
        <v>1006</v>
      </c>
      <c r="F63" s="99">
        <v>3</v>
      </c>
      <c r="G63" s="99">
        <v>300</v>
      </c>
      <c r="H63" s="99">
        <v>900</v>
      </c>
    </row>
    <row r="64" spans="1:8" ht="18" x14ac:dyDescent="0.35">
      <c r="A64" s="96">
        <v>62</v>
      </c>
      <c r="B64" s="97">
        <v>44258</v>
      </c>
      <c r="C64" s="98" t="s">
        <v>1001</v>
      </c>
      <c r="D64" s="98" t="s">
        <v>1002</v>
      </c>
      <c r="E64" s="98" t="s">
        <v>49</v>
      </c>
      <c r="F64" s="99">
        <v>2</v>
      </c>
      <c r="G64" s="99">
        <v>190</v>
      </c>
      <c r="H64" s="99">
        <v>380</v>
      </c>
    </row>
    <row r="65" spans="1:8" ht="18" x14ac:dyDescent="0.35">
      <c r="A65" s="96">
        <v>63</v>
      </c>
      <c r="B65" s="97">
        <v>44259</v>
      </c>
      <c r="C65" s="98" t="s">
        <v>1003</v>
      </c>
      <c r="D65" s="98" t="s">
        <v>1002</v>
      </c>
      <c r="E65" s="98" t="s">
        <v>50</v>
      </c>
      <c r="F65" s="99">
        <v>2</v>
      </c>
      <c r="G65" s="99">
        <v>210</v>
      </c>
      <c r="H65" s="99">
        <v>420</v>
      </c>
    </row>
    <row r="66" spans="1:8" ht="18" x14ac:dyDescent="0.35">
      <c r="A66" s="96">
        <v>64</v>
      </c>
      <c r="B66" s="97">
        <v>44260</v>
      </c>
      <c r="C66" s="98" t="s">
        <v>988</v>
      </c>
      <c r="D66" s="98" t="s">
        <v>1000</v>
      </c>
      <c r="E66" s="98" t="s">
        <v>245</v>
      </c>
      <c r="F66" s="99">
        <v>7</v>
      </c>
      <c r="G66" s="99">
        <v>2100</v>
      </c>
      <c r="H66" s="99">
        <v>14700</v>
      </c>
    </row>
    <row r="67" spans="1:8" ht="18" x14ac:dyDescent="0.35">
      <c r="A67" s="96">
        <v>65</v>
      </c>
      <c r="B67" s="97">
        <v>44261</v>
      </c>
      <c r="C67" s="98" t="s">
        <v>1005</v>
      </c>
      <c r="D67" s="98" t="s">
        <v>1000</v>
      </c>
      <c r="E67" s="98" t="s">
        <v>246</v>
      </c>
      <c r="F67" s="99">
        <v>6</v>
      </c>
      <c r="G67" s="99">
        <v>1200</v>
      </c>
      <c r="H67" s="99">
        <v>7200</v>
      </c>
    </row>
    <row r="68" spans="1:8" ht="18" x14ac:dyDescent="0.35">
      <c r="A68" s="96">
        <v>66</v>
      </c>
      <c r="B68" s="97">
        <v>44262</v>
      </c>
      <c r="C68" s="98" t="s">
        <v>1007</v>
      </c>
      <c r="D68" s="98" t="s">
        <v>1002</v>
      </c>
      <c r="E68" s="98" t="s">
        <v>1004</v>
      </c>
      <c r="F68" s="99">
        <v>5</v>
      </c>
      <c r="G68" s="99">
        <v>1500</v>
      </c>
      <c r="H68" s="99">
        <v>7500</v>
      </c>
    </row>
    <row r="69" spans="1:8" ht="18" x14ac:dyDescent="0.35">
      <c r="A69" s="96">
        <v>67</v>
      </c>
      <c r="B69" s="97">
        <v>44263</v>
      </c>
      <c r="C69" s="98" t="s">
        <v>1007</v>
      </c>
      <c r="D69" s="98" t="s">
        <v>1000</v>
      </c>
      <c r="E69" s="98" t="s">
        <v>1006</v>
      </c>
      <c r="F69" s="99">
        <v>4</v>
      </c>
      <c r="G69" s="99">
        <v>300</v>
      </c>
      <c r="H69" s="99">
        <v>1200</v>
      </c>
    </row>
    <row r="70" spans="1:8" ht="18" x14ac:dyDescent="0.35">
      <c r="A70" s="96">
        <v>68</v>
      </c>
      <c r="B70" s="97">
        <v>44264</v>
      </c>
      <c r="C70" s="98" t="s">
        <v>999</v>
      </c>
      <c r="D70" s="98" t="s">
        <v>1000</v>
      </c>
      <c r="E70" s="98" t="s">
        <v>49</v>
      </c>
      <c r="F70" s="99">
        <v>3</v>
      </c>
      <c r="G70" s="99">
        <v>190</v>
      </c>
      <c r="H70" s="99">
        <v>570</v>
      </c>
    </row>
    <row r="71" spans="1:8" ht="18" x14ac:dyDescent="0.35">
      <c r="A71" s="96">
        <v>69</v>
      </c>
      <c r="B71" s="97">
        <v>44265</v>
      </c>
      <c r="C71" s="98" t="s">
        <v>1001</v>
      </c>
      <c r="D71" s="98" t="s">
        <v>1000</v>
      </c>
      <c r="E71" s="98" t="s">
        <v>50</v>
      </c>
      <c r="F71" s="99">
        <v>2</v>
      </c>
      <c r="G71" s="99">
        <v>210</v>
      </c>
      <c r="H71" s="99">
        <v>420</v>
      </c>
    </row>
    <row r="72" spans="1:8" ht="18" x14ac:dyDescent="0.35">
      <c r="A72" s="96">
        <v>70</v>
      </c>
      <c r="B72" s="97">
        <v>44266</v>
      </c>
      <c r="C72" s="98" t="s">
        <v>1003</v>
      </c>
      <c r="D72" s="98" t="s">
        <v>1000</v>
      </c>
      <c r="E72" s="98" t="s">
        <v>49</v>
      </c>
      <c r="F72" s="99">
        <v>3</v>
      </c>
      <c r="G72" s="99">
        <v>190</v>
      </c>
      <c r="H72" s="99">
        <v>570</v>
      </c>
    </row>
    <row r="73" spans="1:8" ht="18" x14ac:dyDescent="0.35">
      <c r="A73" s="96">
        <v>71</v>
      </c>
      <c r="B73" s="97">
        <v>44267</v>
      </c>
      <c r="C73" s="98" t="s">
        <v>988</v>
      </c>
      <c r="D73" s="98" t="s">
        <v>1000</v>
      </c>
      <c r="E73" s="98" t="s">
        <v>50</v>
      </c>
      <c r="F73" s="99">
        <v>2</v>
      </c>
      <c r="G73" s="99">
        <v>210</v>
      </c>
      <c r="H73" s="99">
        <v>420</v>
      </c>
    </row>
    <row r="74" spans="1:8" ht="18" x14ac:dyDescent="0.35">
      <c r="A74" s="96">
        <v>72</v>
      </c>
      <c r="B74" s="97">
        <v>44268</v>
      </c>
      <c r="C74" s="98" t="s">
        <v>1005</v>
      </c>
      <c r="D74" s="98" t="s">
        <v>1000</v>
      </c>
      <c r="E74" s="98" t="s">
        <v>49</v>
      </c>
      <c r="F74" s="99">
        <v>3</v>
      </c>
      <c r="G74" s="99">
        <v>190</v>
      </c>
      <c r="H74" s="99">
        <v>570</v>
      </c>
    </row>
    <row r="75" spans="1:8" ht="18" x14ac:dyDescent="0.35">
      <c r="A75" s="96">
        <v>73</v>
      </c>
      <c r="B75" s="97">
        <v>44269</v>
      </c>
      <c r="C75" s="98" t="s">
        <v>1007</v>
      </c>
      <c r="D75" s="98" t="s">
        <v>1000</v>
      </c>
      <c r="E75" s="98" t="s">
        <v>50</v>
      </c>
      <c r="F75" s="99">
        <v>2</v>
      </c>
      <c r="G75" s="99">
        <v>210</v>
      </c>
      <c r="H75" s="99">
        <v>420</v>
      </c>
    </row>
    <row r="76" spans="1:8" ht="18" x14ac:dyDescent="0.35">
      <c r="A76" s="96">
        <v>74</v>
      </c>
      <c r="B76" s="97">
        <v>44270</v>
      </c>
      <c r="C76" s="98" t="s">
        <v>999</v>
      </c>
      <c r="D76" s="98" t="s">
        <v>1000</v>
      </c>
      <c r="E76" s="98" t="s">
        <v>49</v>
      </c>
      <c r="F76" s="99">
        <v>3</v>
      </c>
      <c r="G76" s="99">
        <v>190</v>
      </c>
      <c r="H76" s="99">
        <v>570</v>
      </c>
    </row>
    <row r="77" spans="1:8" ht="18" x14ac:dyDescent="0.35">
      <c r="A77" s="96">
        <v>75</v>
      </c>
      <c r="B77" s="97">
        <v>44271</v>
      </c>
      <c r="C77" s="98" t="s">
        <v>1001</v>
      </c>
      <c r="D77" s="98" t="s">
        <v>1002</v>
      </c>
      <c r="E77" s="98" t="s">
        <v>50</v>
      </c>
      <c r="F77" s="99">
        <v>2</v>
      </c>
      <c r="G77" s="99">
        <v>210</v>
      </c>
      <c r="H77" s="99">
        <v>420</v>
      </c>
    </row>
    <row r="78" spans="1:8" ht="18" x14ac:dyDescent="0.35">
      <c r="A78" s="96">
        <v>76</v>
      </c>
      <c r="B78" s="97">
        <v>44272</v>
      </c>
      <c r="C78" s="98" t="s">
        <v>1003</v>
      </c>
      <c r="D78" s="98" t="s">
        <v>1000</v>
      </c>
      <c r="E78" s="98" t="s">
        <v>49</v>
      </c>
      <c r="F78" s="99">
        <v>3</v>
      </c>
      <c r="G78" s="99">
        <v>190</v>
      </c>
      <c r="H78" s="99">
        <v>570</v>
      </c>
    </row>
    <row r="79" spans="1:8" ht="18" x14ac:dyDescent="0.35">
      <c r="A79" s="96">
        <v>77</v>
      </c>
      <c r="B79" s="97">
        <v>44273</v>
      </c>
      <c r="C79" s="98" t="s">
        <v>988</v>
      </c>
      <c r="D79" s="98" t="s">
        <v>1002</v>
      </c>
      <c r="E79" s="98" t="s">
        <v>50</v>
      </c>
      <c r="F79" s="99">
        <v>2</v>
      </c>
      <c r="G79" s="99">
        <v>210</v>
      </c>
      <c r="H79" s="99">
        <v>420</v>
      </c>
    </row>
    <row r="80" spans="1:8" ht="18" x14ac:dyDescent="0.35">
      <c r="A80" s="96">
        <v>78</v>
      </c>
      <c r="B80" s="97">
        <v>44274</v>
      </c>
      <c r="C80" s="98" t="s">
        <v>1005</v>
      </c>
      <c r="D80" s="98" t="s">
        <v>1000</v>
      </c>
      <c r="E80" s="98" t="s">
        <v>246</v>
      </c>
      <c r="F80" s="99">
        <v>5</v>
      </c>
      <c r="G80" s="99">
        <v>1200</v>
      </c>
      <c r="H80" s="99">
        <v>6000</v>
      </c>
    </row>
    <row r="81" spans="1:8" ht="18" x14ac:dyDescent="0.35">
      <c r="A81" s="96">
        <v>79</v>
      </c>
      <c r="B81" s="97">
        <v>44275</v>
      </c>
      <c r="C81" s="98" t="s">
        <v>1007</v>
      </c>
      <c r="D81" s="98" t="s">
        <v>1000</v>
      </c>
      <c r="E81" s="98" t="s">
        <v>1004</v>
      </c>
      <c r="F81" s="99">
        <v>4</v>
      </c>
      <c r="G81" s="99">
        <v>1500</v>
      </c>
      <c r="H81" s="99">
        <v>6000</v>
      </c>
    </row>
    <row r="82" spans="1:8" ht="18" x14ac:dyDescent="0.35">
      <c r="A82" s="96">
        <v>80</v>
      </c>
      <c r="B82" s="97">
        <v>44276</v>
      </c>
      <c r="C82" s="98" t="s">
        <v>1007</v>
      </c>
      <c r="D82" s="98" t="s">
        <v>1000</v>
      </c>
      <c r="E82" s="98" t="s">
        <v>1006</v>
      </c>
      <c r="F82" s="99">
        <v>3</v>
      </c>
      <c r="G82" s="99">
        <v>300</v>
      </c>
      <c r="H82" s="99">
        <v>900</v>
      </c>
    </row>
    <row r="83" spans="1:8" ht="18" x14ac:dyDescent="0.35">
      <c r="A83" s="96">
        <v>81</v>
      </c>
      <c r="B83" s="97">
        <v>44277</v>
      </c>
      <c r="C83" s="98" t="s">
        <v>999</v>
      </c>
      <c r="D83" s="98" t="s">
        <v>1000</v>
      </c>
      <c r="E83" s="98" t="s">
        <v>49</v>
      </c>
      <c r="F83" s="99">
        <v>2</v>
      </c>
      <c r="G83" s="99">
        <v>190</v>
      </c>
      <c r="H83" s="99">
        <v>380</v>
      </c>
    </row>
    <row r="84" spans="1:8" ht="18" x14ac:dyDescent="0.35">
      <c r="A84" s="96">
        <v>82</v>
      </c>
      <c r="B84" s="97">
        <v>44278</v>
      </c>
      <c r="C84" s="98" t="s">
        <v>999</v>
      </c>
      <c r="D84" s="98" t="s">
        <v>1002</v>
      </c>
      <c r="E84" s="98" t="s">
        <v>50</v>
      </c>
      <c r="F84" s="99">
        <v>7</v>
      </c>
      <c r="G84" s="99">
        <v>210</v>
      </c>
      <c r="H84" s="99">
        <v>1470</v>
      </c>
    </row>
    <row r="85" spans="1:8" ht="18" x14ac:dyDescent="0.35">
      <c r="A85" s="96">
        <v>83</v>
      </c>
      <c r="B85" s="97">
        <v>44279</v>
      </c>
      <c r="C85" s="98" t="s">
        <v>999</v>
      </c>
      <c r="D85" s="98" t="s">
        <v>1008</v>
      </c>
      <c r="E85" s="98" t="s">
        <v>245</v>
      </c>
      <c r="F85" s="99">
        <v>6</v>
      </c>
      <c r="G85" s="99">
        <v>2100</v>
      </c>
      <c r="H85" s="99">
        <v>12600</v>
      </c>
    </row>
    <row r="86" spans="1:8" ht="18" x14ac:dyDescent="0.35">
      <c r="A86" s="96">
        <v>84</v>
      </c>
      <c r="B86" s="97">
        <v>44280</v>
      </c>
      <c r="C86" s="98" t="s">
        <v>999</v>
      </c>
      <c r="D86" s="98" t="s">
        <v>1009</v>
      </c>
      <c r="E86" s="98" t="s">
        <v>246</v>
      </c>
      <c r="F86" s="99">
        <v>5</v>
      </c>
      <c r="G86" s="99">
        <v>1200</v>
      </c>
      <c r="H86" s="99">
        <v>6000</v>
      </c>
    </row>
    <row r="87" spans="1:8" ht="18" x14ac:dyDescent="0.35">
      <c r="A87" s="96">
        <v>85</v>
      </c>
      <c r="B87" s="97">
        <v>44281</v>
      </c>
      <c r="C87" s="98" t="s">
        <v>999</v>
      </c>
      <c r="D87" s="98" t="s">
        <v>1000</v>
      </c>
      <c r="E87" s="98" t="s">
        <v>1004</v>
      </c>
      <c r="F87" s="99">
        <v>4</v>
      </c>
      <c r="G87" s="99">
        <v>1500</v>
      </c>
      <c r="H87" s="99">
        <v>6000</v>
      </c>
    </row>
    <row r="88" spans="1:8" ht="18" x14ac:dyDescent="0.35">
      <c r="A88" s="96">
        <v>86</v>
      </c>
      <c r="B88" s="97">
        <v>44282</v>
      </c>
      <c r="C88" s="98" t="s">
        <v>999</v>
      </c>
      <c r="D88" s="98" t="s">
        <v>1002</v>
      </c>
      <c r="E88" s="98" t="s">
        <v>1006</v>
      </c>
      <c r="F88" s="99">
        <v>3</v>
      </c>
      <c r="G88" s="99">
        <v>300</v>
      </c>
      <c r="H88" s="99">
        <v>900</v>
      </c>
    </row>
    <row r="89" spans="1:8" ht="18" x14ac:dyDescent="0.35">
      <c r="A89" s="96">
        <v>87</v>
      </c>
      <c r="B89" s="97">
        <v>44283</v>
      </c>
      <c r="C89" s="98" t="s">
        <v>999</v>
      </c>
      <c r="D89" s="98" t="s">
        <v>1008</v>
      </c>
      <c r="E89" s="98" t="s">
        <v>49</v>
      </c>
      <c r="F89" s="99">
        <v>2</v>
      </c>
      <c r="G89" s="99">
        <v>190</v>
      </c>
      <c r="H89" s="99">
        <v>380</v>
      </c>
    </row>
    <row r="90" spans="1:8" ht="18" x14ac:dyDescent="0.35">
      <c r="A90" s="96">
        <v>88</v>
      </c>
      <c r="B90" s="97">
        <v>44284</v>
      </c>
      <c r="C90" s="98" t="s">
        <v>999</v>
      </c>
      <c r="D90" s="98" t="s">
        <v>1009</v>
      </c>
      <c r="E90" s="98" t="s">
        <v>50</v>
      </c>
      <c r="F90" s="99">
        <v>2</v>
      </c>
      <c r="G90" s="99">
        <v>210</v>
      </c>
      <c r="H90" s="99">
        <v>420</v>
      </c>
    </row>
    <row r="91" spans="1:8" ht="18" x14ac:dyDescent="0.35">
      <c r="A91" s="96">
        <v>89</v>
      </c>
      <c r="B91" s="97">
        <v>44285</v>
      </c>
      <c r="C91" s="98" t="s">
        <v>1001</v>
      </c>
      <c r="D91" s="98" t="s">
        <v>1002</v>
      </c>
      <c r="E91" s="98" t="s">
        <v>1006</v>
      </c>
      <c r="F91" s="99">
        <v>3</v>
      </c>
      <c r="G91" s="99">
        <v>300</v>
      </c>
      <c r="H91" s="99">
        <v>900</v>
      </c>
    </row>
    <row r="92" spans="1:8" ht="18" x14ac:dyDescent="0.35">
      <c r="A92" s="96">
        <v>90</v>
      </c>
      <c r="B92" s="97">
        <v>44286</v>
      </c>
      <c r="C92" s="98" t="s">
        <v>1001</v>
      </c>
      <c r="D92" s="98" t="s">
        <v>1000</v>
      </c>
      <c r="E92" s="98" t="s">
        <v>1006</v>
      </c>
      <c r="F92" s="99">
        <v>3</v>
      </c>
      <c r="G92" s="99">
        <v>300</v>
      </c>
      <c r="H92" s="99">
        <v>900</v>
      </c>
    </row>
    <row r="93" spans="1:8" ht="18" x14ac:dyDescent="0.35">
      <c r="A93" s="96">
        <v>91</v>
      </c>
      <c r="B93" s="97">
        <v>44287</v>
      </c>
      <c r="C93" s="98" t="s">
        <v>1001</v>
      </c>
      <c r="D93" s="98" t="s">
        <v>1008</v>
      </c>
      <c r="E93" s="98" t="s">
        <v>1006</v>
      </c>
      <c r="F93" s="99">
        <v>3</v>
      </c>
      <c r="G93" s="99">
        <v>300</v>
      </c>
      <c r="H93" s="99">
        <v>900</v>
      </c>
    </row>
    <row r="94" spans="1:8" ht="18" x14ac:dyDescent="0.35">
      <c r="A94" s="96">
        <v>92</v>
      </c>
      <c r="B94" s="97">
        <v>44288</v>
      </c>
      <c r="C94" s="98" t="s">
        <v>1001</v>
      </c>
      <c r="D94" s="98" t="s">
        <v>1009</v>
      </c>
      <c r="E94" s="98" t="s">
        <v>1006</v>
      </c>
      <c r="F94" s="99">
        <v>3</v>
      </c>
      <c r="G94" s="99">
        <v>300</v>
      </c>
      <c r="H94" s="99">
        <v>900</v>
      </c>
    </row>
    <row r="95" spans="1:8" ht="18" x14ac:dyDescent="0.35">
      <c r="A95" s="96">
        <v>93</v>
      </c>
      <c r="B95" s="97">
        <v>44289</v>
      </c>
      <c r="C95" s="98" t="s">
        <v>1001</v>
      </c>
      <c r="D95" s="98" t="s">
        <v>1002</v>
      </c>
      <c r="E95" s="98" t="s">
        <v>1006</v>
      </c>
      <c r="F95" s="99">
        <v>3</v>
      </c>
      <c r="G95" s="99">
        <v>300</v>
      </c>
      <c r="H95" s="99">
        <v>900</v>
      </c>
    </row>
    <row r="96" spans="1:8" ht="18" x14ac:dyDescent="0.35">
      <c r="A96" s="96">
        <v>94</v>
      </c>
      <c r="B96" s="97">
        <v>44290</v>
      </c>
      <c r="C96" s="98" t="s">
        <v>1001</v>
      </c>
      <c r="D96" s="98" t="s">
        <v>1000</v>
      </c>
      <c r="E96" s="98" t="s">
        <v>1006</v>
      </c>
      <c r="F96" s="99">
        <v>3</v>
      </c>
      <c r="G96" s="99">
        <v>300</v>
      </c>
      <c r="H96" s="99">
        <v>900</v>
      </c>
    </row>
    <row r="97" spans="1:8" ht="18" x14ac:dyDescent="0.35">
      <c r="A97" s="96">
        <v>95</v>
      </c>
      <c r="B97" s="97">
        <v>44291</v>
      </c>
      <c r="C97" s="98" t="s">
        <v>1001</v>
      </c>
      <c r="D97" s="98" t="s">
        <v>1008</v>
      </c>
      <c r="E97" s="98" t="s">
        <v>1006</v>
      </c>
      <c r="F97" s="99">
        <v>3</v>
      </c>
      <c r="G97" s="99">
        <v>300</v>
      </c>
      <c r="H97" s="99">
        <v>900</v>
      </c>
    </row>
    <row r="98" spans="1:8" ht="18" x14ac:dyDescent="0.35">
      <c r="A98" s="96">
        <v>96</v>
      </c>
      <c r="B98" s="97">
        <v>44292</v>
      </c>
      <c r="C98" s="98" t="s">
        <v>1001</v>
      </c>
      <c r="D98" s="98" t="s">
        <v>1009</v>
      </c>
      <c r="E98" s="98" t="s">
        <v>1006</v>
      </c>
      <c r="F98" s="99">
        <v>3</v>
      </c>
      <c r="G98" s="99">
        <v>300</v>
      </c>
      <c r="H98" s="99">
        <v>900</v>
      </c>
    </row>
    <row r="99" spans="1:8" ht="18" x14ac:dyDescent="0.35">
      <c r="A99" s="96">
        <v>97</v>
      </c>
      <c r="B99" s="97">
        <v>44293</v>
      </c>
      <c r="C99" s="98" t="s">
        <v>1003</v>
      </c>
      <c r="D99" s="98" t="s">
        <v>1009</v>
      </c>
      <c r="E99" s="98" t="s">
        <v>1006</v>
      </c>
      <c r="F99" s="99">
        <v>3</v>
      </c>
      <c r="G99" s="99">
        <v>300</v>
      </c>
      <c r="H99" s="99">
        <v>900</v>
      </c>
    </row>
    <row r="100" spans="1:8" ht="18" x14ac:dyDescent="0.35">
      <c r="A100" s="96">
        <v>98</v>
      </c>
      <c r="B100" s="97">
        <v>44294</v>
      </c>
      <c r="C100" s="98" t="s">
        <v>988</v>
      </c>
      <c r="D100" s="98" t="s">
        <v>1009</v>
      </c>
      <c r="E100" s="98" t="s">
        <v>1006</v>
      </c>
      <c r="F100" s="99">
        <v>3</v>
      </c>
      <c r="G100" s="99">
        <v>300</v>
      </c>
      <c r="H100" s="99">
        <v>900</v>
      </c>
    </row>
    <row r="101" spans="1:8" ht="18" x14ac:dyDescent="0.35">
      <c r="A101" s="96">
        <v>99</v>
      </c>
      <c r="B101" s="97">
        <v>44295</v>
      </c>
      <c r="C101" s="98" t="s">
        <v>1005</v>
      </c>
      <c r="D101" s="98" t="s">
        <v>1009</v>
      </c>
      <c r="E101" s="98" t="s">
        <v>50</v>
      </c>
      <c r="F101" s="99">
        <v>3</v>
      </c>
      <c r="G101" s="99">
        <v>190</v>
      </c>
      <c r="H101" s="99">
        <v>570</v>
      </c>
    </row>
    <row r="102" spans="1:8" ht="18" x14ac:dyDescent="0.35">
      <c r="A102" s="96">
        <v>100</v>
      </c>
      <c r="B102" s="97">
        <v>44296</v>
      </c>
      <c r="C102" s="98" t="s">
        <v>1007</v>
      </c>
      <c r="D102" s="98" t="s">
        <v>1009</v>
      </c>
      <c r="E102" s="98" t="s">
        <v>245</v>
      </c>
      <c r="F102" s="99">
        <v>2</v>
      </c>
      <c r="G102" s="99">
        <v>2100</v>
      </c>
      <c r="H102" s="99">
        <v>4200</v>
      </c>
    </row>
    <row r="103" spans="1:8" ht="18" x14ac:dyDescent="0.35">
      <c r="A103" s="96">
        <v>101</v>
      </c>
      <c r="B103" s="97">
        <v>44297</v>
      </c>
      <c r="C103" s="98" t="s">
        <v>1007</v>
      </c>
      <c r="D103" s="98" t="s">
        <v>1000</v>
      </c>
      <c r="E103" s="98" t="s">
        <v>50</v>
      </c>
      <c r="F103" s="99">
        <v>7</v>
      </c>
      <c r="G103" s="99">
        <v>210</v>
      </c>
      <c r="H103" s="99">
        <v>1470</v>
      </c>
    </row>
    <row r="104" spans="1:8" ht="18" x14ac:dyDescent="0.35">
      <c r="A104" s="96">
        <v>102</v>
      </c>
      <c r="B104" s="97">
        <v>44298</v>
      </c>
      <c r="C104" s="98" t="s">
        <v>1007</v>
      </c>
      <c r="D104" s="98" t="s">
        <v>1002</v>
      </c>
      <c r="E104" s="98" t="s">
        <v>245</v>
      </c>
      <c r="F104" s="99">
        <v>6</v>
      </c>
      <c r="G104" s="99">
        <v>2100</v>
      </c>
      <c r="H104" s="99">
        <v>12600</v>
      </c>
    </row>
    <row r="105" spans="1:8" ht="18" x14ac:dyDescent="0.35">
      <c r="A105" s="96">
        <v>103</v>
      </c>
      <c r="B105" s="97">
        <v>44299</v>
      </c>
      <c r="C105" s="98" t="s">
        <v>1007</v>
      </c>
      <c r="D105" s="98" t="s">
        <v>1008</v>
      </c>
      <c r="E105" s="98" t="s">
        <v>246</v>
      </c>
      <c r="F105" s="99">
        <v>5</v>
      </c>
      <c r="G105" s="99">
        <v>1200</v>
      </c>
      <c r="H105" s="99">
        <v>6000</v>
      </c>
    </row>
    <row r="106" spans="1:8" ht="18" x14ac:dyDescent="0.35">
      <c r="A106" s="96">
        <v>104</v>
      </c>
      <c r="B106" s="97">
        <v>44300</v>
      </c>
      <c r="C106" s="98" t="s">
        <v>1007</v>
      </c>
      <c r="D106" s="98" t="s">
        <v>1009</v>
      </c>
      <c r="E106" s="98" t="s">
        <v>245</v>
      </c>
      <c r="F106" s="99">
        <v>6</v>
      </c>
      <c r="G106" s="99">
        <v>2100</v>
      </c>
      <c r="H106" s="99">
        <v>12600</v>
      </c>
    </row>
    <row r="107" spans="1:8" ht="18" x14ac:dyDescent="0.35">
      <c r="A107" s="96">
        <v>105</v>
      </c>
      <c r="B107" s="97">
        <v>44301</v>
      </c>
      <c r="C107" s="98" t="s">
        <v>1007</v>
      </c>
      <c r="D107" s="98" t="s">
        <v>1000</v>
      </c>
      <c r="E107" s="98" t="s">
        <v>246</v>
      </c>
      <c r="F107" s="99">
        <v>5</v>
      </c>
      <c r="G107" s="99">
        <v>1200</v>
      </c>
      <c r="H107" s="99">
        <v>6000</v>
      </c>
    </row>
    <row r="108" spans="1:8" ht="18" x14ac:dyDescent="0.35">
      <c r="A108" s="96">
        <v>106</v>
      </c>
      <c r="B108" s="97">
        <v>44302</v>
      </c>
      <c r="C108" s="98" t="s">
        <v>1007</v>
      </c>
      <c r="D108" s="98" t="s">
        <v>1002</v>
      </c>
      <c r="E108" s="98" t="s">
        <v>49</v>
      </c>
      <c r="F108" s="99">
        <v>2</v>
      </c>
      <c r="G108" s="99">
        <v>190</v>
      </c>
      <c r="H108" s="99">
        <v>380</v>
      </c>
    </row>
    <row r="109" spans="1:8" ht="18" x14ac:dyDescent="0.35">
      <c r="A109" s="96">
        <v>107</v>
      </c>
      <c r="B109" s="97">
        <v>44303</v>
      </c>
      <c r="C109" s="98" t="s">
        <v>1007</v>
      </c>
      <c r="D109" s="98" t="s">
        <v>1008</v>
      </c>
      <c r="E109" s="98" t="s">
        <v>245</v>
      </c>
      <c r="F109" s="99">
        <v>6</v>
      </c>
      <c r="G109" s="99">
        <v>2100</v>
      </c>
      <c r="H109" s="99">
        <v>12600</v>
      </c>
    </row>
    <row r="110" spans="1:8" ht="18" x14ac:dyDescent="0.35">
      <c r="A110" s="96">
        <v>108</v>
      </c>
      <c r="B110" s="97">
        <v>44304</v>
      </c>
      <c r="C110" s="98" t="s">
        <v>1007</v>
      </c>
      <c r="D110" s="98" t="s">
        <v>1009</v>
      </c>
      <c r="E110" s="98" t="s">
        <v>246</v>
      </c>
      <c r="F110" s="99">
        <v>5</v>
      </c>
      <c r="G110" s="99">
        <v>1200</v>
      </c>
      <c r="H110" s="99">
        <v>6000</v>
      </c>
    </row>
    <row r="111" spans="1:8" ht="18" x14ac:dyDescent="0.35">
      <c r="A111" s="96">
        <v>109</v>
      </c>
      <c r="B111" s="97">
        <v>44305</v>
      </c>
      <c r="C111" s="98" t="s">
        <v>999</v>
      </c>
      <c r="D111" s="98" t="s">
        <v>1000</v>
      </c>
      <c r="E111" s="98" t="s">
        <v>245</v>
      </c>
      <c r="F111" s="99">
        <v>6</v>
      </c>
      <c r="G111" s="99">
        <v>2100</v>
      </c>
      <c r="H111" s="99">
        <v>12600</v>
      </c>
    </row>
    <row r="112" spans="1:8" ht="18" x14ac:dyDescent="0.35">
      <c r="A112" s="96">
        <v>110</v>
      </c>
      <c r="B112" s="97">
        <v>44306</v>
      </c>
      <c r="C112" s="98" t="s">
        <v>1001</v>
      </c>
      <c r="D112" s="98" t="s">
        <v>1002</v>
      </c>
      <c r="E112" s="98" t="s">
        <v>246</v>
      </c>
      <c r="F112" s="99">
        <v>5</v>
      </c>
      <c r="G112" s="99">
        <v>1200</v>
      </c>
      <c r="H112" s="99">
        <v>6000</v>
      </c>
    </row>
    <row r="113" spans="1:8" ht="18" x14ac:dyDescent="0.35">
      <c r="A113" s="96">
        <v>111</v>
      </c>
      <c r="B113" s="97">
        <v>44307</v>
      </c>
      <c r="C113" s="98" t="s">
        <v>1003</v>
      </c>
      <c r="D113" s="98" t="s">
        <v>1000</v>
      </c>
      <c r="E113" s="98" t="s">
        <v>245</v>
      </c>
      <c r="F113" s="99">
        <v>6</v>
      </c>
      <c r="G113" s="99">
        <v>2100</v>
      </c>
      <c r="H113" s="99">
        <v>12600</v>
      </c>
    </row>
    <row r="114" spans="1:8" ht="18" x14ac:dyDescent="0.35">
      <c r="A114" s="96">
        <v>112</v>
      </c>
      <c r="B114" s="97">
        <v>44308</v>
      </c>
      <c r="C114" s="98" t="s">
        <v>988</v>
      </c>
      <c r="D114" s="98" t="s">
        <v>1002</v>
      </c>
      <c r="E114" s="98" t="s">
        <v>246</v>
      </c>
      <c r="F114" s="99">
        <v>5</v>
      </c>
      <c r="G114" s="99">
        <v>1200</v>
      </c>
      <c r="H114" s="99">
        <v>6000</v>
      </c>
    </row>
    <row r="115" spans="1:8" ht="18" x14ac:dyDescent="0.35">
      <c r="A115" s="96">
        <v>113</v>
      </c>
      <c r="B115" s="97">
        <v>44309</v>
      </c>
      <c r="C115" s="98" t="s">
        <v>1005</v>
      </c>
      <c r="D115" s="98" t="s">
        <v>1000</v>
      </c>
      <c r="E115" s="98" t="s">
        <v>50</v>
      </c>
      <c r="F115" s="99">
        <v>2</v>
      </c>
      <c r="G115" s="99">
        <v>210</v>
      </c>
      <c r="H115" s="99">
        <v>420</v>
      </c>
    </row>
    <row r="116" spans="1:8" ht="18" x14ac:dyDescent="0.35">
      <c r="A116" s="96">
        <v>114</v>
      </c>
      <c r="B116" s="97">
        <v>44310</v>
      </c>
      <c r="C116" s="98" t="s">
        <v>1007</v>
      </c>
      <c r="D116" s="98" t="s">
        <v>1000</v>
      </c>
      <c r="E116" s="98" t="s">
        <v>245</v>
      </c>
      <c r="F116" s="99">
        <v>7</v>
      </c>
      <c r="G116" s="99">
        <v>2100</v>
      </c>
      <c r="H116" s="99">
        <v>14700</v>
      </c>
    </row>
    <row r="117" spans="1:8" ht="18" x14ac:dyDescent="0.35">
      <c r="A117" s="96">
        <v>115</v>
      </c>
      <c r="B117" s="97">
        <v>44311</v>
      </c>
      <c r="C117" s="98" t="s">
        <v>999</v>
      </c>
      <c r="D117" s="98" t="s">
        <v>1000</v>
      </c>
      <c r="E117" s="98" t="s">
        <v>246</v>
      </c>
      <c r="F117" s="99">
        <v>6</v>
      </c>
      <c r="G117" s="99">
        <v>1200</v>
      </c>
      <c r="H117" s="99">
        <v>7200</v>
      </c>
    </row>
    <row r="118" spans="1:8" ht="18" x14ac:dyDescent="0.35">
      <c r="A118" s="96">
        <v>116</v>
      </c>
      <c r="B118" s="97">
        <v>44312</v>
      </c>
      <c r="C118" s="98" t="s">
        <v>1001</v>
      </c>
      <c r="D118" s="98" t="s">
        <v>1002</v>
      </c>
      <c r="E118" s="98" t="s">
        <v>1004</v>
      </c>
      <c r="F118" s="99">
        <v>5</v>
      </c>
      <c r="G118" s="99">
        <v>1500</v>
      </c>
      <c r="H118" s="99">
        <v>7500</v>
      </c>
    </row>
    <row r="119" spans="1:8" ht="18" x14ac:dyDescent="0.35">
      <c r="A119" s="96">
        <v>117</v>
      </c>
      <c r="B119" s="97">
        <v>44313</v>
      </c>
      <c r="C119" s="98" t="s">
        <v>1003</v>
      </c>
      <c r="D119" s="98" t="s">
        <v>1002</v>
      </c>
      <c r="E119" s="98" t="s">
        <v>1006</v>
      </c>
      <c r="F119" s="99">
        <v>4</v>
      </c>
      <c r="G119" s="99">
        <v>300</v>
      </c>
      <c r="H119" s="99">
        <v>1200</v>
      </c>
    </row>
    <row r="120" spans="1:8" ht="18" x14ac:dyDescent="0.35">
      <c r="A120" s="96">
        <v>118</v>
      </c>
      <c r="B120" s="97">
        <v>44314</v>
      </c>
      <c r="C120" s="98" t="s">
        <v>988</v>
      </c>
      <c r="D120" s="98" t="s">
        <v>1000</v>
      </c>
      <c r="E120" s="98" t="s">
        <v>49</v>
      </c>
      <c r="F120" s="99">
        <v>3</v>
      </c>
      <c r="G120" s="99">
        <v>190</v>
      </c>
      <c r="H120" s="99">
        <v>570</v>
      </c>
    </row>
    <row r="121" spans="1:8" ht="18" x14ac:dyDescent="0.35">
      <c r="A121" s="96">
        <v>119</v>
      </c>
      <c r="B121" s="97">
        <v>44315</v>
      </c>
      <c r="C121" s="98" t="s">
        <v>1005</v>
      </c>
      <c r="D121" s="98" t="s">
        <v>1000</v>
      </c>
      <c r="E121" s="98" t="s">
        <v>50</v>
      </c>
      <c r="F121" s="99">
        <v>2</v>
      </c>
      <c r="G121" s="99">
        <v>210</v>
      </c>
      <c r="H121" s="99">
        <v>420</v>
      </c>
    </row>
    <row r="122" spans="1:8" ht="18" x14ac:dyDescent="0.35">
      <c r="A122" s="96">
        <v>120</v>
      </c>
      <c r="B122" s="97">
        <v>44316</v>
      </c>
      <c r="C122" s="98" t="s">
        <v>1007</v>
      </c>
      <c r="D122" s="98" t="s">
        <v>1002</v>
      </c>
      <c r="E122" s="98" t="s">
        <v>246</v>
      </c>
      <c r="F122" s="99">
        <v>7</v>
      </c>
      <c r="G122" s="99">
        <v>2100</v>
      </c>
      <c r="H122" s="99">
        <v>14700</v>
      </c>
    </row>
    <row r="123" spans="1:8" ht="18" x14ac:dyDescent="0.35">
      <c r="A123" s="96">
        <v>121</v>
      </c>
      <c r="B123" s="97">
        <v>44317</v>
      </c>
      <c r="C123" s="98" t="s">
        <v>1007</v>
      </c>
      <c r="D123" s="98" t="s">
        <v>1000</v>
      </c>
      <c r="E123" s="98" t="s">
        <v>1004</v>
      </c>
      <c r="F123" s="99">
        <v>6</v>
      </c>
      <c r="G123" s="99">
        <v>1200</v>
      </c>
      <c r="H123" s="99">
        <v>7200</v>
      </c>
    </row>
    <row r="124" spans="1:8" ht="18" x14ac:dyDescent="0.35">
      <c r="A124" s="96">
        <v>122</v>
      </c>
      <c r="B124" s="97">
        <v>44318</v>
      </c>
      <c r="C124" s="98" t="s">
        <v>999</v>
      </c>
      <c r="D124" s="98" t="s">
        <v>1000</v>
      </c>
      <c r="E124" s="98" t="s">
        <v>1006</v>
      </c>
      <c r="F124" s="99">
        <v>5</v>
      </c>
      <c r="G124" s="99">
        <v>300</v>
      </c>
      <c r="H124" s="99">
        <v>1500</v>
      </c>
    </row>
    <row r="125" spans="1:8" ht="18" x14ac:dyDescent="0.35">
      <c r="A125" s="96">
        <v>123</v>
      </c>
      <c r="B125" s="97">
        <v>44319</v>
      </c>
      <c r="C125" s="98" t="s">
        <v>1001</v>
      </c>
      <c r="D125" s="98" t="s">
        <v>1000</v>
      </c>
      <c r="E125" s="98" t="s">
        <v>49</v>
      </c>
      <c r="F125" s="99">
        <v>4</v>
      </c>
      <c r="G125" s="99">
        <v>200</v>
      </c>
      <c r="H125" s="99">
        <v>800</v>
      </c>
    </row>
    <row r="126" spans="1:8" ht="18" x14ac:dyDescent="0.35">
      <c r="A126" s="96">
        <v>124</v>
      </c>
      <c r="B126" s="97">
        <v>44320</v>
      </c>
      <c r="C126" s="98" t="s">
        <v>1003</v>
      </c>
      <c r="D126" s="98" t="s">
        <v>1000</v>
      </c>
      <c r="E126" s="98" t="s">
        <v>50</v>
      </c>
      <c r="F126" s="99">
        <v>3</v>
      </c>
      <c r="G126" s="99">
        <v>190</v>
      </c>
      <c r="H126" s="99">
        <v>570</v>
      </c>
    </row>
    <row r="127" spans="1:8" ht="18" x14ac:dyDescent="0.35">
      <c r="A127" s="96">
        <v>125</v>
      </c>
      <c r="B127" s="97">
        <v>44321</v>
      </c>
      <c r="C127" s="98" t="s">
        <v>988</v>
      </c>
      <c r="D127" s="98" t="s">
        <v>1000</v>
      </c>
      <c r="E127" s="98" t="s">
        <v>245</v>
      </c>
      <c r="F127" s="99">
        <v>2</v>
      </c>
      <c r="G127" s="99">
        <v>2100</v>
      </c>
      <c r="H127" s="99">
        <v>4200</v>
      </c>
    </row>
    <row r="128" spans="1:8" ht="18" x14ac:dyDescent="0.35">
      <c r="A128" s="96">
        <v>126</v>
      </c>
      <c r="B128" s="97">
        <v>44322</v>
      </c>
      <c r="C128" s="98" t="s">
        <v>1005</v>
      </c>
      <c r="D128" s="98" t="s">
        <v>1000</v>
      </c>
      <c r="E128" s="98" t="s">
        <v>50</v>
      </c>
      <c r="F128" s="99">
        <v>7</v>
      </c>
      <c r="G128" s="99">
        <v>210</v>
      </c>
      <c r="H128" s="99">
        <v>1470</v>
      </c>
    </row>
    <row r="129" spans="1:8" ht="18" x14ac:dyDescent="0.35">
      <c r="A129" s="96">
        <v>127</v>
      </c>
      <c r="B129" s="97">
        <v>44323</v>
      </c>
      <c r="C129" s="98" t="s">
        <v>1007</v>
      </c>
      <c r="D129" s="98" t="s">
        <v>1000</v>
      </c>
      <c r="E129" s="98" t="s">
        <v>245</v>
      </c>
      <c r="F129" s="99">
        <v>6</v>
      </c>
      <c r="G129" s="99">
        <v>2100</v>
      </c>
      <c r="H129" s="99">
        <v>12600</v>
      </c>
    </row>
    <row r="130" spans="1:8" ht="18" x14ac:dyDescent="0.35">
      <c r="A130" s="96">
        <v>128</v>
      </c>
      <c r="B130" s="97">
        <v>44324</v>
      </c>
      <c r="C130" s="98" t="s">
        <v>999</v>
      </c>
      <c r="D130" s="98" t="s">
        <v>1000</v>
      </c>
      <c r="E130" s="98" t="s">
        <v>246</v>
      </c>
      <c r="F130" s="99">
        <v>5</v>
      </c>
      <c r="G130" s="99">
        <v>1200</v>
      </c>
      <c r="H130" s="99">
        <v>6000</v>
      </c>
    </row>
    <row r="131" spans="1:8" ht="18" x14ac:dyDescent="0.35">
      <c r="A131" s="96">
        <v>129</v>
      </c>
      <c r="B131" s="97">
        <v>44325</v>
      </c>
      <c r="C131" s="98" t="s">
        <v>1001</v>
      </c>
      <c r="D131" s="98" t="s">
        <v>1002</v>
      </c>
      <c r="E131" s="98" t="s">
        <v>1004</v>
      </c>
      <c r="F131" s="99">
        <v>4</v>
      </c>
      <c r="G131" s="99">
        <v>1500</v>
      </c>
      <c r="H131" s="99">
        <v>6000</v>
      </c>
    </row>
    <row r="132" spans="1:8" ht="18" x14ac:dyDescent="0.35">
      <c r="A132" s="96">
        <v>130</v>
      </c>
      <c r="B132" s="97">
        <v>44326</v>
      </c>
      <c r="C132" s="98" t="s">
        <v>1003</v>
      </c>
      <c r="D132" s="98" t="s">
        <v>1000</v>
      </c>
      <c r="E132" s="98" t="s">
        <v>1006</v>
      </c>
      <c r="F132" s="99">
        <v>3</v>
      </c>
      <c r="G132" s="99">
        <v>300</v>
      </c>
      <c r="H132" s="99">
        <v>900</v>
      </c>
    </row>
    <row r="133" spans="1:8" ht="18" x14ac:dyDescent="0.35">
      <c r="A133" s="96">
        <v>131</v>
      </c>
      <c r="B133" s="97">
        <v>44327</v>
      </c>
      <c r="C133" s="98" t="s">
        <v>988</v>
      </c>
      <c r="D133" s="98" t="s">
        <v>1002</v>
      </c>
      <c r="E133" s="98" t="s">
        <v>49</v>
      </c>
      <c r="F133" s="99">
        <v>2</v>
      </c>
      <c r="G133" s="99">
        <v>190</v>
      </c>
      <c r="H133" s="99">
        <v>380</v>
      </c>
    </row>
    <row r="134" spans="1:8" ht="18" x14ac:dyDescent="0.35">
      <c r="A134" s="96">
        <v>132</v>
      </c>
      <c r="B134" s="97">
        <v>44328</v>
      </c>
      <c r="C134" s="98" t="s">
        <v>1005</v>
      </c>
      <c r="D134" s="98" t="s">
        <v>1000</v>
      </c>
      <c r="E134" s="98" t="s">
        <v>50</v>
      </c>
      <c r="F134" s="99">
        <v>7</v>
      </c>
      <c r="G134" s="99">
        <v>210</v>
      </c>
      <c r="H134" s="99">
        <v>1470</v>
      </c>
    </row>
    <row r="135" spans="1:8" ht="18" x14ac:dyDescent="0.35">
      <c r="A135" s="96">
        <v>133</v>
      </c>
      <c r="B135" s="97">
        <v>44329</v>
      </c>
      <c r="C135" s="98" t="s">
        <v>1007</v>
      </c>
      <c r="D135" s="98" t="s">
        <v>1000</v>
      </c>
      <c r="E135" s="98" t="s">
        <v>245</v>
      </c>
      <c r="F135" s="99">
        <v>6</v>
      </c>
      <c r="G135" s="99">
        <v>2100</v>
      </c>
      <c r="H135" s="99">
        <v>12600</v>
      </c>
    </row>
    <row r="136" spans="1:8" ht="18" x14ac:dyDescent="0.35">
      <c r="A136" s="96">
        <v>134</v>
      </c>
      <c r="B136" s="97">
        <v>44330</v>
      </c>
      <c r="C136" s="98" t="s">
        <v>1007</v>
      </c>
      <c r="D136" s="98" t="s">
        <v>1000</v>
      </c>
      <c r="E136" s="98" t="s">
        <v>246</v>
      </c>
      <c r="F136" s="99">
        <v>5</v>
      </c>
      <c r="G136" s="99">
        <v>1200</v>
      </c>
      <c r="H136" s="99">
        <v>6000</v>
      </c>
    </row>
    <row r="137" spans="1:8" ht="18" x14ac:dyDescent="0.35">
      <c r="A137" s="96">
        <v>135</v>
      </c>
      <c r="B137" s="97">
        <v>44331</v>
      </c>
      <c r="C137" s="98" t="s">
        <v>999</v>
      </c>
      <c r="D137" s="98" t="s">
        <v>1000</v>
      </c>
      <c r="E137" s="98" t="s">
        <v>1004</v>
      </c>
      <c r="F137" s="99">
        <v>4</v>
      </c>
      <c r="G137" s="99">
        <v>1500</v>
      </c>
      <c r="H137" s="99">
        <v>6000</v>
      </c>
    </row>
    <row r="138" spans="1:8" ht="18" x14ac:dyDescent="0.35">
      <c r="A138" s="96">
        <v>136</v>
      </c>
      <c r="B138" s="97">
        <v>44332</v>
      </c>
      <c r="C138" s="98" t="s">
        <v>999</v>
      </c>
      <c r="D138" s="98" t="s">
        <v>1002</v>
      </c>
      <c r="E138" s="98" t="s">
        <v>1006</v>
      </c>
      <c r="F138" s="99">
        <v>3</v>
      </c>
      <c r="G138" s="99">
        <v>300</v>
      </c>
      <c r="H138" s="99">
        <v>900</v>
      </c>
    </row>
    <row r="139" spans="1:8" ht="18" x14ac:dyDescent="0.35">
      <c r="A139" s="96">
        <v>137</v>
      </c>
      <c r="B139" s="97">
        <v>44333</v>
      </c>
      <c r="C139" s="98" t="s">
        <v>999</v>
      </c>
      <c r="D139" s="98" t="s">
        <v>1008</v>
      </c>
      <c r="E139" s="98" t="s">
        <v>49</v>
      </c>
      <c r="F139" s="99">
        <v>2</v>
      </c>
      <c r="G139" s="99">
        <v>190</v>
      </c>
      <c r="H139" s="99">
        <v>380</v>
      </c>
    </row>
    <row r="140" spans="1:8" ht="18" x14ac:dyDescent="0.35">
      <c r="A140" s="96">
        <v>138</v>
      </c>
      <c r="B140" s="97">
        <v>44334</v>
      </c>
      <c r="C140" s="98" t="s">
        <v>999</v>
      </c>
      <c r="D140" s="98" t="s">
        <v>1009</v>
      </c>
      <c r="E140" s="98" t="s">
        <v>50</v>
      </c>
      <c r="F140" s="99">
        <v>2</v>
      </c>
      <c r="G140" s="99">
        <v>210</v>
      </c>
      <c r="H140" s="99">
        <v>420</v>
      </c>
    </row>
    <row r="141" spans="1:8" ht="18" x14ac:dyDescent="0.35">
      <c r="A141" s="96">
        <v>139</v>
      </c>
      <c r="B141" s="97">
        <v>44335</v>
      </c>
      <c r="C141" s="98" t="s">
        <v>999</v>
      </c>
      <c r="D141" s="98" t="s">
        <v>1000</v>
      </c>
      <c r="E141" s="98" t="s">
        <v>245</v>
      </c>
      <c r="F141" s="99">
        <v>7</v>
      </c>
      <c r="G141" s="99">
        <v>2100</v>
      </c>
      <c r="H141" s="99">
        <v>14700</v>
      </c>
    </row>
    <row r="142" spans="1:8" ht="18" x14ac:dyDescent="0.35">
      <c r="A142" s="96">
        <v>140</v>
      </c>
      <c r="B142" s="97">
        <v>44336</v>
      </c>
      <c r="C142" s="98" t="s">
        <v>999</v>
      </c>
      <c r="D142" s="98" t="s">
        <v>1002</v>
      </c>
      <c r="E142" s="98" t="s">
        <v>246</v>
      </c>
      <c r="F142" s="99">
        <v>6</v>
      </c>
      <c r="G142" s="99">
        <v>1200</v>
      </c>
      <c r="H142" s="99">
        <v>7200</v>
      </c>
    </row>
    <row r="143" spans="1:8" ht="18" x14ac:dyDescent="0.35">
      <c r="A143" s="96">
        <v>141</v>
      </c>
      <c r="B143" s="97">
        <v>44337</v>
      </c>
      <c r="C143" s="98" t="s">
        <v>999</v>
      </c>
      <c r="D143" s="98" t="s">
        <v>1008</v>
      </c>
      <c r="E143" s="98" t="s">
        <v>1004</v>
      </c>
      <c r="F143" s="99">
        <v>5</v>
      </c>
      <c r="G143" s="99">
        <v>1500</v>
      </c>
      <c r="H143" s="99">
        <v>7500</v>
      </c>
    </row>
    <row r="144" spans="1:8" ht="18" x14ac:dyDescent="0.35">
      <c r="A144" s="96">
        <v>142</v>
      </c>
      <c r="B144" s="97">
        <v>44338</v>
      </c>
      <c r="C144" s="98" t="s">
        <v>999</v>
      </c>
      <c r="D144" s="98" t="s">
        <v>1009</v>
      </c>
      <c r="E144" s="98" t="s">
        <v>1006</v>
      </c>
      <c r="F144" s="99">
        <v>4</v>
      </c>
      <c r="G144" s="99">
        <v>300</v>
      </c>
      <c r="H144" s="99">
        <v>1200</v>
      </c>
    </row>
    <row r="145" spans="1:8" ht="18" x14ac:dyDescent="0.35">
      <c r="A145" s="96">
        <v>143</v>
      </c>
      <c r="B145" s="97">
        <v>44339</v>
      </c>
      <c r="C145" s="98" t="s">
        <v>1001</v>
      </c>
      <c r="D145" s="98" t="s">
        <v>1002</v>
      </c>
      <c r="E145" s="98" t="s">
        <v>49</v>
      </c>
      <c r="F145" s="99">
        <v>3</v>
      </c>
      <c r="G145" s="99">
        <v>190</v>
      </c>
      <c r="H145" s="99">
        <v>570</v>
      </c>
    </row>
    <row r="146" spans="1:8" ht="18" x14ac:dyDescent="0.35">
      <c r="A146" s="96">
        <v>144</v>
      </c>
      <c r="B146" s="97">
        <v>44340</v>
      </c>
      <c r="C146" s="98" t="s">
        <v>1001</v>
      </c>
      <c r="D146" s="98" t="s">
        <v>1000</v>
      </c>
      <c r="E146" s="98" t="s">
        <v>1006</v>
      </c>
      <c r="F146" s="99">
        <v>4</v>
      </c>
      <c r="G146" s="99">
        <v>300</v>
      </c>
      <c r="H146" s="99">
        <v>1200</v>
      </c>
    </row>
    <row r="147" spans="1:8" ht="18" x14ac:dyDescent="0.35">
      <c r="A147" s="96">
        <v>145</v>
      </c>
      <c r="B147" s="97">
        <v>44341</v>
      </c>
      <c r="C147" s="98" t="s">
        <v>1001</v>
      </c>
      <c r="D147" s="98" t="s">
        <v>1008</v>
      </c>
      <c r="E147" s="98" t="s">
        <v>1006</v>
      </c>
      <c r="F147" s="99">
        <v>4</v>
      </c>
      <c r="G147" s="99">
        <v>300</v>
      </c>
      <c r="H147" s="99">
        <v>1200</v>
      </c>
    </row>
    <row r="148" spans="1:8" ht="18" x14ac:dyDescent="0.35">
      <c r="A148" s="96">
        <v>146</v>
      </c>
      <c r="B148" s="97">
        <v>44342</v>
      </c>
      <c r="C148" s="98" t="s">
        <v>1001</v>
      </c>
      <c r="D148" s="98" t="s">
        <v>1009</v>
      </c>
      <c r="E148" s="98" t="s">
        <v>1006</v>
      </c>
      <c r="F148" s="99">
        <v>4</v>
      </c>
      <c r="G148" s="99">
        <v>300</v>
      </c>
      <c r="H148" s="99">
        <v>1200</v>
      </c>
    </row>
    <row r="149" spans="1:8" ht="18" x14ac:dyDescent="0.35">
      <c r="A149" s="96">
        <v>147</v>
      </c>
      <c r="B149" s="97">
        <v>44343</v>
      </c>
      <c r="C149" s="98" t="s">
        <v>1001</v>
      </c>
      <c r="D149" s="98" t="s">
        <v>1002</v>
      </c>
      <c r="E149" s="98" t="s">
        <v>1006</v>
      </c>
      <c r="F149" s="99">
        <v>4</v>
      </c>
      <c r="G149" s="99">
        <v>300</v>
      </c>
      <c r="H149" s="99">
        <v>1200</v>
      </c>
    </row>
    <row r="150" spans="1:8" ht="18" x14ac:dyDescent="0.35">
      <c r="A150" s="96">
        <v>148</v>
      </c>
      <c r="B150" s="97">
        <v>44344</v>
      </c>
      <c r="C150" s="98" t="s">
        <v>1001</v>
      </c>
      <c r="D150" s="98" t="s">
        <v>1000</v>
      </c>
      <c r="E150" s="98" t="s">
        <v>1006</v>
      </c>
      <c r="F150" s="99">
        <v>4</v>
      </c>
      <c r="G150" s="99">
        <v>300</v>
      </c>
      <c r="H150" s="99">
        <v>1200</v>
      </c>
    </row>
    <row r="151" spans="1:8" ht="18" x14ac:dyDescent="0.35">
      <c r="A151" s="96">
        <v>149</v>
      </c>
      <c r="B151" s="97">
        <v>44345</v>
      </c>
      <c r="C151" s="98" t="s">
        <v>1001</v>
      </c>
      <c r="D151" s="98" t="s">
        <v>1008</v>
      </c>
      <c r="E151" s="98" t="s">
        <v>1006</v>
      </c>
      <c r="F151" s="99">
        <v>4</v>
      </c>
      <c r="G151" s="99">
        <v>300</v>
      </c>
      <c r="H151" s="99">
        <v>1200</v>
      </c>
    </row>
    <row r="152" spans="1:8" ht="18" x14ac:dyDescent="0.35">
      <c r="A152" s="96">
        <v>150</v>
      </c>
      <c r="B152" s="97">
        <v>44346</v>
      </c>
      <c r="C152" s="98" t="s">
        <v>1001</v>
      </c>
      <c r="D152" s="98" t="s">
        <v>1009</v>
      </c>
      <c r="E152" s="98" t="s">
        <v>1006</v>
      </c>
      <c r="F152" s="99">
        <v>4</v>
      </c>
      <c r="G152" s="99">
        <v>300</v>
      </c>
      <c r="H152" s="99">
        <v>1200</v>
      </c>
    </row>
    <row r="153" spans="1:8" ht="18" x14ac:dyDescent="0.35">
      <c r="A153" s="96">
        <v>151</v>
      </c>
      <c r="B153" s="97">
        <v>44347</v>
      </c>
      <c r="C153" s="98" t="s">
        <v>1003</v>
      </c>
      <c r="D153" s="98" t="s">
        <v>1009</v>
      </c>
      <c r="E153" s="98" t="s">
        <v>1006</v>
      </c>
      <c r="F153" s="99">
        <v>4</v>
      </c>
      <c r="G153" s="99">
        <v>300</v>
      </c>
      <c r="H153" s="99">
        <v>1200</v>
      </c>
    </row>
    <row r="154" spans="1:8" ht="18" x14ac:dyDescent="0.35">
      <c r="A154" s="96">
        <v>152</v>
      </c>
      <c r="B154" s="97">
        <v>44348</v>
      </c>
      <c r="C154" s="98" t="s">
        <v>988</v>
      </c>
      <c r="D154" s="98" t="s">
        <v>1009</v>
      </c>
      <c r="E154" s="98" t="s">
        <v>245</v>
      </c>
      <c r="F154" s="99">
        <v>6</v>
      </c>
      <c r="G154" s="99">
        <v>2100</v>
      </c>
      <c r="H154" s="99">
        <v>12600</v>
      </c>
    </row>
    <row r="155" spans="1:8" ht="18" x14ac:dyDescent="0.35">
      <c r="A155" s="96">
        <v>153</v>
      </c>
      <c r="B155" s="97">
        <v>44349</v>
      </c>
      <c r="C155" s="98" t="s">
        <v>1005</v>
      </c>
      <c r="D155" s="98" t="s">
        <v>1009</v>
      </c>
      <c r="E155" s="98" t="s">
        <v>246</v>
      </c>
      <c r="F155" s="99">
        <v>5</v>
      </c>
      <c r="G155" s="99">
        <v>1200</v>
      </c>
      <c r="H155" s="99">
        <v>6000</v>
      </c>
    </row>
    <row r="156" spans="1:8" ht="18" x14ac:dyDescent="0.35">
      <c r="A156" s="96">
        <v>154</v>
      </c>
      <c r="B156" s="97">
        <v>44350</v>
      </c>
      <c r="C156" s="98" t="s">
        <v>1007</v>
      </c>
      <c r="D156" s="98" t="s">
        <v>1009</v>
      </c>
      <c r="E156" s="98" t="s">
        <v>1004</v>
      </c>
      <c r="F156" s="99">
        <v>4</v>
      </c>
      <c r="G156" s="99">
        <v>1500</v>
      </c>
      <c r="H156" s="99">
        <v>6000</v>
      </c>
    </row>
    <row r="157" spans="1:8" ht="18" x14ac:dyDescent="0.35">
      <c r="A157" s="96">
        <v>155</v>
      </c>
      <c r="B157" s="97">
        <v>44351</v>
      </c>
      <c r="C157" s="98" t="s">
        <v>1007</v>
      </c>
      <c r="D157" s="98" t="s">
        <v>1000</v>
      </c>
      <c r="E157" s="98" t="s">
        <v>1006</v>
      </c>
      <c r="F157" s="99">
        <v>3</v>
      </c>
      <c r="G157" s="99">
        <v>300</v>
      </c>
      <c r="H157" s="99">
        <v>900</v>
      </c>
    </row>
    <row r="158" spans="1:8" ht="18" x14ac:dyDescent="0.35">
      <c r="A158" s="96">
        <v>156</v>
      </c>
      <c r="B158" s="97">
        <v>44352</v>
      </c>
      <c r="C158" s="98" t="s">
        <v>1007</v>
      </c>
      <c r="D158" s="98" t="s">
        <v>1002</v>
      </c>
      <c r="E158" s="98" t="s">
        <v>49</v>
      </c>
      <c r="F158" s="99">
        <v>2</v>
      </c>
      <c r="G158" s="99">
        <v>190</v>
      </c>
      <c r="H158" s="99">
        <v>380</v>
      </c>
    </row>
    <row r="159" spans="1:8" ht="18" x14ac:dyDescent="0.35">
      <c r="A159" s="96">
        <v>157</v>
      </c>
      <c r="B159" s="97">
        <v>44353</v>
      </c>
      <c r="C159" s="98" t="s">
        <v>1007</v>
      </c>
      <c r="D159" s="98" t="s">
        <v>1008</v>
      </c>
      <c r="E159" s="98" t="s">
        <v>50</v>
      </c>
      <c r="F159" s="99">
        <v>7</v>
      </c>
      <c r="G159" s="99">
        <v>210</v>
      </c>
      <c r="H159" s="99">
        <v>1470</v>
      </c>
    </row>
    <row r="160" spans="1:8" ht="18" x14ac:dyDescent="0.35">
      <c r="A160" s="96">
        <v>158</v>
      </c>
      <c r="B160" s="97">
        <v>44354</v>
      </c>
      <c r="C160" s="98" t="s">
        <v>1007</v>
      </c>
      <c r="D160" s="98" t="s">
        <v>1009</v>
      </c>
      <c r="E160" s="98" t="s">
        <v>245</v>
      </c>
      <c r="F160" s="99">
        <v>6</v>
      </c>
      <c r="G160" s="99">
        <v>2100</v>
      </c>
      <c r="H160" s="99">
        <v>12600</v>
      </c>
    </row>
    <row r="161" spans="1:8" ht="18" x14ac:dyDescent="0.35">
      <c r="A161" s="96">
        <v>159</v>
      </c>
      <c r="B161" s="97">
        <v>44355</v>
      </c>
      <c r="C161" s="98" t="s">
        <v>1007</v>
      </c>
      <c r="D161" s="98" t="s">
        <v>1000</v>
      </c>
      <c r="E161" s="98" t="s">
        <v>246</v>
      </c>
      <c r="F161" s="99">
        <v>5</v>
      </c>
      <c r="G161" s="99">
        <v>1200</v>
      </c>
      <c r="H161" s="99">
        <v>6000</v>
      </c>
    </row>
    <row r="162" spans="1:8" ht="18" x14ac:dyDescent="0.35">
      <c r="A162" s="96">
        <v>160</v>
      </c>
      <c r="B162" s="97">
        <v>44356</v>
      </c>
      <c r="C162" s="98" t="s">
        <v>1007</v>
      </c>
      <c r="D162" s="98" t="s">
        <v>1002</v>
      </c>
      <c r="E162" s="98" t="s">
        <v>1004</v>
      </c>
      <c r="F162" s="99">
        <v>4</v>
      </c>
      <c r="G162" s="99">
        <v>1500</v>
      </c>
      <c r="H162" s="99">
        <v>6000</v>
      </c>
    </row>
    <row r="163" spans="1:8" ht="18" x14ac:dyDescent="0.35">
      <c r="A163" s="96">
        <v>161</v>
      </c>
      <c r="B163" s="97">
        <v>44357</v>
      </c>
      <c r="C163" s="98" t="s">
        <v>1007</v>
      </c>
      <c r="D163" s="98" t="s">
        <v>1008</v>
      </c>
      <c r="E163" s="98" t="s">
        <v>1006</v>
      </c>
      <c r="F163" s="99">
        <v>3</v>
      </c>
      <c r="G163" s="99">
        <v>300</v>
      </c>
      <c r="H163" s="99">
        <v>900</v>
      </c>
    </row>
    <row r="164" spans="1:8" ht="18" x14ac:dyDescent="0.35">
      <c r="A164" s="96">
        <v>162</v>
      </c>
      <c r="B164" s="97">
        <v>44358</v>
      </c>
      <c r="C164" s="98" t="s">
        <v>1007</v>
      </c>
      <c r="D164" s="98" t="s">
        <v>1009</v>
      </c>
      <c r="E164" s="98" t="s">
        <v>49</v>
      </c>
      <c r="F164" s="99">
        <v>2</v>
      </c>
      <c r="G164" s="99">
        <v>190</v>
      </c>
      <c r="H164" s="99">
        <v>380</v>
      </c>
    </row>
    <row r="165" spans="1:8" ht="18" x14ac:dyDescent="0.35">
      <c r="A165" s="96">
        <v>163</v>
      </c>
      <c r="B165" s="97">
        <v>44359</v>
      </c>
      <c r="C165" s="98" t="s">
        <v>999</v>
      </c>
      <c r="D165" s="98" t="s">
        <v>1000</v>
      </c>
      <c r="E165" s="98" t="s">
        <v>50</v>
      </c>
      <c r="F165" s="99">
        <v>2</v>
      </c>
      <c r="G165" s="99">
        <v>210</v>
      </c>
      <c r="H165" s="99">
        <v>420</v>
      </c>
    </row>
    <row r="166" spans="1:8" ht="18" x14ac:dyDescent="0.35">
      <c r="A166" s="96">
        <v>164</v>
      </c>
      <c r="B166" s="97">
        <v>44360</v>
      </c>
      <c r="C166" s="98" t="s">
        <v>1001</v>
      </c>
      <c r="D166" s="98" t="s">
        <v>1002</v>
      </c>
      <c r="E166" s="98" t="s">
        <v>245</v>
      </c>
      <c r="F166" s="99">
        <v>7</v>
      </c>
      <c r="G166" s="99">
        <v>2100</v>
      </c>
      <c r="H166" s="99">
        <v>14700</v>
      </c>
    </row>
    <row r="167" spans="1:8" ht="18" x14ac:dyDescent="0.35">
      <c r="A167" s="96">
        <v>165</v>
      </c>
      <c r="B167" s="97">
        <v>44361</v>
      </c>
      <c r="C167" s="98" t="s">
        <v>1003</v>
      </c>
      <c r="D167" s="98" t="s">
        <v>1000</v>
      </c>
      <c r="E167" s="98" t="s">
        <v>246</v>
      </c>
      <c r="F167" s="99">
        <v>6</v>
      </c>
      <c r="G167" s="99">
        <v>1200</v>
      </c>
      <c r="H167" s="99">
        <v>7200</v>
      </c>
    </row>
    <row r="168" spans="1:8" ht="18" x14ac:dyDescent="0.35">
      <c r="A168" s="96">
        <v>166</v>
      </c>
      <c r="B168" s="97">
        <v>44362</v>
      </c>
      <c r="C168" s="98" t="s">
        <v>988</v>
      </c>
      <c r="D168" s="98" t="s">
        <v>1002</v>
      </c>
      <c r="E168" s="98" t="s">
        <v>1004</v>
      </c>
      <c r="F168" s="99">
        <v>5</v>
      </c>
      <c r="G168" s="99">
        <v>1500</v>
      </c>
      <c r="H168" s="99">
        <v>7500</v>
      </c>
    </row>
    <row r="169" spans="1:8" ht="18" x14ac:dyDescent="0.35">
      <c r="A169" s="96">
        <v>167</v>
      </c>
      <c r="B169" s="97">
        <v>44363</v>
      </c>
      <c r="C169" s="98" t="s">
        <v>1005</v>
      </c>
      <c r="D169" s="98" t="s">
        <v>1000</v>
      </c>
      <c r="E169" s="98" t="s">
        <v>1006</v>
      </c>
      <c r="F169" s="99">
        <v>4</v>
      </c>
      <c r="G169" s="99">
        <v>300</v>
      </c>
      <c r="H169" s="99">
        <v>1200</v>
      </c>
    </row>
    <row r="170" spans="1:8" ht="18" x14ac:dyDescent="0.35">
      <c r="A170" s="96">
        <v>168</v>
      </c>
      <c r="B170" s="97">
        <v>44364</v>
      </c>
      <c r="C170" s="98" t="s">
        <v>1007</v>
      </c>
      <c r="D170" s="98" t="s">
        <v>1000</v>
      </c>
      <c r="E170" s="98" t="s">
        <v>49</v>
      </c>
      <c r="F170" s="99">
        <v>3</v>
      </c>
      <c r="G170" s="99">
        <v>190</v>
      </c>
      <c r="H170" s="99">
        <v>570</v>
      </c>
    </row>
    <row r="171" spans="1:8" ht="18" x14ac:dyDescent="0.35">
      <c r="A171" s="96">
        <v>169</v>
      </c>
      <c r="B171" s="97">
        <v>44365</v>
      </c>
      <c r="C171" s="98" t="s">
        <v>999</v>
      </c>
      <c r="D171" s="98" t="s">
        <v>1000</v>
      </c>
      <c r="E171" s="98" t="s">
        <v>50</v>
      </c>
      <c r="F171" s="99">
        <v>2</v>
      </c>
      <c r="G171" s="99">
        <v>210</v>
      </c>
      <c r="H171" s="99">
        <v>420</v>
      </c>
    </row>
    <row r="172" spans="1:8" ht="18" x14ac:dyDescent="0.35">
      <c r="A172" s="96">
        <v>170</v>
      </c>
      <c r="B172" s="97">
        <v>44366</v>
      </c>
      <c r="C172" s="98" t="s">
        <v>1001</v>
      </c>
      <c r="D172" s="98" t="s">
        <v>1002</v>
      </c>
      <c r="E172" s="98" t="s">
        <v>246</v>
      </c>
      <c r="F172" s="99">
        <v>7</v>
      </c>
      <c r="G172" s="99">
        <v>2100</v>
      </c>
      <c r="H172" s="99">
        <v>14700</v>
      </c>
    </row>
    <row r="173" spans="1:8" ht="18" x14ac:dyDescent="0.35">
      <c r="A173" s="96">
        <v>171</v>
      </c>
      <c r="B173" s="97">
        <v>44367</v>
      </c>
      <c r="C173" s="98" t="s">
        <v>1003</v>
      </c>
      <c r="D173" s="98" t="s">
        <v>1002</v>
      </c>
      <c r="E173" s="98" t="s">
        <v>1004</v>
      </c>
      <c r="F173" s="99">
        <v>6</v>
      </c>
      <c r="G173" s="99">
        <v>1200</v>
      </c>
      <c r="H173" s="99">
        <v>7200</v>
      </c>
    </row>
    <row r="174" spans="1:8" ht="18" x14ac:dyDescent="0.35">
      <c r="A174" s="96">
        <v>172</v>
      </c>
      <c r="B174" s="97">
        <v>44368</v>
      </c>
      <c r="C174" s="98" t="s">
        <v>988</v>
      </c>
      <c r="D174" s="98" t="s">
        <v>1000</v>
      </c>
      <c r="E174" s="98" t="s">
        <v>1006</v>
      </c>
      <c r="F174" s="99">
        <v>5</v>
      </c>
      <c r="G174" s="99">
        <v>300</v>
      </c>
      <c r="H174" s="99">
        <v>1500</v>
      </c>
    </row>
    <row r="175" spans="1:8" ht="18" x14ac:dyDescent="0.35">
      <c r="A175" s="96">
        <v>173</v>
      </c>
      <c r="B175" s="97">
        <v>44369</v>
      </c>
      <c r="C175" s="98" t="s">
        <v>1005</v>
      </c>
      <c r="D175" s="98" t="s">
        <v>1000</v>
      </c>
      <c r="E175" s="98" t="s">
        <v>49</v>
      </c>
      <c r="F175" s="99">
        <v>4</v>
      </c>
      <c r="G175" s="99">
        <v>200</v>
      </c>
      <c r="H175" s="99">
        <v>800</v>
      </c>
    </row>
    <row r="176" spans="1:8" ht="18" x14ac:dyDescent="0.35">
      <c r="A176" s="96">
        <v>174</v>
      </c>
      <c r="B176" s="97">
        <v>44370</v>
      </c>
      <c r="C176" s="98" t="s">
        <v>1007</v>
      </c>
      <c r="D176" s="98" t="s">
        <v>1002</v>
      </c>
      <c r="E176" s="98" t="s">
        <v>50</v>
      </c>
      <c r="F176" s="99">
        <v>3</v>
      </c>
      <c r="G176" s="99">
        <v>190</v>
      </c>
      <c r="H176" s="99">
        <v>570</v>
      </c>
    </row>
    <row r="177" spans="1:8" ht="18" x14ac:dyDescent="0.35">
      <c r="A177" s="96">
        <v>175</v>
      </c>
      <c r="B177" s="97">
        <v>44371</v>
      </c>
      <c r="C177" s="98" t="s">
        <v>1007</v>
      </c>
      <c r="D177" s="98" t="s">
        <v>1000</v>
      </c>
      <c r="E177" s="98" t="s">
        <v>245</v>
      </c>
      <c r="F177" s="99">
        <v>2</v>
      </c>
      <c r="G177" s="99">
        <v>2100</v>
      </c>
      <c r="H177" s="99">
        <v>4200</v>
      </c>
    </row>
    <row r="178" spans="1:8" ht="18" x14ac:dyDescent="0.35">
      <c r="A178" s="96">
        <v>176</v>
      </c>
      <c r="B178" s="97">
        <v>44372</v>
      </c>
      <c r="C178" s="98" t="s">
        <v>999</v>
      </c>
      <c r="D178" s="98" t="s">
        <v>1000</v>
      </c>
      <c r="E178" s="98" t="s">
        <v>50</v>
      </c>
      <c r="F178" s="99">
        <v>7</v>
      </c>
      <c r="G178" s="99">
        <v>210</v>
      </c>
      <c r="H178" s="99">
        <v>1470</v>
      </c>
    </row>
    <row r="179" spans="1:8" ht="18" x14ac:dyDescent="0.35">
      <c r="A179" s="96">
        <v>177</v>
      </c>
      <c r="B179" s="97">
        <v>44373</v>
      </c>
      <c r="C179" s="98" t="s">
        <v>1001</v>
      </c>
      <c r="D179" s="98" t="s">
        <v>1000</v>
      </c>
      <c r="E179" s="98" t="s">
        <v>50</v>
      </c>
      <c r="F179" s="99">
        <v>3</v>
      </c>
      <c r="G179" s="99">
        <v>190</v>
      </c>
      <c r="H179" s="99">
        <v>570</v>
      </c>
    </row>
    <row r="180" spans="1:8" ht="18" x14ac:dyDescent="0.35">
      <c r="A180" s="96">
        <v>178</v>
      </c>
      <c r="B180" s="97">
        <v>44374</v>
      </c>
      <c r="C180" s="98" t="s">
        <v>1003</v>
      </c>
      <c r="D180" s="98" t="s">
        <v>1000</v>
      </c>
      <c r="E180" s="98" t="s">
        <v>50</v>
      </c>
      <c r="F180" s="99">
        <v>3</v>
      </c>
      <c r="G180" s="99">
        <v>190</v>
      </c>
      <c r="H180" s="99">
        <v>570</v>
      </c>
    </row>
    <row r="181" spans="1:8" ht="18" x14ac:dyDescent="0.35">
      <c r="A181" s="96">
        <v>179</v>
      </c>
      <c r="B181" s="97">
        <v>44375</v>
      </c>
      <c r="C181" s="98" t="s">
        <v>988</v>
      </c>
      <c r="D181" s="98" t="s">
        <v>1000</v>
      </c>
      <c r="E181" s="98" t="s">
        <v>50</v>
      </c>
      <c r="F181" s="99">
        <v>3</v>
      </c>
      <c r="G181" s="99">
        <v>190</v>
      </c>
      <c r="H181" s="99">
        <v>570</v>
      </c>
    </row>
    <row r="182" spans="1:8" ht="18" x14ac:dyDescent="0.35">
      <c r="A182" s="96">
        <v>180</v>
      </c>
      <c r="B182" s="97">
        <v>44376</v>
      </c>
      <c r="C182" s="98" t="s">
        <v>1005</v>
      </c>
      <c r="D182" s="98" t="s">
        <v>1000</v>
      </c>
      <c r="E182" s="98" t="s">
        <v>50</v>
      </c>
      <c r="F182" s="99">
        <v>3</v>
      </c>
      <c r="G182" s="99">
        <v>190</v>
      </c>
      <c r="H182" s="99">
        <v>570</v>
      </c>
    </row>
    <row r="183" spans="1:8" ht="18" x14ac:dyDescent="0.35">
      <c r="A183" s="96">
        <v>181</v>
      </c>
      <c r="B183" s="97">
        <v>44377</v>
      </c>
      <c r="C183" s="98" t="s">
        <v>1007</v>
      </c>
      <c r="D183" s="98" t="s">
        <v>1000</v>
      </c>
      <c r="E183" s="98" t="s">
        <v>50</v>
      </c>
      <c r="F183" s="99">
        <v>3</v>
      </c>
      <c r="G183" s="99">
        <v>190</v>
      </c>
      <c r="H183" s="99">
        <v>570</v>
      </c>
    </row>
    <row r="184" spans="1:8" ht="18" x14ac:dyDescent="0.35">
      <c r="A184" s="96">
        <v>182</v>
      </c>
      <c r="B184" s="97">
        <v>44378</v>
      </c>
      <c r="C184" s="98" t="s">
        <v>999</v>
      </c>
      <c r="D184" s="98" t="s">
        <v>1000</v>
      </c>
      <c r="E184" s="98" t="s">
        <v>50</v>
      </c>
      <c r="F184" s="99">
        <v>3</v>
      </c>
      <c r="G184" s="99">
        <v>190</v>
      </c>
      <c r="H184" s="99">
        <v>570</v>
      </c>
    </row>
    <row r="185" spans="1:8" ht="18" x14ac:dyDescent="0.35">
      <c r="A185" s="96">
        <v>183</v>
      </c>
      <c r="B185" s="97">
        <v>44379</v>
      </c>
      <c r="C185" s="98" t="s">
        <v>1001</v>
      </c>
      <c r="D185" s="98" t="s">
        <v>1002</v>
      </c>
      <c r="E185" s="98" t="s">
        <v>50</v>
      </c>
      <c r="F185" s="99">
        <v>3</v>
      </c>
      <c r="G185" s="99">
        <v>190</v>
      </c>
      <c r="H185" s="99">
        <v>570</v>
      </c>
    </row>
    <row r="186" spans="1:8" ht="18" x14ac:dyDescent="0.35">
      <c r="A186" s="96">
        <v>184</v>
      </c>
      <c r="B186" s="97">
        <v>44380</v>
      </c>
      <c r="C186" s="98" t="s">
        <v>1003</v>
      </c>
      <c r="D186" s="98" t="s">
        <v>1000</v>
      </c>
      <c r="E186" s="98" t="s">
        <v>246</v>
      </c>
      <c r="F186" s="99">
        <v>5</v>
      </c>
      <c r="G186" s="99">
        <v>1200</v>
      </c>
      <c r="H186" s="99">
        <v>6000</v>
      </c>
    </row>
    <row r="187" spans="1:8" ht="18" x14ac:dyDescent="0.35">
      <c r="A187" s="96">
        <v>185</v>
      </c>
      <c r="B187" s="97">
        <v>44381</v>
      </c>
      <c r="C187" s="98" t="s">
        <v>988</v>
      </c>
      <c r="D187" s="98" t="s">
        <v>1002</v>
      </c>
      <c r="E187" s="98" t="s">
        <v>1004</v>
      </c>
      <c r="F187" s="99">
        <v>4</v>
      </c>
      <c r="G187" s="99">
        <v>1500</v>
      </c>
      <c r="H187" s="99">
        <v>6000</v>
      </c>
    </row>
    <row r="188" spans="1:8" ht="18" x14ac:dyDescent="0.35">
      <c r="A188" s="96">
        <v>186</v>
      </c>
      <c r="B188" s="97">
        <v>44382</v>
      </c>
      <c r="C188" s="98" t="s">
        <v>1005</v>
      </c>
      <c r="D188" s="98" t="s">
        <v>1000</v>
      </c>
      <c r="E188" s="98" t="s">
        <v>1006</v>
      </c>
      <c r="F188" s="99">
        <v>3</v>
      </c>
      <c r="G188" s="99">
        <v>300</v>
      </c>
      <c r="H188" s="99">
        <v>900</v>
      </c>
    </row>
    <row r="189" spans="1:8" ht="18" x14ac:dyDescent="0.35">
      <c r="A189" s="96">
        <v>187</v>
      </c>
      <c r="B189" s="97">
        <v>44383</v>
      </c>
      <c r="C189" s="98" t="s">
        <v>1007</v>
      </c>
      <c r="D189" s="98" t="s">
        <v>1000</v>
      </c>
      <c r="E189" s="98" t="s">
        <v>49</v>
      </c>
      <c r="F189" s="99">
        <v>2</v>
      </c>
      <c r="G189" s="99">
        <v>190</v>
      </c>
      <c r="H189" s="99">
        <v>380</v>
      </c>
    </row>
    <row r="190" spans="1:8" ht="18" x14ac:dyDescent="0.35">
      <c r="A190" s="96">
        <v>188</v>
      </c>
      <c r="B190" s="97">
        <v>44384</v>
      </c>
      <c r="C190" s="98" t="s">
        <v>1007</v>
      </c>
      <c r="D190" s="98" t="s">
        <v>1000</v>
      </c>
      <c r="E190" s="98" t="s">
        <v>50</v>
      </c>
      <c r="F190" s="99">
        <v>2</v>
      </c>
      <c r="G190" s="99">
        <v>210</v>
      </c>
      <c r="H190" s="99">
        <v>420</v>
      </c>
    </row>
    <row r="191" spans="1:8" ht="18" x14ac:dyDescent="0.35">
      <c r="A191" s="96">
        <v>189</v>
      </c>
      <c r="B191" s="97">
        <v>44385</v>
      </c>
      <c r="C191" s="98" t="s">
        <v>999</v>
      </c>
      <c r="D191" s="98" t="s">
        <v>1000</v>
      </c>
      <c r="E191" s="98" t="s">
        <v>245</v>
      </c>
      <c r="F191" s="99">
        <v>7</v>
      </c>
      <c r="G191" s="99">
        <v>2100</v>
      </c>
      <c r="H191" s="99">
        <v>14700</v>
      </c>
    </row>
    <row r="192" spans="1:8" ht="18" x14ac:dyDescent="0.35">
      <c r="A192" s="96">
        <v>190</v>
      </c>
      <c r="B192" s="97">
        <v>44386</v>
      </c>
      <c r="C192" s="98" t="s">
        <v>999</v>
      </c>
      <c r="D192" s="98" t="s">
        <v>1002</v>
      </c>
      <c r="E192" s="98" t="s">
        <v>246</v>
      </c>
      <c r="F192" s="99">
        <v>6</v>
      </c>
      <c r="G192" s="99">
        <v>1200</v>
      </c>
      <c r="H192" s="99">
        <v>7200</v>
      </c>
    </row>
    <row r="193" spans="1:8" ht="18" x14ac:dyDescent="0.35">
      <c r="A193" s="96">
        <v>191</v>
      </c>
      <c r="B193" s="97">
        <v>44387</v>
      </c>
      <c r="C193" s="98" t="s">
        <v>999</v>
      </c>
      <c r="D193" s="98" t="s">
        <v>1008</v>
      </c>
      <c r="E193" s="98" t="s">
        <v>1004</v>
      </c>
      <c r="F193" s="99">
        <v>5</v>
      </c>
      <c r="G193" s="99">
        <v>1500</v>
      </c>
      <c r="H193" s="99">
        <v>7500</v>
      </c>
    </row>
    <row r="194" spans="1:8" ht="18" x14ac:dyDescent="0.35">
      <c r="A194" s="96">
        <v>192</v>
      </c>
      <c r="B194" s="97">
        <v>44388</v>
      </c>
      <c r="C194" s="98" t="s">
        <v>999</v>
      </c>
      <c r="D194" s="98" t="s">
        <v>1009</v>
      </c>
      <c r="E194" s="98" t="s">
        <v>1006</v>
      </c>
      <c r="F194" s="99">
        <v>4</v>
      </c>
      <c r="G194" s="99">
        <v>300</v>
      </c>
      <c r="H194" s="99">
        <v>1200</v>
      </c>
    </row>
    <row r="195" spans="1:8" ht="18" x14ac:dyDescent="0.35">
      <c r="A195" s="96">
        <v>193</v>
      </c>
      <c r="B195" s="97">
        <v>44389</v>
      </c>
      <c r="C195" s="98" t="s">
        <v>999</v>
      </c>
      <c r="D195" s="98" t="s">
        <v>1000</v>
      </c>
      <c r="E195" s="98" t="s">
        <v>49</v>
      </c>
      <c r="F195" s="99">
        <v>3</v>
      </c>
      <c r="G195" s="99">
        <v>190</v>
      </c>
      <c r="H195" s="99">
        <v>570</v>
      </c>
    </row>
    <row r="196" spans="1:8" ht="18" x14ac:dyDescent="0.35">
      <c r="A196" s="96">
        <v>194</v>
      </c>
      <c r="B196" s="97">
        <v>44390</v>
      </c>
      <c r="C196" s="98" t="s">
        <v>999</v>
      </c>
      <c r="D196" s="98" t="s">
        <v>1002</v>
      </c>
      <c r="E196" s="98" t="s">
        <v>50</v>
      </c>
      <c r="F196" s="99">
        <v>2</v>
      </c>
      <c r="G196" s="99">
        <v>210</v>
      </c>
      <c r="H196" s="99">
        <v>420</v>
      </c>
    </row>
    <row r="197" spans="1:8" ht="18" x14ac:dyDescent="0.35">
      <c r="A197" s="96">
        <v>195</v>
      </c>
      <c r="B197" s="97">
        <v>44391</v>
      </c>
      <c r="C197" s="98" t="s">
        <v>999</v>
      </c>
      <c r="D197" s="98" t="s">
        <v>1008</v>
      </c>
      <c r="E197" s="98" t="s">
        <v>246</v>
      </c>
      <c r="F197" s="99">
        <v>7</v>
      </c>
      <c r="G197" s="99">
        <v>2100</v>
      </c>
      <c r="H197" s="99">
        <v>14700</v>
      </c>
    </row>
    <row r="198" spans="1:8" ht="18" x14ac:dyDescent="0.35">
      <c r="A198" s="96">
        <v>196</v>
      </c>
      <c r="B198" s="97">
        <v>44392</v>
      </c>
      <c r="C198" s="98" t="s">
        <v>999</v>
      </c>
      <c r="D198" s="98" t="s">
        <v>1009</v>
      </c>
      <c r="E198" s="98" t="s">
        <v>1004</v>
      </c>
      <c r="F198" s="99">
        <v>6</v>
      </c>
      <c r="G198" s="99">
        <v>1200</v>
      </c>
      <c r="H198" s="99">
        <v>7200</v>
      </c>
    </row>
    <row r="199" spans="1:8" ht="18" x14ac:dyDescent="0.35">
      <c r="A199" s="96">
        <v>197</v>
      </c>
      <c r="B199" s="97">
        <v>44393</v>
      </c>
      <c r="C199" s="98" t="s">
        <v>1001</v>
      </c>
      <c r="D199" s="98" t="s">
        <v>1002</v>
      </c>
      <c r="E199" s="98" t="s">
        <v>1006</v>
      </c>
      <c r="F199" s="99">
        <v>5</v>
      </c>
      <c r="G199" s="99">
        <v>300</v>
      </c>
      <c r="H199" s="99">
        <v>1500</v>
      </c>
    </row>
    <row r="200" spans="1:8" ht="18" x14ac:dyDescent="0.35">
      <c r="A200" s="96">
        <v>198</v>
      </c>
      <c r="B200" s="97">
        <v>44394</v>
      </c>
      <c r="C200" s="98" t="s">
        <v>1001</v>
      </c>
      <c r="D200" s="98" t="s">
        <v>1000</v>
      </c>
      <c r="E200" s="98" t="s">
        <v>49</v>
      </c>
      <c r="F200" s="99">
        <v>4</v>
      </c>
      <c r="G200" s="99">
        <v>200</v>
      </c>
      <c r="H200" s="99">
        <v>800</v>
      </c>
    </row>
    <row r="201" spans="1:8" ht="18" x14ac:dyDescent="0.35">
      <c r="A201" s="96">
        <v>199</v>
      </c>
      <c r="B201" s="97">
        <v>44395</v>
      </c>
      <c r="C201" s="98" t="s">
        <v>1001</v>
      </c>
      <c r="D201" s="98" t="s">
        <v>1008</v>
      </c>
      <c r="E201" s="98" t="s">
        <v>50</v>
      </c>
      <c r="F201" s="99">
        <v>3</v>
      </c>
      <c r="G201" s="99">
        <v>190</v>
      </c>
      <c r="H201" s="99">
        <v>570</v>
      </c>
    </row>
    <row r="202" spans="1:8" ht="18" x14ac:dyDescent="0.35">
      <c r="A202" s="96">
        <v>200</v>
      </c>
      <c r="B202" s="97">
        <v>44396</v>
      </c>
      <c r="C202" s="98" t="s">
        <v>1001</v>
      </c>
      <c r="D202" s="98" t="s">
        <v>1009</v>
      </c>
      <c r="E202" s="98" t="s">
        <v>245</v>
      </c>
      <c r="F202" s="99">
        <v>2</v>
      </c>
      <c r="G202" s="99">
        <v>2100</v>
      </c>
      <c r="H202" s="99">
        <v>4200</v>
      </c>
    </row>
    <row r="203" spans="1:8" ht="18" x14ac:dyDescent="0.35">
      <c r="A203" s="96">
        <v>201</v>
      </c>
      <c r="B203" s="97">
        <v>44397</v>
      </c>
      <c r="C203" s="98" t="s">
        <v>1001</v>
      </c>
      <c r="D203" s="98" t="s">
        <v>1002</v>
      </c>
      <c r="E203" s="98" t="s">
        <v>50</v>
      </c>
      <c r="F203" s="99">
        <v>7</v>
      </c>
      <c r="G203" s="99">
        <v>210</v>
      </c>
      <c r="H203" s="99">
        <v>1470</v>
      </c>
    </row>
    <row r="204" spans="1:8" ht="18" x14ac:dyDescent="0.35">
      <c r="A204" s="96">
        <v>202</v>
      </c>
      <c r="B204" s="97">
        <v>44398</v>
      </c>
      <c r="C204" s="98" t="s">
        <v>1001</v>
      </c>
      <c r="D204" s="98" t="s">
        <v>1000</v>
      </c>
      <c r="E204" s="98" t="s">
        <v>245</v>
      </c>
      <c r="F204" s="99">
        <v>6</v>
      </c>
      <c r="G204" s="99">
        <v>2100</v>
      </c>
      <c r="H204" s="99">
        <v>12600</v>
      </c>
    </row>
    <row r="205" spans="1:8" ht="18" x14ac:dyDescent="0.35">
      <c r="A205" s="96">
        <v>203</v>
      </c>
      <c r="B205" s="97">
        <v>44399</v>
      </c>
      <c r="C205" s="98" t="s">
        <v>1001</v>
      </c>
      <c r="D205" s="98" t="s">
        <v>1008</v>
      </c>
      <c r="E205" s="98" t="s">
        <v>246</v>
      </c>
      <c r="F205" s="99">
        <v>5</v>
      </c>
      <c r="G205" s="99">
        <v>1200</v>
      </c>
      <c r="H205" s="99">
        <v>6000</v>
      </c>
    </row>
    <row r="206" spans="1:8" ht="18" x14ac:dyDescent="0.35">
      <c r="A206" s="96">
        <v>204</v>
      </c>
      <c r="B206" s="97">
        <v>44400</v>
      </c>
      <c r="C206" s="98" t="s">
        <v>1001</v>
      </c>
      <c r="D206" s="98" t="s">
        <v>1009</v>
      </c>
      <c r="E206" s="98" t="s">
        <v>1004</v>
      </c>
      <c r="F206" s="99">
        <v>4</v>
      </c>
      <c r="G206" s="99">
        <v>1500</v>
      </c>
      <c r="H206" s="99">
        <v>6000</v>
      </c>
    </row>
    <row r="207" spans="1:8" ht="18" x14ac:dyDescent="0.35">
      <c r="A207" s="96">
        <v>205</v>
      </c>
      <c r="B207" s="97">
        <v>44401</v>
      </c>
      <c r="C207" s="98" t="s">
        <v>1003</v>
      </c>
      <c r="D207" s="98" t="s">
        <v>1009</v>
      </c>
      <c r="E207" s="98" t="s">
        <v>1006</v>
      </c>
      <c r="F207" s="99">
        <v>3</v>
      </c>
      <c r="G207" s="99">
        <v>300</v>
      </c>
      <c r="H207" s="99">
        <v>900</v>
      </c>
    </row>
    <row r="208" spans="1:8" ht="18" x14ac:dyDescent="0.35">
      <c r="A208" s="96">
        <v>206</v>
      </c>
      <c r="B208" s="97">
        <v>44402</v>
      </c>
      <c r="C208" s="98" t="s">
        <v>988</v>
      </c>
      <c r="D208" s="98" t="s">
        <v>1009</v>
      </c>
      <c r="E208" s="98" t="s">
        <v>49</v>
      </c>
      <c r="F208" s="99">
        <v>2</v>
      </c>
      <c r="G208" s="99">
        <v>190</v>
      </c>
      <c r="H208" s="99">
        <v>380</v>
      </c>
    </row>
    <row r="209" spans="1:8" ht="18" x14ac:dyDescent="0.35">
      <c r="A209" s="96">
        <v>207</v>
      </c>
      <c r="B209" s="97">
        <v>44403</v>
      </c>
      <c r="C209" s="98" t="s">
        <v>1005</v>
      </c>
      <c r="D209" s="98" t="s">
        <v>1009</v>
      </c>
      <c r="E209" s="98" t="s">
        <v>50</v>
      </c>
      <c r="F209" s="99">
        <v>7</v>
      </c>
      <c r="G209" s="99">
        <v>210</v>
      </c>
      <c r="H209" s="99">
        <v>1470</v>
      </c>
    </row>
    <row r="210" spans="1:8" ht="18" x14ac:dyDescent="0.35">
      <c r="A210" s="96">
        <v>208</v>
      </c>
      <c r="B210" s="97">
        <v>44404</v>
      </c>
      <c r="C210" s="98" t="s">
        <v>1007</v>
      </c>
      <c r="D210" s="98" t="s">
        <v>1009</v>
      </c>
      <c r="E210" s="98" t="s">
        <v>245</v>
      </c>
      <c r="F210" s="99">
        <v>6</v>
      </c>
      <c r="G210" s="99">
        <v>2100</v>
      </c>
      <c r="H210" s="99">
        <v>12600</v>
      </c>
    </row>
    <row r="211" spans="1:8" ht="18" x14ac:dyDescent="0.35">
      <c r="A211" s="96">
        <v>209</v>
      </c>
      <c r="B211" s="97">
        <v>44405</v>
      </c>
      <c r="C211" s="98" t="s">
        <v>1007</v>
      </c>
      <c r="D211" s="98" t="s">
        <v>1000</v>
      </c>
      <c r="E211" s="98" t="s">
        <v>246</v>
      </c>
      <c r="F211" s="99">
        <v>5</v>
      </c>
      <c r="G211" s="99">
        <v>1200</v>
      </c>
      <c r="H211" s="99">
        <v>6000</v>
      </c>
    </row>
    <row r="212" spans="1:8" ht="18" x14ac:dyDescent="0.35">
      <c r="A212" s="96">
        <v>210</v>
      </c>
      <c r="B212" s="97">
        <v>44406</v>
      </c>
      <c r="C212" s="98" t="s">
        <v>1007</v>
      </c>
      <c r="D212" s="98" t="s">
        <v>1002</v>
      </c>
      <c r="E212" s="98" t="s">
        <v>1004</v>
      </c>
      <c r="F212" s="99">
        <v>4</v>
      </c>
      <c r="G212" s="99">
        <v>1500</v>
      </c>
      <c r="H212" s="99">
        <v>6000</v>
      </c>
    </row>
    <row r="213" spans="1:8" ht="18" x14ac:dyDescent="0.35">
      <c r="A213" s="96">
        <v>211</v>
      </c>
      <c r="B213" s="97">
        <v>44407</v>
      </c>
      <c r="C213" s="98" t="s">
        <v>1007</v>
      </c>
      <c r="D213" s="98" t="s">
        <v>1008</v>
      </c>
      <c r="E213" s="98" t="s">
        <v>1006</v>
      </c>
      <c r="F213" s="99">
        <v>3</v>
      </c>
      <c r="G213" s="99">
        <v>300</v>
      </c>
      <c r="H213" s="99">
        <v>900</v>
      </c>
    </row>
    <row r="214" spans="1:8" ht="18" x14ac:dyDescent="0.35">
      <c r="A214" s="96">
        <v>212</v>
      </c>
      <c r="B214" s="97">
        <v>44408</v>
      </c>
      <c r="C214" s="98" t="s">
        <v>1007</v>
      </c>
      <c r="D214" s="98" t="s">
        <v>1009</v>
      </c>
      <c r="E214" s="98" t="s">
        <v>49</v>
      </c>
      <c r="F214" s="99">
        <v>2</v>
      </c>
      <c r="G214" s="99">
        <v>190</v>
      </c>
      <c r="H214" s="99">
        <v>380</v>
      </c>
    </row>
    <row r="215" spans="1:8" ht="18" x14ac:dyDescent="0.35">
      <c r="A215" s="96">
        <v>213</v>
      </c>
      <c r="B215" s="97">
        <v>44409</v>
      </c>
      <c r="C215" s="98" t="s">
        <v>1007</v>
      </c>
      <c r="D215" s="98" t="s">
        <v>1000</v>
      </c>
      <c r="E215" s="98" t="s">
        <v>50</v>
      </c>
      <c r="F215" s="99">
        <v>2</v>
      </c>
      <c r="G215" s="99">
        <v>210</v>
      </c>
      <c r="H215" s="99">
        <v>420</v>
      </c>
    </row>
    <row r="216" spans="1:8" ht="18" x14ac:dyDescent="0.35">
      <c r="A216" s="96">
        <v>214</v>
      </c>
      <c r="B216" s="97">
        <v>44410</v>
      </c>
      <c r="C216" s="98" t="s">
        <v>1007</v>
      </c>
      <c r="D216" s="98" t="s">
        <v>1002</v>
      </c>
      <c r="E216" s="98" t="s">
        <v>245</v>
      </c>
      <c r="F216" s="99">
        <v>7</v>
      </c>
      <c r="G216" s="99">
        <v>2100</v>
      </c>
      <c r="H216" s="99">
        <v>14700</v>
      </c>
    </row>
    <row r="217" spans="1:8" ht="18" x14ac:dyDescent="0.35">
      <c r="A217" s="96">
        <v>215</v>
      </c>
      <c r="B217" s="97">
        <v>44411</v>
      </c>
      <c r="C217" s="98" t="s">
        <v>1007</v>
      </c>
      <c r="D217" s="98" t="s">
        <v>1008</v>
      </c>
      <c r="E217" s="98" t="s">
        <v>246</v>
      </c>
      <c r="F217" s="99">
        <v>6</v>
      </c>
      <c r="G217" s="99">
        <v>1200</v>
      </c>
      <c r="H217" s="99">
        <v>7200</v>
      </c>
    </row>
    <row r="218" spans="1:8" ht="18" x14ac:dyDescent="0.35">
      <c r="A218" s="96">
        <v>216</v>
      </c>
      <c r="B218" s="97">
        <v>44412</v>
      </c>
      <c r="C218" s="98" t="s">
        <v>1007</v>
      </c>
      <c r="D218" s="98" t="s">
        <v>1009</v>
      </c>
      <c r="E218" s="98" t="s">
        <v>1004</v>
      </c>
      <c r="F218" s="99">
        <v>5</v>
      </c>
      <c r="G218" s="99">
        <v>1500</v>
      </c>
      <c r="H218" s="99">
        <v>7500</v>
      </c>
    </row>
    <row r="219" spans="1:8" ht="18" x14ac:dyDescent="0.35">
      <c r="A219" s="96">
        <v>217</v>
      </c>
      <c r="B219" s="97">
        <v>44413</v>
      </c>
      <c r="C219" s="98" t="s">
        <v>999</v>
      </c>
      <c r="D219" s="98" t="s">
        <v>1000</v>
      </c>
      <c r="E219" s="98" t="s">
        <v>1006</v>
      </c>
      <c r="F219" s="99">
        <v>4</v>
      </c>
      <c r="G219" s="99">
        <v>300</v>
      </c>
      <c r="H219" s="99">
        <v>1200</v>
      </c>
    </row>
    <row r="220" spans="1:8" ht="18" x14ac:dyDescent="0.35">
      <c r="A220" s="96">
        <v>218</v>
      </c>
      <c r="B220" s="97">
        <v>44414</v>
      </c>
      <c r="C220" s="98" t="s">
        <v>1001</v>
      </c>
      <c r="D220" s="98" t="s">
        <v>1002</v>
      </c>
      <c r="E220" s="98" t="s">
        <v>49</v>
      </c>
      <c r="F220" s="99">
        <v>3</v>
      </c>
      <c r="G220" s="99">
        <v>190</v>
      </c>
      <c r="H220" s="99">
        <v>570</v>
      </c>
    </row>
    <row r="221" spans="1:8" ht="18" x14ac:dyDescent="0.35">
      <c r="A221" s="96">
        <v>219</v>
      </c>
      <c r="B221" s="97">
        <v>44415</v>
      </c>
      <c r="C221" s="98" t="s">
        <v>1003</v>
      </c>
      <c r="D221" s="98" t="s">
        <v>1000</v>
      </c>
      <c r="E221" s="98" t="s">
        <v>50</v>
      </c>
      <c r="F221" s="99">
        <v>2</v>
      </c>
      <c r="G221" s="99">
        <v>210</v>
      </c>
      <c r="H221" s="99">
        <v>420</v>
      </c>
    </row>
    <row r="222" spans="1:8" ht="18" x14ac:dyDescent="0.35">
      <c r="A222" s="96">
        <v>220</v>
      </c>
      <c r="B222" s="97">
        <v>44416</v>
      </c>
      <c r="C222" s="98" t="s">
        <v>988</v>
      </c>
      <c r="D222" s="98" t="s">
        <v>1002</v>
      </c>
      <c r="E222" s="98" t="s">
        <v>246</v>
      </c>
      <c r="F222" s="99">
        <v>7</v>
      </c>
      <c r="G222" s="99">
        <v>2100</v>
      </c>
      <c r="H222" s="99">
        <v>14700</v>
      </c>
    </row>
    <row r="223" spans="1:8" ht="18" x14ac:dyDescent="0.35">
      <c r="A223" s="96">
        <v>221</v>
      </c>
      <c r="B223" s="97">
        <v>44417</v>
      </c>
      <c r="C223" s="98" t="s">
        <v>1005</v>
      </c>
      <c r="D223" s="98" t="s">
        <v>1000</v>
      </c>
      <c r="E223" s="98" t="s">
        <v>1004</v>
      </c>
      <c r="F223" s="99">
        <v>6</v>
      </c>
      <c r="G223" s="99">
        <v>1200</v>
      </c>
      <c r="H223" s="99">
        <v>7200</v>
      </c>
    </row>
    <row r="224" spans="1:8" ht="18" x14ac:dyDescent="0.35">
      <c r="A224" s="96">
        <v>222</v>
      </c>
      <c r="B224" s="97">
        <v>44418</v>
      </c>
      <c r="C224" s="98" t="s">
        <v>1007</v>
      </c>
      <c r="D224" s="98" t="s">
        <v>1000</v>
      </c>
      <c r="E224" s="98" t="s">
        <v>1006</v>
      </c>
      <c r="F224" s="99">
        <v>5</v>
      </c>
      <c r="G224" s="99">
        <v>300</v>
      </c>
      <c r="H224" s="99">
        <v>1500</v>
      </c>
    </row>
    <row r="225" spans="1:8" ht="18" x14ac:dyDescent="0.35">
      <c r="A225" s="96">
        <v>223</v>
      </c>
      <c r="B225" s="97">
        <v>44419</v>
      </c>
      <c r="C225" s="98" t="s">
        <v>999</v>
      </c>
      <c r="D225" s="98" t="s">
        <v>1000</v>
      </c>
      <c r="E225" s="98" t="s">
        <v>49</v>
      </c>
      <c r="F225" s="99">
        <v>4</v>
      </c>
      <c r="G225" s="99">
        <v>200</v>
      </c>
      <c r="H225" s="99">
        <v>800</v>
      </c>
    </row>
    <row r="226" spans="1:8" ht="18" x14ac:dyDescent="0.35">
      <c r="A226" s="96">
        <v>224</v>
      </c>
      <c r="B226" s="97">
        <v>44420</v>
      </c>
      <c r="C226" s="98" t="s">
        <v>1001</v>
      </c>
      <c r="D226" s="98" t="s">
        <v>1002</v>
      </c>
      <c r="E226" s="98" t="s">
        <v>50</v>
      </c>
      <c r="F226" s="99">
        <v>3</v>
      </c>
      <c r="G226" s="99">
        <v>190</v>
      </c>
      <c r="H226" s="99">
        <v>570</v>
      </c>
    </row>
    <row r="227" spans="1:8" ht="18" x14ac:dyDescent="0.35">
      <c r="A227" s="96">
        <v>225</v>
      </c>
      <c r="B227" s="97">
        <v>44421</v>
      </c>
      <c r="C227" s="98" t="s">
        <v>1003</v>
      </c>
      <c r="D227" s="98" t="s">
        <v>1002</v>
      </c>
      <c r="E227" s="98" t="s">
        <v>245</v>
      </c>
      <c r="F227" s="99">
        <v>2</v>
      </c>
      <c r="G227" s="99">
        <v>2100</v>
      </c>
      <c r="H227" s="99">
        <v>4200</v>
      </c>
    </row>
    <row r="228" spans="1:8" ht="18" x14ac:dyDescent="0.35">
      <c r="A228" s="96">
        <v>226</v>
      </c>
      <c r="B228" s="97">
        <v>44422</v>
      </c>
      <c r="C228" s="98" t="s">
        <v>988</v>
      </c>
      <c r="D228" s="98" t="s">
        <v>1000</v>
      </c>
      <c r="E228" s="98" t="s">
        <v>50</v>
      </c>
      <c r="F228" s="99">
        <v>7</v>
      </c>
      <c r="G228" s="99">
        <v>210</v>
      </c>
      <c r="H228" s="99">
        <v>1470</v>
      </c>
    </row>
    <row r="229" spans="1:8" ht="18" x14ac:dyDescent="0.35">
      <c r="A229" s="96">
        <v>227</v>
      </c>
      <c r="B229" s="97">
        <v>44423</v>
      </c>
      <c r="C229" s="98" t="s">
        <v>1005</v>
      </c>
      <c r="D229" s="98" t="s">
        <v>1000</v>
      </c>
      <c r="E229" s="98" t="s">
        <v>245</v>
      </c>
      <c r="F229" s="99">
        <v>6</v>
      </c>
      <c r="G229" s="99">
        <v>2100</v>
      </c>
      <c r="H229" s="99">
        <v>12600</v>
      </c>
    </row>
    <row r="230" spans="1:8" ht="18" x14ac:dyDescent="0.35">
      <c r="A230" s="96">
        <v>228</v>
      </c>
      <c r="B230" s="97">
        <v>44424</v>
      </c>
      <c r="C230" s="98" t="s">
        <v>1007</v>
      </c>
      <c r="D230" s="98" t="s">
        <v>1002</v>
      </c>
      <c r="E230" s="98" t="s">
        <v>246</v>
      </c>
      <c r="F230" s="99">
        <v>5</v>
      </c>
      <c r="G230" s="99">
        <v>1200</v>
      </c>
      <c r="H230" s="99">
        <v>6000</v>
      </c>
    </row>
    <row r="231" spans="1:8" ht="18" x14ac:dyDescent="0.35">
      <c r="A231" s="96">
        <v>229</v>
      </c>
      <c r="B231" s="97">
        <v>44425</v>
      </c>
      <c r="C231" s="98" t="s">
        <v>1007</v>
      </c>
      <c r="D231" s="98" t="s">
        <v>1000</v>
      </c>
      <c r="E231" s="98" t="s">
        <v>1004</v>
      </c>
      <c r="F231" s="99">
        <v>4</v>
      </c>
      <c r="G231" s="99">
        <v>1500</v>
      </c>
      <c r="H231" s="99">
        <v>6000</v>
      </c>
    </row>
    <row r="232" spans="1:8" ht="18" x14ac:dyDescent="0.35">
      <c r="A232" s="96">
        <v>230</v>
      </c>
      <c r="B232" s="97">
        <v>44426</v>
      </c>
      <c r="C232" s="98" t="s">
        <v>999</v>
      </c>
      <c r="D232" s="98" t="s">
        <v>1000</v>
      </c>
      <c r="E232" s="98" t="s">
        <v>1006</v>
      </c>
      <c r="F232" s="99">
        <v>3</v>
      </c>
      <c r="G232" s="99">
        <v>300</v>
      </c>
      <c r="H232" s="99">
        <v>900</v>
      </c>
    </row>
    <row r="233" spans="1:8" ht="18" x14ac:dyDescent="0.35">
      <c r="A233" s="96">
        <v>231</v>
      </c>
      <c r="B233" s="97">
        <v>44427</v>
      </c>
      <c r="C233" s="98" t="s">
        <v>1001</v>
      </c>
      <c r="D233" s="98" t="s">
        <v>1000</v>
      </c>
      <c r="E233" s="98" t="s">
        <v>49</v>
      </c>
      <c r="F233" s="99">
        <v>2</v>
      </c>
      <c r="G233" s="99">
        <v>190</v>
      </c>
      <c r="H233" s="99">
        <v>380</v>
      </c>
    </row>
    <row r="234" spans="1:8" ht="18" x14ac:dyDescent="0.35">
      <c r="A234" s="96">
        <v>232</v>
      </c>
      <c r="B234" s="97">
        <v>44428</v>
      </c>
      <c r="C234" s="98" t="s">
        <v>1003</v>
      </c>
      <c r="D234" s="98" t="s">
        <v>1000</v>
      </c>
      <c r="E234" s="98" t="s">
        <v>50</v>
      </c>
      <c r="F234" s="99">
        <v>7</v>
      </c>
      <c r="G234" s="99">
        <v>210</v>
      </c>
      <c r="H234" s="99">
        <v>1470</v>
      </c>
    </row>
    <row r="235" spans="1:8" ht="18" x14ac:dyDescent="0.35">
      <c r="A235" s="96">
        <v>233</v>
      </c>
      <c r="B235" s="97">
        <v>44429</v>
      </c>
      <c r="C235" s="98" t="s">
        <v>988</v>
      </c>
      <c r="D235" s="98" t="s">
        <v>1000</v>
      </c>
      <c r="E235" s="98" t="s">
        <v>245</v>
      </c>
      <c r="F235" s="99">
        <v>6</v>
      </c>
      <c r="G235" s="99">
        <v>2100</v>
      </c>
      <c r="H235" s="99">
        <v>12600</v>
      </c>
    </row>
    <row r="236" spans="1:8" ht="18" x14ac:dyDescent="0.35">
      <c r="A236" s="96">
        <v>234</v>
      </c>
      <c r="B236" s="97">
        <v>44430</v>
      </c>
      <c r="C236" s="98" t="s">
        <v>1005</v>
      </c>
      <c r="D236" s="98" t="s">
        <v>1000</v>
      </c>
      <c r="E236" s="98" t="s">
        <v>245</v>
      </c>
      <c r="F236" s="99">
        <v>7</v>
      </c>
      <c r="G236" s="99">
        <v>2100</v>
      </c>
      <c r="H236" s="99">
        <v>14700</v>
      </c>
    </row>
    <row r="237" spans="1:8" ht="18" x14ac:dyDescent="0.35">
      <c r="A237" s="96">
        <v>235</v>
      </c>
      <c r="B237" s="97">
        <v>44431</v>
      </c>
      <c r="C237" s="98" t="s">
        <v>1007</v>
      </c>
      <c r="D237" s="98" t="s">
        <v>1000</v>
      </c>
      <c r="E237" s="98" t="s">
        <v>1004</v>
      </c>
      <c r="F237" s="99">
        <v>4</v>
      </c>
      <c r="G237" s="99">
        <v>1500</v>
      </c>
      <c r="H237" s="99">
        <v>6000</v>
      </c>
    </row>
    <row r="238" spans="1:8" ht="18" x14ac:dyDescent="0.35">
      <c r="A238" s="96">
        <v>236</v>
      </c>
      <c r="B238" s="97">
        <v>44432</v>
      </c>
      <c r="C238" s="98" t="s">
        <v>999</v>
      </c>
      <c r="D238" s="98" t="s">
        <v>1000</v>
      </c>
      <c r="E238" s="98" t="s">
        <v>1006</v>
      </c>
      <c r="F238" s="99">
        <v>3</v>
      </c>
      <c r="G238" s="99">
        <v>300</v>
      </c>
      <c r="H238" s="99">
        <v>900</v>
      </c>
    </row>
    <row r="239" spans="1:8" ht="18" x14ac:dyDescent="0.35">
      <c r="A239" s="96">
        <v>237</v>
      </c>
      <c r="B239" s="97">
        <v>44433</v>
      </c>
      <c r="C239" s="98" t="s">
        <v>1001</v>
      </c>
      <c r="D239" s="98" t="s">
        <v>1002</v>
      </c>
      <c r="E239" s="98" t="s">
        <v>49</v>
      </c>
      <c r="F239" s="99">
        <v>2</v>
      </c>
      <c r="G239" s="99">
        <v>190</v>
      </c>
      <c r="H239" s="99">
        <v>380</v>
      </c>
    </row>
    <row r="240" spans="1:8" ht="18" x14ac:dyDescent="0.35">
      <c r="A240" s="96">
        <v>238</v>
      </c>
      <c r="B240" s="97">
        <v>44434</v>
      </c>
      <c r="C240" s="98" t="s">
        <v>1003</v>
      </c>
      <c r="D240" s="98" t="s">
        <v>1000</v>
      </c>
      <c r="E240" s="98" t="s">
        <v>50</v>
      </c>
      <c r="F240" s="99">
        <v>2</v>
      </c>
      <c r="G240" s="99">
        <v>210</v>
      </c>
      <c r="H240" s="99">
        <v>420</v>
      </c>
    </row>
    <row r="241" spans="1:8" ht="18" x14ac:dyDescent="0.35">
      <c r="A241" s="96">
        <v>239</v>
      </c>
      <c r="B241" s="97">
        <v>44435</v>
      </c>
      <c r="C241" s="98" t="s">
        <v>988</v>
      </c>
      <c r="D241" s="98" t="s">
        <v>1002</v>
      </c>
      <c r="E241" s="98" t="s">
        <v>245</v>
      </c>
      <c r="F241" s="99">
        <v>7</v>
      </c>
      <c r="G241" s="99">
        <v>2100</v>
      </c>
      <c r="H241" s="99">
        <v>14700</v>
      </c>
    </row>
    <row r="242" spans="1:8" ht="18" x14ac:dyDescent="0.35">
      <c r="A242" s="96">
        <v>240</v>
      </c>
      <c r="B242" s="97">
        <v>44436</v>
      </c>
      <c r="C242" s="98" t="s">
        <v>1005</v>
      </c>
      <c r="D242" s="98" t="s">
        <v>1000</v>
      </c>
      <c r="E242" s="98" t="s">
        <v>246</v>
      </c>
      <c r="F242" s="99">
        <v>6</v>
      </c>
      <c r="G242" s="99">
        <v>1200</v>
      </c>
      <c r="H242" s="99">
        <v>7200</v>
      </c>
    </row>
    <row r="243" spans="1:8" ht="18" x14ac:dyDescent="0.35">
      <c r="A243" s="96">
        <v>241</v>
      </c>
      <c r="B243" s="97">
        <v>44437</v>
      </c>
      <c r="C243" s="98" t="s">
        <v>1007</v>
      </c>
      <c r="D243" s="98" t="s">
        <v>1000</v>
      </c>
      <c r="E243" s="98" t="s">
        <v>1004</v>
      </c>
      <c r="F243" s="99">
        <v>5</v>
      </c>
      <c r="G243" s="99">
        <v>1500</v>
      </c>
      <c r="H243" s="99">
        <v>7500</v>
      </c>
    </row>
    <row r="244" spans="1:8" ht="18" x14ac:dyDescent="0.35">
      <c r="A244" s="96">
        <v>242</v>
      </c>
      <c r="B244" s="97">
        <v>44438</v>
      </c>
      <c r="C244" s="98" t="s">
        <v>1007</v>
      </c>
      <c r="D244" s="98" t="s">
        <v>1000</v>
      </c>
      <c r="E244" s="98" t="s">
        <v>1006</v>
      </c>
      <c r="F244" s="99">
        <v>4</v>
      </c>
      <c r="G244" s="99">
        <v>300</v>
      </c>
      <c r="H244" s="99">
        <v>1200</v>
      </c>
    </row>
    <row r="245" spans="1:8" ht="18" x14ac:dyDescent="0.35">
      <c r="A245" s="96">
        <v>243</v>
      </c>
      <c r="B245" s="97">
        <v>44439</v>
      </c>
      <c r="C245" s="98" t="s">
        <v>999</v>
      </c>
      <c r="D245" s="98" t="s">
        <v>1000</v>
      </c>
      <c r="E245" s="98" t="s">
        <v>1006</v>
      </c>
      <c r="F245" s="99">
        <v>3</v>
      </c>
      <c r="G245" s="99">
        <v>300</v>
      </c>
      <c r="H245" s="99">
        <v>900</v>
      </c>
    </row>
    <row r="246" spans="1:8" ht="18" x14ac:dyDescent="0.35">
      <c r="A246" s="96">
        <v>244</v>
      </c>
      <c r="B246" s="97">
        <v>44440</v>
      </c>
      <c r="C246" s="98" t="s">
        <v>999</v>
      </c>
      <c r="D246" s="98" t="s">
        <v>1002</v>
      </c>
      <c r="E246" s="98" t="s">
        <v>49</v>
      </c>
      <c r="F246" s="99">
        <v>2</v>
      </c>
      <c r="G246" s="99">
        <v>190</v>
      </c>
      <c r="H246" s="99">
        <v>380</v>
      </c>
    </row>
    <row r="247" spans="1:8" ht="18" x14ac:dyDescent="0.35">
      <c r="A247" s="96">
        <v>245</v>
      </c>
      <c r="B247" s="97">
        <v>44441</v>
      </c>
      <c r="C247" s="98" t="s">
        <v>999</v>
      </c>
      <c r="D247" s="98" t="s">
        <v>1008</v>
      </c>
      <c r="E247" s="98" t="s">
        <v>50</v>
      </c>
      <c r="F247" s="99">
        <v>2</v>
      </c>
      <c r="G247" s="99">
        <v>210</v>
      </c>
      <c r="H247" s="99">
        <v>420</v>
      </c>
    </row>
    <row r="248" spans="1:8" ht="18" x14ac:dyDescent="0.35">
      <c r="A248" s="96">
        <v>246</v>
      </c>
      <c r="B248" s="97">
        <v>44442</v>
      </c>
      <c r="C248" s="98" t="s">
        <v>999</v>
      </c>
      <c r="D248" s="98" t="s">
        <v>1009</v>
      </c>
      <c r="E248" s="98" t="s">
        <v>245</v>
      </c>
      <c r="F248" s="99">
        <v>7</v>
      </c>
      <c r="G248" s="99">
        <v>2100</v>
      </c>
      <c r="H248" s="99">
        <v>14700</v>
      </c>
    </row>
    <row r="249" spans="1:8" ht="18" x14ac:dyDescent="0.35">
      <c r="A249" s="96">
        <v>247</v>
      </c>
      <c r="B249" s="97">
        <v>44443</v>
      </c>
      <c r="C249" s="98" t="s">
        <v>999</v>
      </c>
      <c r="D249" s="98" t="s">
        <v>1000</v>
      </c>
      <c r="E249" s="98" t="s">
        <v>246</v>
      </c>
      <c r="F249" s="99">
        <v>6</v>
      </c>
      <c r="G249" s="99">
        <v>1200</v>
      </c>
      <c r="H249" s="99">
        <v>7200</v>
      </c>
    </row>
    <row r="250" spans="1:8" ht="18" x14ac:dyDescent="0.35">
      <c r="A250" s="96">
        <v>248</v>
      </c>
      <c r="B250" s="97">
        <v>44444</v>
      </c>
      <c r="C250" s="98" t="s">
        <v>999</v>
      </c>
      <c r="D250" s="98" t="s">
        <v>1002</v>
      </c>
      <c r="E250" s="98" t="s">
        <v>1004</v>
      </c>
      <c r="F250" s="99">
        <v>5</v>
      </c>
      <c r="G250" s="99">
        <v>1500</v>
      </c>
      <c r="H250" s="99">
        <v>7500</v>
      </c>
    </row>
    <row r="251" spans="1:8" ht="18" x14ac:dyDescent="0.35">
      <c r="A251" s="96">
        <v>249</v>
      </c>
      <c r="B251" s="97">
        <v>44445</v>
      </c>
      <c r="C251" s="98" t="s">
        <v>999</v>
      </c>
      <c r="D251" s="98" t="s">
        <v>1008</v>
      </c>
      <c r="E251" s="98" t="s">
        <v>1006</v>
      </c>
      <c r="F251" s="99">
        <v>4</v>
      </c>
      <c r="G251" s="99">
        <v>300</v>
      </c>
      <c r="H251" s="99">
        <v>1200</v>
      </c>
    </row>
    <row r="252" spans="1:8" ht="18" x14ac:dyDescent="0.35">
      <c r="A252" s="96">
        <v>250</v>
      </c>
      <c r="B252" s="97">
        <v>44446</v>
      </c>
      <c r="C252" s="98" t="s">
        <v>999</v>
      </c>
      <c r="D252" s="98" t="s">
        <v>1009</v>
      </c>
      <c r="E252" s="98" t="s">
        <v>1006</v>
      </c>
      <c r="F252" s="99">
        <v>3</v>
      </c>
      <c r="G252" s="99">
        <v>300</v>
      </c>
      <c r="H252" s="99">
        <v>900</v>
      </c>
    </row>
    <row r="253" spans="1:8" ht="18" x14ac:dyDescent="0.35">
      <c r="A253" s="96">
        <v>251</v>
      </c>
      <c r="B253" s="97">
        <v>44447</v>
      </c>
      <c r="C253" s="98" t="s">
        <v>1001</v>
      </c>
      <c r="D253" s="98" t="s">
        <v>1002</v>
      </c>
      <c r="E253" s="98" t="s">
        <v>49</v>
      </c>
      <c r="F253" s="99">
        <v>2</v>
      </c>
      <c r="G253" s="99">
        <v>190</v>
      </c>
      <c r="H253" s="99">
        <v>380</v>
      </c>
    </row>
    <row r="254" spans="1:8" ht="18" x14ac:dyDescent="0.35">
      <c r="A254" s="96">
        <v>252</v>
      </c>
      <c r="B254" s="97">
        <v>44448</v>
      </c>
      <c r="C254" s="98" t="s">
        <v>1001</v>
      </c>
      <c r="D254" s="98" t="s">
        <v>1000</v>
      </c>
      <c r="E254" s="98" t="s">
        <v>50</v>
      </c>
      <c r="F254" s="99">
        <v>2</v>
      </c>
      <c r="G254" s="99">
        <v>210</v>
      </c>
      <c r="H254" s="99">
        <v>420</v>
      </c>
    </row>
    <row r="255" spans="1:8" ht="18" x14ac:dyDescent="0.35">
      <c r="A255" s="96">
        <v>253</v>
      </c>
      <c r="B255" s="97">
        <v>44449</v>
      </c>
      <c r="C255" s="98" t="s">
        <v>1001</v>
      </c>
      <c r="D255" s="98" t="s">
        <v>1008</v>
      </c>
      <c r="E255" s="98" t="s">
        <v>245</v>
      </c>
      <c r="F255" s="99">
        <v>7</v>
      </c>
      <c r="G255" s="99">
        <v>2100</v>
      </c>
      <c r="H255" s="99">
        <v>14700</v>
      </c>
    </row>
    <row r="256" spans="1:8" ht="18" x14ac:dyDescent="0.35">
      <c r="A256" s="96">
        <v>254</v>
      </c>
      <c r="B256" s="97">
        <v>44450</v>
      </c>
      <c r="C256" s="98" t="s">
        <v>1001</v>
      </c>
      <c r="D256" s="98" t="s">
        <v>1009</v>
      </c>
      <c r="E256" s="98" t="s">
        <v>246</v>
      </c>
      <c r="F256" s="99">
        <v>6</v>
      </c>
      <c r="G256" s="99">
        <v>1200</v>
      </c>
      <c r="H256" s="99">
        <v>7200</v>
      </c>
    </row>
    <row r="257" spans="1:8" ht="18" x14ac:dyDescent="0.35">
      <c r="A257" s="96">
        <v>255</v>
      </c>
      <c r="B257" s="97">
        <v>44451</v>
      </c>
      <c r="C257" s="98" t="s">
        <v>1001</v>
      </c>
      <c r="D257" s="98" t="s">
        <v>1002</v>
      </c>
      <c r="E257" s="98" t="s">
        <v>1004</v>
      </c>
      <c r="F257" s="99">
        <v>5</v>
      </c>
      <c r="G257" s="99">
        <v>1500</v>
      </c>
      <c r="H257" s="99">
        <v>7500</v>
      </c>
    </row>
    <row r="258" spans="1:8" ht="18" x14ac:dyDescent="0.35">
      <c r="A258" s="96">
        <v>256</v>
      </c>
      <c r="B258" s="97">
        <v>44452</v>
      </c>
      <c r="C258" s="98" t="s">
        <v>1001</v>
      </c>
      <c r="D258" s="98" t="s">
        <v>1000</v>
      </c>
      <c r="E258" s="98" t="s">
        <v>1006</v>
      </c>
      <c r="F258" s="99">
        <v>4</v>
      </c>
      <c r="G258" s="99">
        <v>300</v>
      </c>
      <c r="H258" s="99">
        <v>1200</v>
      </c>
    </row>
    <row r="259" spans="1:8" ht="18" x14ac:dyDescent="0.35">
      <c r="A259" s="96">
        <v>257</v>
      </c>
      <c r="B259" s="97">
        <v>44453</v>
      </c>
      <c r="C259" s="98" t="s">
        <v>1001</v>
      </c>
      <c r="D259" s="98" t="s">
        <v>1008</v>
      </c>
      <c r="E259" s="98" t="s">
        <v>50</v>
      </c>
      <c r="F259" s="99">
        <v>7</v>
      </c>
      <c r="G259" s="99">
        <v>210</v>
      </c>
      <c r="H259" s="99">
        <v>1470</v>
      </c>
    </row>
    <row r="260" spans="1:8" ht="18" x14ac:dyDescent="0.35">
      <c r="A260" s="96">
        <v>258</v>
      </c>
      <c r="B260" s="97">
        <v>44454</v>
      </c>
      <c r="C260" s="98" t="s">
        <v>1001</v>
      </c>
      <c r="D260" s="98" t="s">
        <v>1009</v>
      </c>
      <c r="E260" s="98" t="s">
        <v>245</v>
      </c>
      <c r="F260" s="99">
        <v>6</v>
      </c>
      <c r="G260" s="99">
        <v>2100</v>
      </c>
      <c r="H260" s="99">
        <v>12600</v>
      </c>
    </row>
    <row r="261" spans="1:8" ht="18" x14ac:dyDescent="0.35">
      <c r="A261" s="96">
        <v>259</v>
      </c>
      <c r="B261" s="97">
        <v>44455</v>
      </c>
      <c r="C261" s="98" t="s">
        <v>1003</v>
      </c>
      <c r="D261" s="98" t="s">
        <v>1009</v>
      </c>
      <c r="E261" s="98" t="s">
        <v>246</v>
      </c>
      <c r="F261" s="99">
        <v>5</v>
      </c>
      <c r="G261" s="99">
        <v>1200</v>
      </c>
      <c r="H261" s="99">
        <v>6000</v>
      </c>
    </row>
    <row r="262" spans="1:8" ht="18" x14ac:dyDescent="0.35">
      <c r="A262" s="96">
        <v>260</v>
      </c>
      <c r="B262" s="97">
        <v>44456</v>
      </c>
      <c r="C262" s="98" t="s">
        <v>988</v>
      </c>
      <c r="D262" s="98" t="s">
        <v>1009</v>
      </c>
      <c r="E262" s="98" t="s">
        <v>1004</v>
      </c>
      <c r="F262" s="99">
        <v>4</v>
      </c>
      <c r="G262" s="99">
        <v>1500</v>
      </c>
      <c r="H262" s="99">
        <v>6000</v>
      </c>
    </row>
    <row r="263" spans="1:8" ht="18" x14ac:dyDescent="0.35">
      <c r="A263" s="96">
        <v>261</v>
      </c>
      <c r="B263" s="97">
        <v>44457</v>
      </c>
      <c r="C263" s="98" t="s">
        <v>1005</v>
      </c>
      <c r="D263" s="98" t="s">
        <v>1009</v>
      </c>
      <c r="E263" s="98" t="s">
        <v>1006</v>
      </c>
      <c r="F263" s="99">
        <v>3</v>
      </c>
      <c r="G263" s="99">
        <v>300</v>
      </c>
      <c r="H263" s="99">
        <v>900</v>
      </c>
    </row>
    <row r="264" spans="1:8" ht="18" x14ac:dyDescent="0.35">
      <c r="A264" s="96">
        <v>262</v>
      </c>
      <c r="B264" s="97">
        <v>44458</v>
      </c>
      <c r="C264" s="98" t="s">
        <v>1007</v>
      </c>
      <c r="D264" s="98" t="s">
        <v>1009</v>
      </c>
      <c r="E264" s="98" t="s">
        <v>49</v>
      </c>
      <c r="F264" s="99">
        <v>2</v>
      </c>
      <c r="G264" s="99">
        <v>190</v>
      </c>
      <c r="H264" s="99">
        <v>380</v>
      </c>
    </row>
    <row r="265" spans="1:8" ht="18" x14ac:dyDescent="0.35">
      <c r="A265" s="96">
        <v>263</v>
      </c>
      <c r="B265" s="97">
        <v>44459</v>
      </c>
      <c r="C265" s="98" t="s">
        <v>1007</v>
      </c>
      <c r="D265" s="98" t="s">
        <v>1000</v>
      </c>
      <c r="E265" s="98" t="s">
        <v>50</v>
      </c>
      <c r="F265" s="99">
        <v>2</v>
      </c>
      <c r="G265" s="99">
        <v>210</v>
      </c>
      <c r="H265" s="99">
        <v>420</v>
      </c>
    </row>
    <row r="266" spans="1:8" ht="18" x14ac:dyDescent="0.35">
      <c r="A266" s="96">
        <v>264</v>
      </c>
      <c r="B266" s="97">
        <v>44460</v>
      </c>
      <c r="C266" s="98" t="s">
        <v>1007</v>
      </c>
      <c r="D266" s="98" t="s">
        <v>1002</v>
      </c>
      <c r="E266" s="98" t="s">
        <v>245</v>
      </c>
      <c r="F266" s="99">
        <v>7</v>
      </c>
      <c r="G266" s="99">
        <v>2100</v>
      </c>
      <c r="H266" s="99">
        <v>14700</v>
      </c>
    </row>
    <row r="267" spans="1:8" ht="18" x14ac:dyDescent="0.35">
      <c r="A267" s="96">
        <v>265</v>
      </c>
      <c r="B267" s="97">
        <v>44461</v>
      </c>
      <c r="C267" s="98" t="s">
        <v>1007</v>
      </c>
      <c r="D267" s="98" t="s">
        <v>1008</v>
      </c>
      <c r="E267" s="98" t="s">
        <v>246</v>
      </c>
      <c r="F267" s="99">
        <v>6</v>
      </c>
      <c r="G267" s="99">
        <v>1200</v>
      </c>
      <c r="H267" s="99">
        <v>7200</v>
      </c>
    </row>
    <row r="268" spans="1:8" ht="18" x14ac:dyDescent="0.35">
      <c r="A268" s="96">
        <v>266</v>
      </c>
      <c r="B268" s="97">
        <v>44462</v>
      </c>
      <c r="C268" s="98" t="s">
        <v>1007</v>
      </c>
      <c r="D268" s="98" t="s">
        <v>1009</v>
      </c>
      <c r="E268" s="98" t="s">
        <v>1004</v>
      </c>
      <c r="F268" s="99">
        <v>5</v>
      </c>
      <c r="G268" s="99">
        <v>1500</v>
      </c>
      <c r="H268" s="99">
        <v>7500</v>
      </c>
    </row>
    <row r="269" spans="1:8" ht="18" x14ac:dyDescent="0.35">
      <c r="A269" s="96">
        <v>267</v>
      </c>
      <c r="B269" s="97">
        <v>44463</v>
      </c>
      <c r="C269" s="98" t="s">
        <v>1007</v>
      </c>
      <c r="D269" s="98" t="s">
        <v>1000</v>
      </c>
      <c r="E269" s="98" t="s">
        <v>245</v>
      </c>
      <c r="F269" s="99">
        <v>7</v>
      </c>
      <c r="G269" s="99">
        <v>2100</v>
      </c>
      <c r="H269" s="99">
        <v>14700</v>
      </c>
    </row>
    <row r="270" spans="1:8" ht="18" x14ac:dyDescent="0.35">
      <c r="A270" s="96">
        <v>268</v>
      </c>
      <c r="B270" s="97">
        <v>44464</v>
      </c>
      <c r="C270" s="98" t="s">
        <v>1007</v>
      </c>
      <c r="D270" s="98" t="s">
        <v>1002</v>
      </c>
      <c r="E270" s="98" t="s">
        <v>245</v>
      </c>
      <c r="F270" s="99">
        <v>7</v>
      </c>
      <c r="G270" s="99">
        <v>2100</v>
      </c>
      <c r="H270" s="99">
        <v>14700</v>
      </c>
    </row>
    <row r="271" spans="1:8" ht="18" x14ac:dyDescent="0.35">
      <c r="A271" s="96">
        <v>269</v>
      </c>
      <c r="B271" s="97">
        <v>44465</v>
      </c>
      <c r="C271" s="98" t="s">
        <v>1007</v>
      </c>
      <c r="D271" s="98" t="s">
        <v>1008</v>
      </c>
      <c r="E271" s="98" t="s">
        <v>245</v>
      </c>
      <c r="F271" s="99">
        <v>7</v>
      </c>
      <c r="G271" s="99">
        <v>2100</v>
      </c>
      <c r="H271" s="99">
        <v>14700</v>
      </c>
    </row>
    <row r="272" spans="1:8" ht="18" x14ac:dyDescent="0.35">
      <c r="A272" s="96">
        <v>270</v>
      </c>
      <c r="B272" s="97">
        <v>44466</v>
      </c>
      <c r="C272" s="98" t="s">
        <v>1007</v>
      </c>
      <c r="D272" s="98" t="s">
        <v>1009</v>
      </c>
      <c r="E272" s="98" t="s">
        <v>245</v>
      </c>
      <c r="F272" s="99">
        <v>7</v>
      </c>
      <c r="G272" s="99">
        <v>2100</v>
      </c>
      <c r="H272" s="99">
        <v>14700</v>
      </c>
    </row>
    <row r="273" spans="1:8" ht="18" x14ac:dyDescent="0.35">
      <c r="A273" s="96">
        <v>271</v>
      </c>
      <c r="B273" s="97">
        <v>44467</v>
      </c>
      <c r="C273" s="98" t="s">
        <v>999</v>
      </c>
      <c r="D273" s="98" t="s">
        <v>1000</v>
      </c>
      <c r="E273" s="98" t="s">
        <v>245</v>
      </c>
      <c r="F273" s="99">
        <v>7</v>
      </c>
      <c r="G273" s="99">
        <v>2100</v>
      </c>
      <c r="H273" s="99">
        <v>14700</v>
      </c>
    </row>
    <row r="274" spans="1:8" ht="18" x14ac:dyDescent="0.35">
      <c r="A274" s="96">
        <v>272</v>
      </c>
      <c r="B274" s="97">
        <v>44468</v>
      </c>
      <c r="C274" s="98" t="s">
        <v>1001</v>
      </c>
      <c r="D274" s="98" t="s">
        <v>1002</v>
      </c>
      <c r="E274" s="98" t="s">
        <v>245</v>
      </c>
      <c r="F274" s="99">
        <v>7</v>
      </c>
      <c r="G274" s="99">
        <v>2100</v>
      </c>
      <c r="H274" s="99">
        <v>14700</v>
      </c>
    </row>
    <row r="275" spans="1:8" ht="18" x14ac:dyDescent="0.35">
      <c r="A275" s="96">
        <v>273</v>
      </c>
      <c r="B275" s="97">
        <v>44469</v>
      </c>
      <c r="C275" s="98" t="s">
        <v>1003</v>
      </c>
      <c r="D275" s="98" t="s">
        <v>1000</v>
      </c>
      <c r="E275" s="98" t="s">
        <v>245</v>
      </c>
      <c r="F275" s="99">
        <v>7</v>
      </c>
      <c r="G275" s="99">
        <v>2100</v>
      </c>
      <c r="H275" s="99">
        <v>14700</v>
      </c>
    </row>
    <row r="276" spans="1:8" ht="18" x14ac:dyDescent="0.35">
      <c r="A276" s="96">
        <v>274</v>
      </c>
      <c r="B276" s="97">
        <v>44470</v>
      </c>
      <c r="C276" s="98" t="s">
        <v>988</v>
      </c>
      <c r="D276" s="98" t="s">
        <v>1002</v>
      </c>
      <c r="E276" s="98" t="s">
        <v>245</v>
      </c>
      <c r="F276" s="99">
        <v>7</v>
      </c>
      <c r="G276" s="99">
        <v>2100</v>
      </c>
      <c r="H276" s="99">
        <v>14700</v>
      </c>
    </row>
    <row r="277" spans="1:8" ht="18" x14ac:dyDescent="0.35">
      <c r="A277" s="96">
        <v>275</v>
      </c>
      <c r="B277" s="97">
        <v>44471</v>
      </c>
      <c r="C277" s="98" t="s">
        <v>1005</v>
      </c>
      <c r="D277" s="98" t="s">
        <v>1000</v>
      </c>
      <c r="E277" s="98" t="s">
        <v>245</v>
      </c>
      <c r="F277" s="99">
        <v>7</v>
      </c>
      <c r="G277" s="99">
        <v>2100</v>
      </c>
      <c r="H277" s="99">
        <v>14700</v>
      </c>
    </row>
    <row r="278" spans="1:8" ht="18" x14ac:dyDescent="0.35">
      <c r="A278" s="96">
        <v>276</v>
      </c>
      <c r="B278" s="97">
        <v>44472</v>
      </c>
      <c r="C278" s="98" t="s">
        <v>1007</v>
      </c>
      <c r="D278" s="98" t="s">
        <v>1000</v>
      </c>
      <c r="E278" s="98" t="s">
        <v>245</v>
      </c>
      <c r="F278" s="99">
        <v>7</v>
      </c>
      <c r="G278" s="99">
        <v>2100</v>
      </c>
      <c r="H278" s="99">
        <v>14700</v>
      </c>
    </row>
    <row r="279" spans="1:8" ht="18" x14ac:dyDescent="0.35">
      <c r="A279" s="96">
        <v>277</v>
      </c>
      <c r="B279" s="97">
        <v>44473</v>
      </c>
      <c r="C279" s="98" t="s">
        <v>999</v>
      </c>
      <c r="D279" s="98" t="s">
        <v>1000</v>
      </c>
      <c r="E279" s="98" t="s">
        <v>245</v>
      </c>
      <c r="F279" s="99">
        <v>7</v>
      </c>
      <c r="G279" s="99">
        <v>2100</v>
      </c>
      <c r="H279" s="99">
        <v>14700</v>
      </c>
    </row>
    <row r="280" spans="1:8" ht="18" x14ac:dyDescent="0.35">
      <c r="A280" s="96">
        <v>278</v>
      </c>
      <c r="B280" s="97">
        <v>44474</v>
      </c>
      <c r="C280" s="98" t="s">
        <v>1001</v>
      </c>
      <c r="D280" s="98" t="s">
        <v>1002</v>
      </c>
      <c r="E280" s="98" t="s">
        <v>246</v>
      </c>
      <c r="F280" s="99">
        <v>5</v>
      </c>
      <c r="G280" s="99">
        <v>1200</v>
      </c>
      <c r="H280" s="99">
        <v>6000</v>
      </c>
    </row>
    <row r="281" spans="1:8" ht="18" x14ac:dyDescent="0.35">
      <c r="A281" s="96">
        <v>279</v>
      </c>
      <c r="B281" s="97">
        <v>44475</v>
      </c>
      <c r="C281" s="98" t="s">
        <v>1003</v>
      </c>
      <c r="D281" s="98" t="s">
        <v>1002</v>
      </c>
      <c r="E281" s="98" t="s">
        <v>1004</v>
      </c>
      <c r="F281" s="99">
        <v>4</v>
      </c>
      <c r="G281" s="99">
        <v>1500</v>
      </c>
      <c r="H281" s="99">
        <v>6000</v>
      </c>
    </row>
    <row r="282" spans="1:8" ht="18" x14ac:dyDescent="0.35">
      <c r="A282" s="96">
        <v>280</v>
      </c>
      <c r="B282" s="97">
        <v>44476</v>
      </c>
      <c r="C282" s="98" t="s">
        <v>988</v>
      </c>
      <c r="D282" s="98" t="s">
        <v>1000</v>
      </c>
      <c r="E282" s="98" t="s">
        <v>1006</v>
      </c>
      <c r="F282" s="99">
        <v>3</v>
      </c>
      <c r="G282" s="99">
        <v>300</v>
      </c>
      <c r="H282" s="99">
        <v>900</v>
      </c>
    </row>
    <row r="283" spans="1:8" ht="18" x14ac:dyDescent="0.35">
      <c r="A283" s="96">
        <v>281</v>
      </c>
      <c r="B283" s="97">
        <v>44477</v>
      </c>
      <c r="C283" s="98" t="s">
        <v>1005</v>
      </c>
      <c r="D283" s="98" t="s">
        <v>1000</v>
      </c>
      <c r="E283" s="98" t="s">
        <v>49</v>
      </c>
      <c r="F283" s="99">
        <v>2</v>
      </c>
      <c r="G283" s="99">
        <v>190</v>
      </c>
      <c r="H283" s="99">
        <v>380</v>
      </c>
    </row>
    <row r="284" spans="1:8" ht="18" x14ac:dyDescent="0.35">
      <c r="A284" s="96">
        <v>282</v>
      </c>
      <c r="B284" s="97">
        <v>44478</v>
      </c>
      <c r="C284" s="98" t="s">
        <v>1007</v>
      </c>
      <c r="D284" s="98" t="s">
        <v>1002</v>
      </c>
      <c r="E284" s="98" t="s">
        <v>50</v>
      </c>
      <c r="F284" s="99">
        <v>7</v>
      </c>
      <c r="G284" s="99">
        <v>210</v>
      </c>
      <c r="H284" s="99">
        <v>1470</v>
      </c>
    </row>
    <row r="285" spans="1:8" ht="18" x14ac:dyDescent="0.35">
      <c r="A285" s="96">
        <v>283</v>
      </c>
      <c r="B285" s="97">
        <v>44479</v>
      </c>
      <c r="C285" s="98" t="s">
        <v>1007</v>
      </c>
      <c r="D285" s="98" t="s">
        <v>1000</v>
      </c>
      <c r="E285" s="98" t="s">
        <v>245</v>
      </c>
      <c r="F285" s="99">
        <v>6</v>
      </c>
      <c r="G285" s="99">
        <v>2100</v>
      </c>
      <c r="H285" s="99">
        <v>12600</v>
      </c>
    </row>
    <row r="286" spans="1:8" ht="18" x14ac:dyDescent="0.35">
      <c r="A286" s="96">
        <v>284</v>
      </c>
      <c r="B286" s="97">
        <v>44480</v>
      </c>
      <c r="C286" s="98" t="s">
        <v>999</v>
      </c>
      <c r="D286" s="98" t="s">
        <v>1000</v>
      </c>
      <c r="E286" s="98" t="s">
        <v>246</v>
      </c>
      <c r="F286" s="99">
        <v>5</v>
      </c>
      <c r="G286" s="99">
        <v>1200</v>
      </c>
      <c r="H286" s="99">
        <v>6000</v>
      </c>
    </row>
    <row r="287" spans="1:8" ht="18" x14ac:dyDescent="0.35">
      <c r="A287" s="96">
        <v>285</v>
      </c>
      <c r="B287" s="97">
        <v>44481</v>
      </c>
      <c r="C287" s="98" t="s">
        <v>1001</v>
      </c>
      <c r="D287" s="98" t="s">
        <v>1000</v>
      </c>
      <c r="E287" s="98" t="s">
        <v>1004</v>
      </c>
      <c r="F287" s="99">
        <v>4</v>
      </c>
      <c r="G287" s="99">
        <v>1500</v>
      </c>
      <c r="H287" s="99">
        <v>6000</v>
      </c>
    </row>
    <row r="288" spans="1:8" ht="18" x14ac:dyDescent="0.35">
      <c r="A288" s="96">
        <v>286</v>
      </c>
      <c r="B288" s="97">
        <v>44482</v>
      </c>
      <c r="C288" s="98" t="s">
        <v>1003</v>
      </c>
      <c r="D288" s="98" t="s">
        <v>1000</v>
      </c>
      <c r="E288" s="98" t="s">
        <v>1006</v>
      </c>
      <c r="F288" s="99">
        <v>3</v>
      </c>
      <c r="G288" s="99">
        <v>300</v>
      </c>
      <c r="H288" s="99">
        <v>900</v>
      </c>
    </row>
    <row r="289" spans="1:8" ht="18" x14ac:dyDescent="0.35">
      <c r="A289" s="96">
        <v>287</v>
      </c>
      <c r="B289" s="97">
        <v>44483</v>
      </c>
      <c r="C289" s="98" t="s">
        <v>988</v>
      </c>
      <c r="D289" s="98" t="s">
        <v>1000</v>
      </c>
      <c r="E289" s="98" t="s">
        <v>49</v>
      </c>
      <c r="F289" s="99">
        <v>2</v>
      </c>
      <c r="G289" s="99">
        <v>190</v>
      </c>
      <c r="H289" s="99">
        <v>380</v>
      </c>
    </row>
    <row r="290" spans="1:8" ht="18" x14ac:dyDescent="0.35">
      <c r="A290" s="96">
        <v>288</v>
      </c>
      <c r="B290" s="97">
        <v>44484</v>
      </c>
      <c r="C290" s="98" t="s">
        <v>1005</v>
      </c>
      <c r="D290" s="98" t="s">
        <v>1000</v>
      </c>
      <c r="E290" s="98" t="s">
        <v>50</v>
      </c>
      <c r="F290" s="99">
        <v>2</v>
      </c>
      <c r="G290" s="99">
        <v>210</v>
      </c>
      <c r="H290" s="99">
        <v>420</v>
      </c>
    </row>
    <row r="291" spans="1:8" ht="18" x14ac:dyDescent="0.35">
      <c r="A291" s="96">
        <v>289</v>
      </c>
      <c r="B291" s="97">
        <v>44485</v>
      </c>
      <c r="C291" s="98" t="s">
        <v>1007</v>
      </c>
      <c r="D291" s="98" t="s">
        <v>1000</v>
      </c>
      <c r="E291" s="98" t="s">
        <v>245</v>
      </c>
      <c r="F291" s="99">
        <v>7</v>
      </c>
      <c r="G291" s="99">
        <v>2100</v>
      </c>
      <c r="H291" s="99">
        <v>14700</v>
      </c>
    </row>
    <row r="292" spans="1:8" ht="18" x14ac:dyDescent="0.35">
      <c r="A292" s="96">
        <v>290</v>
      </c>
      <c r="B292" s="97">
        <v>44486</v>
      </c>
      <c r="C292" s="98" t="s">
        <v>999</v>
      </c>
      <c r="D292" s="98" t="s">
        <v>1000</v>
      </c>
      <c r="E292" s="98" t="s">
        <v>246</v>
      </c>
      <c r="F292" s="99">
        <v>6</v>
      </c>
      <c r="G292" s="99">
        <v>1200</v>
      </c>
      <c r="H292" s="99">
        <v>7200</v>
      </c>
    </row>
    <row r="293" spans="1:8" ht="18" x14ac:dyDescent="0.35">
      <c r="A293" s="96">
        <v>291</v>
      </c>
      <c r="B293" s="97">
        <v>44487</v>
      </c>
      <c r="C293" s="98" t="s">
        <v>1001</v>
      </c>
      <c r="D293" s="98" t="s">
        <v>1002</v>
      </c>
      <c r="E293" s="98" t="s">
        <v>1004</v>
      </c>
      <c r="F293" s="99">
        <v>5</v>
      </c>
      <c r="G293" s="99">
        <v>1500</v>
      </c>
      <c r="H293" s="99">
        <v>7500</v>
      </c>
    </row>
    <row r="294" spans="1:8" ht="18" x14ac:dyDescent="0.35">
      <c r="A294" s="96">
        <v>292</v>
      </c>
      <c r="B294" s="97">
        <v>44488</v>
      </c>
      <c r="C294" s="98" t="s">
        <v>1003</v>
      </c>
      <c r="D294" s="98" t="s">
        <v>1000</v>
      </c>
      <c r="E294" s="98" t="s">
        <v>1006</v>
      </c>
      <c r="F294" s="99">
        <v>4</v>
      </c>
      <c r="G294" s="99">
        <v>300</v>
      </c>
      <c r="H294" s="99">
        <v>1200</v>
      </c>
    </row>
    <row r="295" spans="1:8" ht="18" x14ac:dyDescent="0.35">
      <c r="A295" s="96">
        <v>293</v>
      </c>
      <c r="B295" s="97">
        <v>44489</v>
      </c>
      <c r="C295" s="98" t="s">
        <v>988</v>
      </c>
      <c r="D295" s="98" t="s">
        <v>1002</v>
      </c>
      <c r="E295" s="98" t="s">
        <v>1004</v>
      </c>
      <c r="F295" s="99">
        <v>5</v>
      </c>
      <c r="G295" s="99">
        <v>1500</v>
      </c>
      <c r="H295" s="99">
        <v>7500</v>
      </c>
    </row>
    <row r="296" spans="1:8" ht="18" x14ac:dyDescent="0.35">
      <c r="A296" s="96">
        <v>294</v>
      </c>
      <c r="B296" s="97">
        <v>44490</v>
      </c>
      <c r="C296" s="98" t="s">
        <v>1005</v>
      </c>
      <c r="D296" s="98" t="s">
        <v>1000</v>
      </c>
      <c r="E296" s="98" t="s">
        <v>1006</v>
      </c>
      <c r="F296" s="99">
        <v>4</v>
      </c>
      <c r="G296" s="99">
        <v>300</v>
      </c>
      <c r="H296" s="99">
        <v>1200</v>
      </c>
    </row>
    <row r="297" spans="1:8" ht="18" x14ac:dyDescent="0.35">
      <c r="A297" s="96">
        <v>295</v>
      </c>
      <c r="B297" s="97">
        <v>44491</v>
      </c>
      <c r="C297" s="98" t="s">
        <v>1007</v>
      </c>
      <c r="D297" s="98" t="s">
        <v>1000</v>
      </c>
      <c r="E297" s="98" t="s">
        <v>1004</v>
      </c>
      <c r="F297" s="99">
        <v>5</v>
      </c>
      <c r="G297" s="99">
        <v>1500</v>
      </c>
      <c r="H297" s="99">
        <v>7500</v>
      </c>
    </row>
    <row r="298" spans="1:8" ht="18" x14ac:dyDescent="0.35">
      <c r="A298" s="96">
        <v>296</v>
      </c>
      <c r="B298" s="97">
        <v>44492</v>
      </c>
      <c r="C298" s="98" t="s">
        <v>1007</v>
      </c>
      <c r="D298" s="98" t="s">
        <v>1000</v>
      </c>
      <c r="E298" s="98" t="s">
        <v>1006</v>
      </c>
      <c r="F298" s="99">
        <v>4</v>
      </c>
      <c r="G298" s="99">
        <v>300</v>
      </c>
      <c r="H298" s="99">
        <v>1200</v>
      </c>
    </row>
    <row r="299" spans="1:8" ht="18" x14ac:dyDescent="0.35">
      <c r="A299" s="96">
        <v>297</v>
      </c>
      <c r="B299" s="97">
        <v>44493</v>
      </c>
      <c r="C299" s="98" t="s">
        <v>999</v>
      </c>
      <c r="D299" s="98" t="s">
        <v>1000</v>
      </c>
      <c r="E299" s="98" t="s">
        <v>1004</v>
      </c>
      <c r="F299" s="99">
        <v>5</v>
      </c>
      <c r="G299" s="99">
        <v>1500</v>
      </c>
      <c r="H299" s="99">
        <v>7500</v>
      </c>
    </row>
    <row r="300" spans="1:8" ht="18" x14ac:dyDescent="0.35">
      <c r="A300" s="96">
        <v>298</v>
      </c>
      <c r="B300" s="97">
        <v>44494</v>
      </c>
      <c r="C300" s="98" t="s">
        <v>999</v>
      </c>
      <c r="D300" s="98" t="s">
        <v>1002</v>
      </c>
      <c r="E300" s="98" t="s">
        <v>1006</v>
      </c>
      <c r="F300" s="99">
        <v>4</v>
      </c>
      <c r="G300" s="99">
        <v>300</v>
      </c>
      <c r="H300" s="99">
        <v>1200</v>
      </c>
    </row>
    <row r="301" spans="1:8" ht="18" x14ac:dyDescent="0.35">
      <c r="A301" s="96">
        <v>299</v>
      </c>
      <c r="B301" s="97">
        <v>44495</v>
      </c>
      <c r="C301" s="98" t="s">
        <v>999</v>
      </c>
      <c r="D301" s="98" t="s">
        <v>1008</v>
      </c>
      <c r="E301" s="98" t="s">
        <v>1004</v>
      </c>
      <c r="F301" s="99">
        <v>5</v>
      </c>
      <c r="G301" s="99">
        <v>1500</v>
      </c>
      <c r="H301" s="99">
        <v>7500</v>
      </c>
    </row>
    <row r="302" spans="1:8" ht="18" x14ac:dyDescent="0.35">
      <c r="A302" s="96">
        <v>300</v>
      </c>
      <c r="B302" s="97">
        <v>44496</v>
      </c>
      <c r="C302" s="98" t="s">
        <v>999</v>
      </c>
      <c r="D302" s="98" t="s">
        <v>1009</v>
      </c>
      <c r="E302" s="98" t="s">
        <v>1006</v>
      </c>
      <c r="F302" s="99">
        <v>4</v>
      </c>
      <c r="G302" s="99">
        <v>300</v>
      </c>
      <c r="H302" s="99">
        <v>1200</v>
      </c>
    </row>
    <row r="303" spans="1:8" ht="18" x14ac:dyDescent="0.35">
      <c r="A303" s="96">
        <v>301</v>
      </c>
      <c r="B303" s="97">
        <v>44497</v>
      </c>
      <c r="C303" s="98" t="s">
        <v>999</v>
      </c>
      <c r="D303" s="98" t="s">
        <v>1000</v>
      </c>
      <c r="E303" s="98" t="s">
        <v>1004</v>
      </c>
      <c r="F303" s="99">
        <v>5</v>
      </c>
      <c r="G303" s="99">
        <v>1500</v>
      </c>
      <c r="H303" s="99">
        <v>7500</v>
      </c>
    </row>
    <row r="304" spans="1:8" ht="18" x14ac:dyDescent="0.35">
      <c r="A304" s="96">
        <v>302</v>
      </c>
      <c r="B304" s="97">
        <v>44498</v>
      </c>
      <c r="C304" s="98" t="s">
        <v>999</v>
      </c>
      <c r="D304" s="98" t="s">
        <v>1002</v>
      </c>
      <c r="E304" s="98" t="s">
        <v>245</v>
      </c>
      <c r="F304" s="99">
        <v>6</v>
      </c>
      <c r="G304" s="99">
        <v>2100</v>
      </c>
      <c r="H304" s="99">
        <v>12600</v>
      </c>
    </row>
    <row r="305" spans="1:8" ht="18" x14ac:dyDescent="0.35">
      <c r="A305" s="96">
        <v>303</v>
      </c>
      <c r="B305" s="97">
        <v>44499</v>
      </c>
      <c r="C305" s="98" t="s">
        <v>999</v>
      </c>
      <c r="D305" s="98" t="s">
        <v>1008</v>
      </c>
      <c r="E305" s="98" t="s">
        <v>246</v>
      </c>
      <c r="F305" s="99">
        <v>5</v>
      </c>
      <c r="G305" s="99">
        <v>1200</v>
      </c>
      <c r="H305" s="99">
        <v>6000</v>
      </c>
    </row>
    <row r="306" spans="1:8" ht="18" x14ac:dyDescent="0.35">
      <c r="A306" s="96">
        <v>304</v>
      </c>
      <c r="B306" s="97">
        <v>44500</v>
      </c>
      <c r="C306" s="98" t="s">
        <v>999</v>
      </c>
      <c r="D306" s="98" t="s">
        <v>1009</v>
      </c>
      <c r="E306" s="98" t="s">
        <v>1004</v>
      </c>
      <c r="F306" s="99">
        <v>4</v>
      </c>
      <c r="G306" s="99">
        <v>1500</v>
      </c>
      <c r="H306" s="99">
        <v>6000</v>
      </c>
    </row>
    <row r="307" spans="1:8" ht="18" x14ac:dyDescent="0.35">
      <c r="A307" s="96">
        <v>305</v>
      </c>
      <c r="B307" s="97">
        <v>44501</v>
      </c>
      <c r="C307" s="98" t="s">
        <v>1001</v>
      </c>
      <c r="D307" s="98" t="s">
        <v>1002</v>
      </c>
      <c r="E307" s="98" t="s">
        <v>1006</v>
      </c>
      <c r="F307" s="99">
        <v>3</v>
      </c>
      <c r="G307" s="99">
        <v>300</v>
      </c>
      <c r="H307" s="99">
        <v>900</v>
      </c>
    </row>
    <row r="308" spans="1:8" ht="18" x14ac:dyDescent="0.35">
      <c r="A308" s="96">
        <v>306</v>
      </c>
      <c r="B308" s="97">
        <v>44502</v>
      </c>
      <c r="C308" s="98" t="s">
        <v>1001</v>
      </c>
      <c r="D308" s="98" t="s">
        <v>1000</v>
      </c>
      <c r="E308" s="98" t="s">
        <v>49</v>
      </c>
      <c r="F308" s="99">
        <v>2</v>
      </c>
      <c r="G308" s="99">
        <v>190</v>
      </c>
      <c r="H308" s="99">
        <v>380</v>
      </c>
    </row>
    <row r="309" spans="1:8" ht="18" x14ac:dyDescent="0.35">
      <c r="A309" s="96">
        <v>307</v>
      </c>
      <c r="B309" s="97">
        <v>44503</v>
      </c>
      <c r="C309" s="98" t="s">
        <v>1001</v>
      </c>
      <c r="D309" s="98" t="s">
        <v>1008</v>
      </c>
      <c r="E309" s="98" t="s">
        <v>49</v>
      </c>
      <c r="F309" s="99">
        <v>2</v>
      </c>
      <c r="G309" s="99">
        <v>190</v>
      </c>
      <c r="H309" s="99">
        <v>380</v>
      </c>
    </row>
    <row r="310" spans="1:8" ht="18" x14ac:dyDescent="0.35">
      <c r="A310" s="96">
        <v>308</v>
      </c>
      <c r="B310" s="97">
        <v>44504</v>
      </c>
      <c r="C310" s="98" t="s">
        <v>1001</v>
      </c>
      <c r="D310" s="98" t="s">
        <v>1009</v>
      </c>
      <c r="E310" s="98" t="s">
        <v>49</v>
      </c>
      <c r="F310" s="99">
        <v>2</v>
      </c>
      <c r="G310" s="99">
        <v>190</v>
      </c>
      <c r="H310" s="99">
        <v>380</v>
      </c>
    </row>
    <row r="311" spans="1:8" ht="18" x14ac:dyDescent="0.35">
      <c r="A311" s="96">
        <v>309</v>
      </c>
      <c r="B311" s="97">
        <v>44505</v>
      </c>
      <c r="C311" s="98" t="s">
        <v>1001</v>
      </c>
      <c r="D311" s="98" t="s">
        <v>1002</v>
      </c>
      <c r="E311" s="98" t="s">
        <v>49</v>
      </c>
      <c r="F311" s="99">
        <v>2</v>
      </c>
      <c r="G311" s="99">
        <v>190</v>
      </c>
      <c r="H311" s="99">
        <v>380</v>
      </c>
    </row>
    <row r="312" spans="1:8" ht="18" x14ac:dyDescent="0.35">
      <c r="A312" s="96">
        <v>310</v>
      </c>
      <c r="B312" s="97">
        <v>44506</v>
      </c>
      <c r="C312" s="98" t="s">
        <v>1001</v>
      </c>
      <c r="D312" s="98" t="s">
        <v>1000</v>
      </c>
      <c r="E312" s="98" t="s">
        <v>49</v>
      </c>
      <c r="F312" s="99">
        <v>2</v>
      </c>
      <c r="G312" s="99">
        <v>190</v>
      </c>
      <c r="H312" s="99">
        <v>380</v>
      </c>
    </row>
    <row r="313" spans="1:8" ht="18" x14ac:dyDescent="0.35">
      <c r="A313" s="96">
        <v>311</v>
      </c>
      <c r="B313" s="97">
        <v>44507</v>
      </c>
      <c r="C313" s="98" t="s">
        <v>1001</v>
      </c>
      <c r="D313" s="98" t="s">
        <v>1008</v>
      </c>
      <c r="E313" s="98" t="s">
        <v>49</v>
      </c>
      <c r="F313" s="99">
        <v>2</v>
      </c>
      <c r="G313" s="99">
        <v>190</v>
      </c>
      <c r="H313" s="99">
        <v>380</v>
      </c>
    </row>
    <row r="314" spans="1:8" ht="18" x14ac:dyDescent="0.35">
      <c r="A314" s="96">
        <v>312</v>
      </c>
      <c r="B314" s="97">
        <v>44508</v>
      </c>
      <c r="C314" s="98" t="s">
        <v>1001</v>
      </c>
      <c r="D314" s="98" t="s">
        <v>1009</v>
      </c>
      <c r="E314" s="98" t="s">
        <v>49</v>
      </c>
      <c r="F314" s="99">
        <v>2</v>
      </c>
      <c r="G314" s="99">
        <v>190</v>
      </c>
      <c r="H314" s="99">
        <v>380</v>
      </c>
    </row>
    <row r="315" spans="1:8" ht="18" x14ac:dyDescent="0.35">
      <c r="A315" s="96">
        <v>313</v>
      </c>
      <c r="B315" s="97">
        <v>44509</v>
      </c>
      <c r="C315" s="98" t="s">
        <v>1003</v>
      </c>
      <c r="D315" s="98" t="s">
        <v>1009</v>
      </c>
      <c r="E315" s="98" t="s">
        <v>49</v>
      </c>
      <c r="F315" s="99">
        <v>2</v>
      </c>
      <c r="G315" s="99">
        <v>190</v>
      </c>
      <c r="H315" s="99">
        <v>380</v>
      </c>
    </row>
    <row r="316" spans="1:8" ht="18" x14ac:dyDescent="0.35">
      <c r="A316" s="96">
        <v>314</v>
      </c>
      <c r="B316" s="97">
        <v>44510</v>
      </c>
      <c r="C316" s="98" t="s">
        <v>988</v>
      </c>
      <c r="D316" s="98" t="s">
        <v>1009</v>
      </c>
      <c r="E316" s="98" t="s">
        <v>49</v>
      </c>
      <c r="F316" s="99">
        <v>2</v>
      </c>
      <c r="G316" s="99">
        <v>190</v>
      </c>
      <c r="H316" s="99">
        <v>380</v>
      </c>
    </row>
    <row r="317" spans="1:8" ht="18" x14ac:dyDescent="0.35">
      <c r="A317" s="96">
        <v>315</v>
      </c>
      <c r="B317" s="97">
        <v>44511</v>
      </c>
      <c r="C317" s="98" t="s">
        <v>1005</v>
      </c>
      <c r="D317" s="98" t="s">
        <v>1009</v>
      </c>
      <c r="E317" s="98" t="s">
        <v>49</v>
      </c>
      <c r="F317" s="99">
        <v>2</v>
      </c>
      <c r="G317" s="99">
        <v>190</v>
      </c>
      <c r="H317" s="99">
        <v>380</v>
      </c>
    </row>
    <row r="318" spans="1:8" ht="18" x14ac:dyDescent="0.35">
      <c r="A318" s="96">
        <v>316</v>
      </c>
      <c r="B318" s="97">
        <v>44512</v>
      </c>
      <c r="C318" s="98" t="s">
        <v>1007</v>
      </c>
      <c r="D318" s="98" t="s">
        <v>1009</v>
      </c>
      <c r="E318" s="98" t="s">
        <v>49</v>
      </c>
      <c r="F318" s="99">
        <v>2</v>
      </c>
      <c r="G318" s="99">
        <v>190</v>
      </c>
      <c r="H318" s="99">
        <v>380</v>
      </c>
    </row>
    <row r="319" spans="1:8" ht="18" x14ac:dyDescent="0.35">
      <c r="A319" s="96">
        <v>317</v>
      </c>
      <c r="B319" s="97">
        <v>44513</v>
      </c>
      <c r="C319" s="98" t="s">
        <v>1007</v>
      </c>
      <c r="D319" s="98" t="s">
        <v>1000</v>
      </c>
      <c r="E319" s="98" t="s">
        <v>49</v>
      </c>
      <c r="F319" s="99">
        <v>2</v>
      </c>
      <c r="G319" s="99">
        <v>190</v>
      </c>
      <c r="H319" s="99">
        <v>380</v>
      </c>
    </row>
    <row r="320" spans="1:8" ht="18" x14ac:dyDescent="0.35">
      <c r="A320" s="96">
        <v>318</v>
      </c>
      <c r="B320" s="97">
        <v>44514</v>
      </c>
      <c r="C320" s="98" t="s">
        <v>1007</v>
      </c>
      <c r="D320" s="98" t="s">
        <v>1002</v>
      </c>
      <c r="E320" s="98" t="s">
        <v>49</v>
      </c>
      <c r="F320" s="99">
        <v>3</v>
      </c>
      <c r="G320" s="99">
        <v>190</v>
      </c>
      <c r="H320" s="99">
        <v>570</v>
      </c>
    </row>
    <row r="321" spans="1:8" ht="18" x14ac:dyDescent="0.35">
      <c r="A321" s="96">
        <v>319</v>
      </c>
      <c r="B321" s="97">
        <v>44515</v>
      </c>
      <c r="C321" s="98" t="s">
        <v>1007</v>
      </c>
      <c r="D321" s="98" t="s">
        <v>1008</v>
      </c>
      <c r="E321" s="98" t="s">
        <v>50</v>
      </c>
      <c r="F321" s="99">
        <v>2</v>
      </c>
      <c r="G321" s="99">
        <v>210</v>
      </c>
      <c r="H321" s="99">
        <v>420</v>
      </c>
    </row>
    <row r="322" spans="1:8" ht="18" x14ac:dyDescent="0.35">
      <c r="A322" s="96">
        <v>320</v>
      </c>
      <c r="B322" s="97">
        <v>44516</v>
      </c>
      <c r="C322" s="98" t="s">
        <v>1007</v>
      </c>
      <c r="D322" s="98" t="s">
        <v>1009</v>
      </c>
      <c r="E322" s="98" t="s">
        <v>50</v>
      </c>
      <c r="F322" s="99">
        <v>2</v>
      </c>
      <c r="G322" s="99">
        <v>210</v>
      </c>
      <c r="H322" s="99">
        <v>420</v>
      </c>
    </row>
    <row r="323" spans="1:8" ht="18" x14ac:dyDescent="0.35">
      <c r="A323" s="96">
        <v>321</v>
      </c>
      <c r="B323" s="97">
        <v>44517</v>
      </c>
      <c r="C323" s="98" t="s">
        <v>1007</v>
      </c>
      <c r="D323" s="98" t="s">
        <v>1000</v>
      </c>
      <c r="E323" s="98" t="s">
        <v>50</v>
      </c>
      <c r="F323" s="99">
        <v>2</v>
      </c>
      <c r="G323" s="99">
        <v>210</v>
      </c>
      <c r="H323" s="99">
        <v>420</v>
      </c>
    </row>
    <row r="324" spans="1:8" ht="18" x14ac:dyDescent="0.35">
      <c r="A324" s="96">
        <v>322</v>
      </c>
      <c r="B324" s="97">
        <v>44518</v>
      </c>
      <c r="C324" s="98" t="s">
        <v>1007</v>
      </c>
      <c r="D324" s="98" t="s">
        <v>1002</v>
      </c>
      <c r="E324" s="98" t="s">
        <v>50</v>
      </c>
      <c r="F324" s="99">
        <v>2</v>
      </c>
      <c r="G324" s="99">
        <v>210</v>
      </c>
      <c r="H324" s="99">
        <v>420</v>
      </c>
    </row>
    <row r="325" spans="1:8" ht="18" x14ac:dyDescent="0.35">
      <c r="A325" s="96">
        <v>323</v>
      </c>
      <c r="B325" s="97">
        <v>44519</v>
      </c>
      <c r="C325" s="98" t="s">
        <v>1007</v>
      </c>
      <c r="D325" s="98" t="s">
        <v>1008</v>
      </c>
      <c r="E325" s="98" t="s">
        <v>50</v>
      </c>
      <c r="F325" s="99">
        <v>2</v>
      </c>
      <c r="G325" s="99">
        <v>210</v>
      </c>
      <c r="H325" s="99">
        <v>420</v>
      </c>
    </row>
    <row r="326" spans="1:8" ht="18" x14ac:dyDescent="0.35">
      <c r="A326" s="96">
        <v>324</v>
      </c>
      <c r="B326" s="97">
        <v>44520</v>
      </c>
      <c r="C326" s="98" t="s">
        <v>1007</v>
      </c>
      <c r="D326" s="98" t="s">
        <v>1009</v>
      </c>
      <c r="E326" s="98" t="s">
        <v>50</v>
      </c>
      <c r="F326" s="99">
        <v>2</v>
      </c>
      <c r="G326" s="99">
        <v>210</v>
      </c>
      <c r="H326" s="99">
        <v>420</v>
      </c>
    </row>
    <row r="327" spans="1:8" ht="18" x14ac:dyDescent="0.35">
      <c r="A327" s="96">
        <v>325</v>
      </c>
      <c r="B327" s="97">
        <v>44521</v>
      </c>
      <c r="C327" s="98" t="s">
        <v>999</v>
      </c>
      <c r="D327" s="98" t="s">
        <v>1000</v>
      </c>
      <c r="E327" s="98" t="s">
        <v>50</v>
      </c>
      <c r="F327" s="99">
        <v>2</v>
      </c>
      <c r="G327" s="99">
        <v>210</v>
      </c>
      <c r="H327" s="99">
        <v>420</v>
      </c>
    </row>
    <row r="328" spans="1:8" ht="18" x14ac:dyDescent="0.35">
      <c r="A328" s="96">
        <v>326</v>
      </c>
      <c r="B328" s="97">
        <v>44522</v>
      </c>
      <c r="C328" s="98" t="s">
        <v>1001</v>
      </c>
      <c r="D328" s="98" t="s">
        <v>1002</v>
      </c>
      <c r="E328" s="98" t="s">
        <v>50</v>
      </c>
      <c r="F328" s="99">
        <v>2</v>
      </c>
      <c r="G328" s="99">
        <v>210</v>
      </c>
      <c r="H328" s="99">
        <v>420</v>
      </c>
    </row>
    <row r="329" spans="1:8" ht="18" x14ac:dyDescent="0.35">
      <c r="A329" s="96">
        <v>327</v>
      </c>
      <c r="B329" s="97">
        <v>44523</v>
      </c>
      <c r="C329" s="98" t="s">
        <v>1003</v>
      </c>
      <c r="D329" s="98" t="s">
        <v>1000</v>
      </c>
      <c r="E329" s="98" t="s">
        <v>50</v>
      </c>
      <c r="F329" s="99">
        <v>2</v>
      </c>
      <c r="G329" s="99">
        <v>210</v>
      </c>
      <c r="H329" s="99">
        <v>420</v>
      </c>
    </row>
    <row r="330" spans="1:8" ht="18" x14ac:dyDescent="0.35">
      <c r="A330" s="96">
        <v>328</v>
      </c>
      <c r="B330" s="97">
        <v>44524</v>
      </c>
      <c r="C330" s="98" t="s">
        <v>988</v>
      </c>
      <c r="D330" s="98" t="s">
        <v>1002</v>
      </c>
      <c r="E330" s="98" t="s">
        <v>50</v>
      </c>
      <c r="F330" s="99">
        <v>2</v>
      </c>
      <c r="G330" s="99">
        <v>210</v>
      </c>
      <c r="H330" s="99">
        <v>420</v>
      </c>
    </row>
    <row r="331" spans="1:8" ht="18" x14ac:dyDescent="0.35">
      <c r="A331" s="96">
        <v>329</v>
      </c>
      <c r="B331" s="97">
        <v>44525</v>
      </c>
      <c r="C331" s="98" t="s">
        <v>1005</v>
      </c>
      <c r="D331" s="98" t="s">
        <v>1000</v>
      </c>
      <c r="E331" s="98" t="s">
        <v>50</v>
      </c>
      <c r="F331" s="99">
        <v>2</v>
      </c>
      <c r="G331" s="99">
        <v>210</v>
      </c>
      <c r="H331" s="99">
        <v>420</v>
      </c>
    </row>
    <row r="332" spans="1:8" ht="18" x14ac:dyDescent="0.35">
      <c r="A332" s="96">
        <v>330</v>
      </c>
      <c r="B332" s="97">
        <v>44526</v>
      </c>
      <c r="C332" s="98" t="s">
        <v>1007</v>
      </c>
      <c r="D332" s="98" t="s">
        <v>1000</v>
      </c>
      <c r="E332" s="98" t="s">
        <v>50</v>
      </c>
      <c r="F332" s="99">
        <v>2</v>
      </c>
      <c r="G332" s="99">
        <v>210</v>
      </c>
      <c r="H332" s="99">
        <v>420</v>
      </c>
    </row>
    <row r="333" spans="1:8" ht="18" x14ac:dyDescent="0.35">
      <c r="A333" s="96">
        <v>331</v>
      </c>
      <c r="B333" s="97">
        <v>44527</v>
      </c>
      <c r="C333" s="98" t="s">
        <v>999</v>
      </c>
      <c r="D333" s="98" t="s">
        <v>1000</v>
      </c>
      <c r="E333" s="98" t="s">
        <v>49</v>
      </c>
      <c r="F333" s="99">
        <v>2</v>
      </c>
      <c r="G333" s="99">
        <v>190</v>
      </c>
      <c r="H333" s="99">
        <v>380</v>
      </c>
    </row>
    <row r="334" spans="1:8" ht="18" x14ac:dyDescent="0.35">
      <c r="A334" s="96">
        <v>332</v>
      </c>
      <c r="B334" s="97">
        <v>44528</v>
      </c>
      <c r="C334" s="98" t="s">
        <v>1001</v>
      </c>
      <c r="D334" s="98" t="s">
        <v>1002</v>
      </c>
      <c r="E334" s="98" t="s">
        <v>50</v>
      </c>
      <c r="F334" s="99">
        <v>7</v>
      </c>
      <c r="G334" s="99">
        <v>210</v>
      </c>
      <c r="H334" s="99">
        <v>1470</v>
      </c>
    </row>
    <row r="335" spans="1:8" ht="18" x14ac:dyDescent="0.35">
      <c r="A335" s="96">
        <v>333</v>
      </c>
      <c r="B335" s="97">
        <v>44529</v>
      </c>
      <c r="C335" s="98" t="s">
        <v>1003</v>
      </c>
      <c r="D335" s="98" t="s">
        <v>1002</v>
      </c>
      <c r="E335" s="98" t="s">
        <v>245</v>
      </c>
      <c r="F335" s="99">
        <v>6</v>
      </c>
      <c r="G335" s="99">
        <v>2100</v>
      </c>
      <c r="H335" s="99">
        <v>12600</v>
      </c>
    </row>
    <row r="336" spans="1:8" ht="18" x14ac:dyDescent="0.35">
      <c r="A336" s="96">
        <v>334</v>
      </c>
      <c r="B336" s="97">
        <v>44530</v>
      </c>
      <c r="C336" s="98" t="s">
        <v>988</v>
      </c>
      <c r="D336" s="98" t="s">
        <v>1000</v>
      </c>
      <c r="E336" s="98" t="s">
        <v>246</v>
      </c>
      <c r="F336" s="99">
        <v>5</v>
      </c>
      <c r="G336" s="99">
        <v>1200</v>
      </c>
      <c r="H336" s="99">
        <v>6000</v>
      </c>
    </row>
    <row r="337" spans="1:8" ht="18" x14ac:dyDescent="0.35">
      <c r="A337" s="96">
        <v>335</v>
      </c>
      <c r="B337" s="97">
        <v>44531</v>
      </c>
      <c r="C337" s="98" t="s">
        <v>1005</v>
      </c>
      <c r="D337" s="98" t="s">
        <v>1000</v>
      </c>
      <c r="E337" s="98" t="s">
        <v>1004</v>
      </c>
      <c r="F337" s="99">
        <v>4</v>
      </c>
      <c r="G337" s="99">
        <v>1500</v>
      </c>
      <c r="H337" s="99">
        <v>6000</v>
      </c>
    </row>
    <row r="338" spans="1:8" ht="18" x14ac:dyDescent="0.35">
      <c r="A338" s="96">
        <v>336</v>
      </c>
      <c r="B338" s="97">
        <v>44532</v>
      </c>
      <c r="C338" s="98" t="s">
        <v>1007</v>
      </c>
      <c r="D338" s="98" t="s">
        <v>1002</v>
      </c>
      <c r="E338" s="98" t="s">
        <v>1004</v>
      </c>
      <c r="F338" s="99">
        <v>4</v>
      </c>
      <c r="G338" s="99">
        <v>1500</v>
      </c>
      <c r="H338" s="99">
        <v>6000</v>
      </c>
    </row>
    <row r="339" spans="1:8" ht="18" x14ac:dyDescent="0.35">
      <c r="A339" s="96">
        <v>337</v>
      </c>
      <c r="B339" s="97">
        <v>44533</v>
      </c>
      <c r="C339" s="98" t="s">
        <v>1007</v>
      </c>
      <c r="D339" s="98" t="s">
        <v>1000</v>
      </c>
      <c r="E339" s="98" t="s">
        <v>1004</v>
      </c>
      <c r="F339" s="99">
        <v>4</v>
      </c>
      <c r="G339" s="99">
        <v>1500</v>
      </c>
      <c r="H339" s="99">
        <v>6000</v>
      </c>
    </row>
    <row r="340" spans="1:8" ht="18" x14ac:dyDescent="0.35">
      <c r="A340" s="96">
        <v>338</v>
      </c>
      <c r="B340" s="97">
        <v>44534</v>
      </c>
      <c r="C340" s="98" t="s">
        <v>999</v>
      </c>
      <c r="D340" s="98" t="s">
        <v>1000</v>
      </c>
      <c r="E340" s="98" t="s">
        <v>1004</v>
      </c>
      <c r="F340" s="99">
        <v>4</v>
      </c>
      <c r="G340" s="99">
        <v>1500</v>
      </c>
      <c r="H340" s="99">
        <v>6000</v>
      </c>
    </row>
    <row r="341" spans="1:8" ht="18" x14ac:dyDescent="0.35">
      <c r="A341" s="96">
        <v>339</v>
      </c>
      <c r="B341" s="97">
        <v>44535</v>
      </c>
      <c r="C341" s="98" t="s">
        <v>1001</v>
      </c>
      <c r="D341" s="98" t="s">
        <v>1000</v>
      </c>
      <c r="E341" s="98" t="s">
        <v>1004</v>
      </c>
      <c r="F341" s="99">
        <v>4</v>
      </c>
      <c r="G341" s="99">
        <v>1500</v>
      </c>
      <c r="H341" s="99">
        <v>6000</v>
      </c>
    </row>
    <row r="342" spans="1:8" ht="18" x14ac:dyDescent="0.35">
      <c r="A342" s="96">
        <v>340</v>
      </c>
      <c r="B342" s="97">
        <v>44536</v>
      </c>
      <c r="C342" s="98" t="s">
        <v>1003</v>
      </c>
      <c r="D342" s="98" t="s">
        <v>1000</v>
      </c>
      <c r="E342" s="98" t="s">
        <v>1004</v>
      </c>
      <c r="F342" s="99">
        <v>4</v>
      </c>
      <c r="G342" s="99">
        <v>1500</v>
      </c>
      <c r="H342" s="99">
        <v>6000</v>
      </c>
    </row>
    <row r="343" spans="1:8" ht="18" x14ac:dyDescent="0.35">
      <c r="A343" s="96">
        <v>341</v>
      </c>
      <c r="B343" s="97">
        <v>44537</v>
      </c>
      <c r="C343" s="98" t="s">
        <v>988</v>
      </c>
      <c r="D343" s="98" t="s">
        <v>1000</v>
      </c>
      <c r="E343" s="98" t="s">
        <v>1004</v>
      </c>
      <c r="F343" s="99">
        <v>4</v>
      </c>
      <c r="G343" s="99">
        <v>1500</v>
      </c>
      <c r="H343" s="99">
        <v>6000</v>
      </c>
    </row>
    <row r="344" spans="1:8" ht="18" x14ac:dyDescent="0.35">
      <c r="A344" s="96">
        <v>342</v>
      </c>
      <c r="B344" s="97">
        <v>44538</v>
      </c>
      <c r="C344" s="98" t="s">
        <v>1005</v>
      </c>
      <c r="D344" s="98" t="s">
        <v>1000</v>
      </c>
      <c r="E344" s="98" t="s">
        <v>1004</v>
      </c>
      <c r="F344" s="99">
        <v>4</v>
      </c>
      <c r="G344" s="99">
        <v>1500</v>
      </c>
      <c r="H344" s="99">
        <v>6000</v>
      </c>
    </row>
    <row r="345" spans="1:8" ht="18" x14ac:dyDescent="0.35">
      <c r="A345" s="96">
        <v>343</v>
      </c>
      <c r="B345" s="97">
        <v>44539</v>
      </c>
      <c r="C345" s="98" t="s">
        <v>1007</v>
      </c>
      <c r="D345" s="98" t="s">
        <v>1000</v>
      </c>
      <c r="E345" s="98" t="s">
        <v>1004</v>
      </c>
      <c r="F345" s="99">
        <v>4</v>
      </c>
      <c r="G345" s="99">
        <v>1500</v>
      </c>
      <c r="H345" s="99">
        <v>6000</v>
      </c>
    </row>
    <row r="346" spans="1:8" ht="18" x14ac:dyDescent="0.35">
      <c r="A346" s="96">
        <v>344</v>
      </c>
      <c r="B346" s="97">
        <v>44540</v>
      </c>
      <c r="C346" s="98" t="s">
        <v>999</v>
      </c>
      <c r="D346" s="98" t="s">
        <v>1000</v>
      </c>
      <c r="E346" s="98" t="s">
        <v>50</v>
      </c>
      <c r="F346" s="99">
        <v>2</v>
      </c>
      <c r="G346" s="99">
        <v>210</v>
      </c>
      <c r="H346" s="99">
        <v>420</v>
      </c>
    </row>
    <row r="347" spans="1:8" ht="18" x14ac:dyDescent="0.35">
      <c r="A347" s="96">
        <v>345</v>
      </c>
      <c r="B347" s="97">
        <v>44541</v>
      </c>
      <c r="C347" s="98" t="s">
        <v>1001</v>
      </c>
      <c r="D347" s="98" t="s">
        <v>1002</v>
      </c>
      <c r="E347" s="98" t="s">
        <v>246</v>
      </c>
      <c r="F347" s="99">
        <v>7</v>
      </c>
      <c r="G347" s="99">
        <v>2100</v>
      </c>
      <c r="H347" s="99">
        <v>14700</v>
      </c>
    </row>
    <row r="348" spans="1:8" ht="18" x14ac:dyDescent="0.35">
      <c r="A348" s="96">
        <v>346</v>
      </c>
      <c r="B348" s="97">
        <v>44542</v>
      </c>
      <c r="C348" s="98" t="s">
        <v>1003</v>
      </c>
      <c r="D348" s="98" t="s">
        <v>1000</v>
      </c>
      <c r="E348" s="98" t="s">
        <v>1004</v>
      </c>
      <c r="F348" s="99">
        <v>6</v>
      </c>
      <c r="G348" s="99">
        <v>1200</v>
      </c>
      <c r="H348" s="99">
        <v>7200</v>
      </c>
    </row>
    <row r="349" spans="1:8" ht="18" x14ac:dyDescent="0.35">
      <c r="A349" s="96">
        <v>347</v>
      </c>
      <c r="B349" s="97">
        <v>44543</v>
      </c>
      <c r="C349" s="98" t="s">
        <v>988</v>
      </c>
      <c r="D349" s="98" t="s">
        <v>1002</v>
      </c>
      <c r="E349" s="98" t="s">
        <v>1006</v>
      </c>
      <c r="F349" s="99">
        <v>5</v>
      </c>
      <c r="G349" s="99">
        <v>300</v>
      </c>
      <c r="H349" s="99">
        <v>1500</v>
      </c>
    </row>
    <row r="350" spans="1:8" ht="18" x14ac:dyDescent="0.35">
      <c r="A350" s="96">
        <v>348</v>
      </c>
      <c r="B350" s="97">
        <v>44544</v>
      </c>
      <c r="C350" s="98" t="s">
        <v>1005</v>
      </c>
      <c r="D350" s="98" t="s">
        <v>1000</v>
      </c>
      <c r="E350" s="98" t="s">
        <v>49</v>
      </c>
      <c r="F350" s="99">
        <v>4</v>
      </c>
      <c r="G350" s="99">
        <v>200</v>
      </c>
      <c r="H350" s="99">
        <v>800</v>
      </c>
    </row>
    <row r="351" spans="1:8" ht="18" x14ac:dyDescent="0.35">
      <c r="A351" s="96">
        <v>349</v>
      </c>
      <c r="B351" s="97">
        <v>44545</v>
      </c>
      <c r="C351" s="98" t="s">
        <v>1007</v>
      </c>
      <c r="D351" s="98" t="s">
        <v>1000</v>
      </c>
      <c r="E351" s="98" t="s">
        <v>50</v>
      </c>
      <c r="F351" s="99">
        <v>3</v>
      </c>
      <c r="G351" s="99">
        <v>190</v>
      </c>
      <c r="H351" s="99">
        <v>570</v>
      </c>
    </row>
    <row r="352" spans="1:8" ht="18" x14ac:dyDescent="0.35">
      <c r="A352" s="96">
        <v>350</v>
      </c>
      <c r="B352" s="97">
        <v>44546</v>
      </c>
      <c r="C352" s="98" t="s">
        <v>1007</v>
      </c>
      <c r="D352" s="98" t="s">
        <v>1000</v>
      </c>
      <c r="E352" s="98" t="s">
        <v>245</v>
      </c>
      <c r="F352" s="99">
        <v>2</v>
      </c>
      <c r="G352" s="99">
        <v>2100</v>
      </c>
      <c r="H352" s="99">
        <v>4200</v>
      </c>
    </row>
    <row r="353" spans="1:8" ht="18" x14ac:dyDescent="0.35">
      <c r="A353" s="96">
        <v>351</v>
      </c>
      <c r="B353" s="97">
        <v>44547</v>
      </c>
      <c r="C353" s="98" t="s">
        <v>999</v>
      </c>
      <c r="D353" s="98" t="s">
        <v>1000</v>
      </c>
      <c r="E353" s="98" t="s">
        <v>50</v>
      </c>
      <c r="F353" s="99">
        <v>7</v>
      </c>
      <c r="G353" s="99">
        <v>210</v>
      </c>
      <c r="H353" s="99">
        <v>1470</v>
      </c>
    </row>
    <row r="354" spans="1:8" ht="18" x14ac:dyDescent="0.35">
      <c r="A354" s="96">
        <v>352</v>
      </c>
      <c r="B354" s="97">
        <v>44548</v>
      </c>
      <c r="C354" s="98" t="s">
        <v>999</v>
      </c>
      <c r="D354" s="98" t="s">
        <v>1002</v>
      </c>
      <c r="E354" s="98" t="s">
        <v>245</v>
      </c>
      <c r="F354" s="99">
        <v>6</v>
      </c>
      <c r="G354" s="99">
        <v>2100</v>
      </c>
      <c r="H354" s="99">
        <v>12600</v>
      </c>
    </row>
    <row r="355" spans="1:8" ht="18" x14ac:dyDescent="0.35">
      <c r="A355" s="96">
        <v>353</v>
      </c>
      <c r="B355" s="97">
        <v>44549</v>
      </c>
      <c r="C355" s="98" t="s">
        <v>999</v>
      </c>
      <c r="D355" s="98" t="s">
        <v>1008</v>
      </c>
      <c r="E355" s="98" t="s">
        <v>246</v>
      </c>
      <c r="F355" s="99">
        <v>5</v>
      </c>
      <c r="G355" s="99">
        <v>1200</v>
      </c>
      <c r="H355" s="99">
        <v>6000</v>
      </c>
    </row>
    <row r="356" spans="1:8" ht="18" x14ac:dyDescent="0.35">
      <c r="A356" s="96">
        <v>354</v>
      </c>
      <c r="B356" s="97">
        <v>44550</v>
      </c>
      <c r="C356" s="98" t="s">
        <v>999</v>
      </c>
      <c r="D356" s="98" t="s">
        <v>1009</v>
      </c>
      <c r="E356" s="98" t="s">
        <v>1004</v>
      </c>
      <c r="F356" s="99">
        <v>4</v>
      </c>
      <c r="G356" s="99">
        <v>1500</v>
      </c>
      <c r="H356" s="99">
        <v>6000</v>
      </c>
    </row>
    <row r="357" spans="1:8" ht="18" x14ac:dyDescent="0.35">
      <c r="A357" s="96">
        <v>355</v>
      </c>
      <c r="B357" s="97">
        <v>44551</v>
      </c>
      <c r="C357" s="98" t="s">
        <v>999</v>
      </c>
      <c r="D357" s="98" t="s">
        <v>1000</v>
      </c>
      <c r="E357" s="98" t="s">
        <v>1006</v>
      </c>
      <c r="F357" s="99">
        <v>3</v>
      </c>
      <c r="G357" s="99">
        <v>300</v>
      </c>
      <c r="H357" s="99">
        <v>900</v>
      </c>
    </row>
    <row r="358" spans="1:8" ht="18" x14ac:dyDescent="0.35">
      <c r="A358" s="96">
        <v>356</v>
      </c>
      <c r="B358" s="97">
        <v>44552</v>
      </c>
      <c r="C358" s="98" t="s">
        <v>999</v>
      </c>
      <c r="D358" s="98" t="s">
        <v>1002</v>
      </c>
      <c r="E358" s="98" t="s">
        <v>49</v>
      </c>
      <c r="F358" s="99">
        <v>2</v>
      </c>
      <c r="G358" s="99">
        <v>190</v>
      </c>
      <c r="H358" s="99">
        <v>380</v>
      </c>
    </row>
    <row r="359" spans="1:8" ht="18" x14ac:dyDescent="0.35">
      <c r="A359" s="96">
        <v>357</v>
      </c>
      <c r="B359" s="97">
        <v>44553</v>
      </c>
      <c r="C359" s="98" t="s">
        <v>999</v>
      </c>
      <c r="D359" s="98" t="s">
        <v>1008</v>
      </c>
      <c r="E359" s="98" t="s">
        <v>50</v>
      </c>
      <c r="F359" s="99">
        <v>7</v>
      </c>
      <c r="G359" s="99">
        <v>210</v>
      </c>
      <c r="H359" s="99">
        <v>1470</v>
      </c>
    </row>
    <row r="360" spans="1:8" ht="18" x14ac:dyDescent="0.35">
      <c r="A360" s="96">
        <v>358</v>
      </c>
      <c r="B360" s="97">
        <v>44554</v>
      </c>
      <c r="C360" s="98" t="s">
        <v>999</v>
      </c>
      <c r="D360" s="98" t="s">
        <v>1009</v>
      </c>
      <c r="E360" s="98" t="s">
        <v>245</v>
      </c>
      <c r="F360" s="99">
        <v>6</v>
      </c>
      <c r="G360" s="99">
        <v>2100</v>
      </c>
      <c r="H360" s="99">
        <v>12600</v>
      </c>
    </row>
    <row r="361" spans="1:8" ht="18" x14ac:dyDescent="0.35">
      <c r="A361" s="96">
        <v>359</v>
      </c>
      <c r="B361" s="97">
        <v>44555</v>
      </c>
      <c r="C361" s="98" t="s">
        <v>1001</v>
      </c>
      <c r="D361" s="98" t="s">
        <v>1002</v>
      </c>
      <c r="E361" s="98" t="s">
        <v>245</v>
      </c>
      <c r="F361" s="99">
        <v>6</v>
      </c>
      <c r="G361" s="99">
        <v>2100</v>
      </c>
      <c r="H361" s="99">
        <v>12600</v>
      </c>
    </row>
    <row r="362" spans="1:8" ht="18" x14ac:dyDescent="0.35">
      <c r="A362" s="96">
        <v>360</v>
      </c>
      <c r="B362" s="97">
        <v>44556</v>
      </c>
      <c r="C362" s="98" t="s">
        <v>1001</v>
      </c>
      <c r="D362" s="98" t="s">
        <v>1000</v>
      </c>
      <c r="E362" s="98" t="s">
        <v>245</v>
      </c>
      <c r="F362" s="99">
        <v>6</v>
      </c>
      <c r="G362" s="99">
        <v>2100</v>
      </c>
      <c r="H362" s="99">
        <v>12600</v>
      </c>
    </row>
    <row r="363" spans="1:8" ht="18" x14ac:dyDescent="0.35">
      <c r="A363" s="96">
        <v>361</v>
      </c>
      <c r="B363" s="97">
        <v>44557</v>
      </c>
      <c r="C363" s="98" t="s">
        <v>1001</v>
      </c>
      <c r="D363" s="98" t="s">
        <v>1008</v>
      </c>
      <c r="E363" s="98" t="s">
        <v>245</v>
      </c>
      <c r="F363" s="99">
        <v>6</v>
      </c>
      <c r="G363" s="99">
        <v>2100</v>
      </c>
      <c r="H363" s="99">
        <v>12600</v>
      </c>
    </row>
    <row r="364" spans="1:8" ht="18" x14ac:dyDescent="0.35">
      <c r="A364" s="96">
        <v>362</v>
      </c>
      <c r="B364" s="97">
        <v>44558</v>
      </c>
      <c r="C364" s="98" t="s">
        <v>1001</v>
      </c>
      <c r="D364" s="98" t="s">
        <v>1009</v>
      </c>
      <c r="E364" s="98" t="s">
        <v>245</v>
      </c>
      <c r="F364" s="99">
        <v>6</v>
      </c>
      <c r="G364" s="99">
        <v>2100</v>
      </c>
      <c r="H364" s="99">
        <v>12600</v>
      </c>
    </row>
    <row r="365" spans="1:8" ht="18" x14ac:dyDescent="0.35">
      <c r="A365" s="96">
        <v>363</v>
      </c>
      <c r="B365" s="97">
        <v>44559</v>
      </c>
      <c r="C365" s="98" t="s">
        <v>1001</v>
      </c>
      <c r="D365" s="98" t="s">
        <v>1002</v>
      </c>
      <c r="E365" s="98" t="s">
        <v>245</v>
      </c>
      <c r="F365" s="99">
        <v>6</v>
      </c>
      <c r="G365" s="99">
        <v>2100</v>
      </c>
      <c r="H365" s="99">
        <v>12600</v>
      </c>
    </row>
    <row r="366" spans="1:8" ht="18" x14ac:dyDescent="0.35">
      <c r="A366" s="96">
        <v>364</v>
      </c>
      <c r="B366" s="97">
        <v>44560</v>
      </c>
      <c r="C366" s="98" t="s">
        <v>1001</v>
      </c>
      <c r="D366" s="98" t="s">
        <v>1000</v>
      </c>
      <c r="E366" s="98" t="s">
        <v>245</v>
      </c>
      <c r="F366" s="99">
        <v>6</v>
      </c>
      <c r="G366" s="99">
        <v>2100</v>
      </c>
      <c r="H366" s="99">
        <v>12600</v>
      </c>
    </row>
    <row r="367" spans="1:8" ht="18" x14ac:dyDescent="0.35">
      <c r="A367" s="96">
        <v>365</v>
      </c>
      <c r="B367" s="97">
        <v>44561</v>
      </c>
      <c r="C367" s="98" t="s">
        <v>1001</v>
      </c>
      <c r="D367" s="98" t="s">
        <v>1008</v>
      </c>
      <c r="E367" s="98" t="s">
        <v>246</v>
      </c>
      <c r="F367" s="99">
        <v>6</v>
      </c>
      <c r="G367" s="99">
        <v>1200</v>
      </c>
      <c r="H367" s="99">
        <v>7200</v>
      </c>
    </row>
    <row r="368" spans="1:8" ht="18" x14ac:dyDescent="0.35">
      <c r="A368" s="96">
        <v>366</v>
      </c>
      <c r="B368" s="97">
        <v>44562</v>
      </c>
      <c r="C368" s="98" t="s">
        <v>1001</v>
      </c>
      <c r="D368" s="98" t="s">
        <v>1009</v>
      </c>
      <c r="E368" s="98" t="s">
        <v>1004</v>
      </c>
      <c r="F368" s="99">
        <v>5</v>
      </c>
      <c r="G368" s="99">
        <v>1500</v>
      </c>
      <c r="H368" s="99">
        <v>7500</v>
      </c>
    </row>
  </sheetData>
  <mergeCells count="1">
    <mergeCell ref="A1:H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794A-3ACE-4513-8FDC-45FF1E2896F4}">
  <sheetPr codeName="Sheet51"/>
  <dimension ref="A1:C125"/>
  <sheetViews>
    <sheetView zoomScale="103" workbookViewId="0">
      <selection activeCell="A128" sqref="A128"/>
    </sheetView>
  </sheetViews>
  <sheetFormatPr defaultRowHeight="14.4" x14ac:dyDescent="0.3"/>
  <cols>
    <col min="1" max="1" width="12.77734375" bestFit="1" customWidth="1"/>
    <col min="2" max="2" width="14.44140625" bestFit="1" customWidth="1"/>
    <col min="3" max="3" width="10.44140625" bestFit="1" customWidth="1"/>
  </cols>
  <sheetData>
    <row r="1" spans="1:1" x14ac:dyDescent="0.3">
      <c r="A1" s="49" t="s">
        <v>479</v>
      </c>
    </row>
    <row r="2" spans="1:1" x14ac:dyDescent="0.3">
      <c r="A2" s="50" t="s">
        <v>417</v>
      </c>
    </row>
    <row r="3" spans="1:1" x14ac:dyDescent="0.3">
      <c r="A3" s="50" t="s">
        <v>418</v>
      </c>
    </row>
    <row r="4" spans="1:1" x14ac:dyDescent="0.3">
      <c r="A4" s="50" t="s">
        <v>419</v>
      </c>
    </row>
    <row r="5" spans="1:1" x14ac:dyDescent="0.3">
      <c r="A5" s="50" t="s">
        <v>1011</v>
      </c>
    </row>
    <row r="6" spans="1:1" x14ac:dyDescent="0.3">
      <c r="A6" s="50" t="s">
        <v>104</v>
      </c>
    </row>
    <row r="7" spans="1:1" x14ac:dyDescent="0.3">
      <c r="A7" s="50" t="s">
        <v>1012</v>
      </c>
    </row>
    <row r="8" spans="1:1" x14ac:dyDescent="0.3">
      <c r="A8" s="50" t="s">
        <v>1013</v>
      </c>
    </row>
    <row r="9" spans="1:1" x14ac:dyDescent="0.3">
      <c r="A9" s="50" t="s">
        <v>1014</v>
      </c>
    </row>
    <row r="10" spans="1:1" x14ac:dyDescent="0.3">
      <c r="A10" s="50" t="s">
        <v>1015</v>
      </c>
    </row>
    <row r="11" spans="1:1" x14ac:dyDescent="0.3">
      <c r="A11" s="50" t="s">
        <v>1016</v>
      </c>
    </row>
    <row r="12" spans="1:1" x14ac:dyDescent="0.3">
      <c r="A12" s="50" t="s">
        <v>1017</v>
      </c>
    </row>
    <row r="13" spans="1:1" x14ac:dyDescent="0.3">
      <c r="A13" s="50" t="s">
        <v>1018</v>
      </c>
    </row>
    <row r="14" spans="1:1" x14ac:dyDescent="0.3">
      <c r="A14" s="50" t="s">
        <v>480</v>
      </c>
    </row>
    <row r="16" spans="1:1" x14ac:dyDescent="0.3">
      <c r="A16" s="49" t="s">
        <v>479</v>
      </c>
    </row>
    <row r="17" spans="1:1" x14ac:dyDescent="0.3">
      <c r="A17" s="50" t="s">
        <v>1000</v>
      </c>
    </row>
    <row r="18" spans="1:1" x14ac:dyDescent="0.3">
      <c r="A18" s="50" t="s">
        <v>1008</v>
      </c>
    </row>
    <row r="19" spans="1:1" x14ac:dyDescent="0.3">
      <c r="A19" s="50" t="s">
        <v>1009</v>
      </c>
    </row>
    <row r="20" spans="1:1" x14ac:dyDescent="0.3">
      <c r="A20" s="50" t="s">
        <v>1002</v>
      </c>
    </row>
    <row r="21" spans="1:1" x14ac:dyDescent="0.3">
      <c r="A21" s="50" t="s">
        <v>480</v>
      </c>
    </row>
    <row r="23" spans="1:1" x14ac:dyDescent="0.3">
      <c r="A23" s="49" t="s">
        <v>479</v>
      </c>
    </row>
    <row r="24" spans="1:1" x14ac:dyDescent="0.3">
      <c r="A24" s="50" t="s">
        <v>49</v>
      </c>
    </row>
    <row r="25" spans="1:1" x14ac:dyDescent="0.3">
      <c r="A25" s="50" t="s">
        <v>246</v>
      </c>
    </row>
    <row r="26" spans="1:1" x14ac:dyDescent="0.3">
      <c r="A26" s="50" t="s">
        <v>50</v>
      </c>
    </row>
    <row r="27" spans="1:1" x14ac:dyDescent="0.3">
      <c r="A27" s="50" t="s">
        <v>245</v>
      </c>
    </row>
    <row r="28" spans="1:1" x14ac:dyDescent="0.3">
      <c r="A28" s="50" t="s">
        <v>1004</v>
      </c>
    </row>
    <row r="29" spans="1:1" x14ac:dyDescent="0.3">
      <c r="A29" s="50" t="s">
        <v>1006</v>
      </c>
    </row>
    <row r="30" spans="1:1" x14ac:dyDescent="0.3">
      <c r="A30" s="50" t="s">
        <v>480</v>
      </c>
    </row>
    <row r="33" spans="1:3" x14ac:dyDescent="0.3">
      <c r="A33" s="49" t="s">
        <v>479</v>
      </c>
      <c r="B33" t="s">
        <v>482</v>
      </c>
    </row>
    <row r="34" spans="1:3" x14ac:dyDescent="0.3">
      <c r="A34" s="50" t="s">
        <v>417</v>
      </c>
      <c r="B34">
        <v>143130</v>
      </c>
    </row>
    <row r="35" spans="1:3" x14ac:dyDescent="0.3">
      <c r="A35" s="50" t="s">
        <v>418</v>
      </c>
      <c r="B35">
        <v>224470</v>
      </c>
    </row>
    <row r="36" spans="1:3" x14ac:dyDescent="0.3">
      <c r="A36" s="50" t="s">
        <v>419</v>
      </c>
      <c r="B36">
        <v>86100</v>
      </c>
    </row>
    <row r="37" spans="1:3" x14ac:dyDescent="0.3">
      <c r="A37" s="50" t="s">
        <v>1011</v>
      </c>
      <c r="B37">
        <v>153530</v>
      </c>
    </row>
    <row r="38" spans="1:3" x14ac:dyDescent="0.3">
      <c r="A38" s="50" t="s">
        <v>104</v>
      </c>
      <c r="B38">
        <v>110160</v>
      </c>
    </row>
    <row r="39" spans="1:3" x14ac:dyDescent="0.3">
      <c r="A39" s="50" t="s">
        <v>1012</v>
      </c>
      <c r="B39">
        <v>118530</v>
      </c>
    </row>
    <row r="40" spans="1:3" x14ac:dyDescent="0.3">
      <c r="A40" s="50" t="s">
        <v>1013</v>
      </c>
      <c r="B40">
        <v>130100</v>
      </c>
    </row>
    <row r="41" spans="1:3" x14ac:dyDescent="0.3">
      <c r="A41" s="50" t="s">
        <v>1014</v>
      </c>
      <c r="B41">
        <v>156300</v>
      </c>
    </row>
    <row r="42" spans="1:3" x14ac:dyDescent="0.3">
      <c r="A42" s="50" t="s">
        <v>1015</v>
      </c>
      <c r="B42">
        <v>223770</v>
      </c>
    </row>
    <row r="43" spans="1:3" x14ac:dyDescent="0.3">
      <c r="A43" s="50" t="s">
        <v>1016</v>
      </c>
      <c r="B43">
        <v>197350</v>
      </c>
    </row>
    <row r="44" spans="1:3" x14ac:dyDescent="0.3">
      <c r="A44" s="50" t="s">
        <v>1017</v>
      </c>
      <c r="B44">
        <v>31520</v>
      </c>
    </row>
    <row r="45" spans="1:3" x14ac:dyDescent="0.3">
      <c r="A45" s="50" t="s">
        <v>1018</v>
      </c>
      <c r="B45">
        <v>207610</v>
      </c>
    </row>
    <row r="46" spans="1:3" x14ac:dyDescent="0.3">
      <c r="A46" s="50" t="s">
        <v>480</v>
      </c>
      <c r="B46">
        <v>1782570</v>
      </c>
      <c r="C46">
        <f>GETPIVOTDATA("Amount",$A$33)</f>
        <v>1782570</v>
      </c>
    </row>
    <row r="49" spans="1:2" x14ac:dyDescent="0.3">
      <c r="A49" s="49" t="s">
        <v>479</v>
      </c>
      <c r="B49" t="s">
        <v>482</v>
      </c>
    </row>
    <row r="50" spans="1:2" x14ac:dyDescent="0.3">
      <c r="A50" s="50" t="s">
        <v>1000</v>
      </c>
      <c r="B50">
        <v>736080</v>
      </c>
    </row>
    <row r="51" spans="1:2" x14ac:dyDescent="0.3">
      <c r="A51" s="50" t="s">
        <v>1008</v>
      </c>
      <c r="B51">
        <v>203680</v>
      </c>
    </row>
    <row r="52" spans="1:2" x14ac:dyDescent="0.3">
      <c r="A52" s="50" t="s">
        <v>1009</v>
      </c>
      <c r="B52">
        <v>335480</v>
      </c>
    </row>
    <row r="53" spans="1:2" x14ac:dyDescent="0.3">
      <c r="A53" s="50" t="s">
        <v>1002</v>
      </c>
      <c r="B53">
        <v>507330</v>
      </c>
    </row>
    <row r="54" spans="1:2" x14ac:dyDescent="0.3">
      <c r="A54" s="50" t="s">
        <v>480</v>
      </c>
      <c r="B54">
        <v>1782570</v>
      </c>
    </row>
    <row r="58" spans="1:2" x14ac:dyDescent="0.3">
      <c r="A58" s="49" t="s">
        <v>479</v>
      </c>
      <c r="B58" t="s">
        <v>482</v>
      </c>
    </row>
    <row r="59" spans="1:2" x14ac:dyDescent="0.3">
      <c r="A59" s="50" t="s">
        <v>49</v>
      </c>
      <c r="B59" s="100">
        <v>1.4204210774331443E-2</v>
      </c>
    </row>
    <row r="60" spans="1:2" x14ac:dyDescent="0.3">
      <c r="A60" s="50" t="s">
        <v>246</v>
      </c>
      <c r="B60" s="100">
        <v>0.19017485989330013</v>
      </c>
    </row>
    <row r="61" spans="1:2" x14ac:dyDescent="0.3">
      <c r="A61" s="50" t="s">
        <v>50</v>
      </c>
      <c r="B61" s="100">
        <v>3.7109342129621838E-2</v>
      </c>
    </row>
    <row r="62" spans="1:2" x14ac:dyDescent="0.3">
      <c r="A62" s="50" t="s">
        <v>245</v>
      </c>
      <c r="B62" s="100">
        <v>0.52424308722799107</v>
      </c>
    </row>
    <row r="63" spans="1:2" x14ac:dyDescent="0.3">
      <c r="A63" s="50" t="s">
        <v>1004</v>
      </c>
      <c r="B63" s="100">
        <v>0.1975798986856056</v>
      </c>
    </row>
    <row r="64" spans="1:2" x14ac:dyDescent="0.3">
      <c r="A64" s="50" t="s">
        <v>1006</v>
      </c>
      <c r="B64" s="100">
        <v>3.6688601289149934E-2</v>
      </c>
    </row>
    <row r="65" spans="1:3" x14ac:dyDescent="0.3">
      <c r="A65" s="50" t="s">
        <v>480</v>
      </c>
      <c r="B65" s="100">
        <v>1</v>
      </c>
    </row>
    <row r="67" spans="1:3" x14ac:dyDescent="0.3">
      <c r="A67" s="49" t="s">
        <v>479</v>
      </c>
      <c r="B67" t="s">
        <v>1019</v>
      </c>
    </row>
    <row r="68" spans="1:3" x14ac:dyDescent="0.3">
      <c r="A68" s="50" t="s">
        <v>49</v>
      </c>
      <c r="B68">
        <v>132</v>
      </c>
    </row>
    <row r="69" spans="1:3" x14ac:dyDescent="0.3">
      <c r="A69" s="50" t="s">
        <v>246</v>
      </c>
      <c r="B69">
        <v>251</v>
      </c>
    </row>
    <row r="70" spans="1:3" x14ac:dyDescent="0.3">
      <c r="A70" s="50" t="s">
        <v>50</v>
      </c>
      <c r="B70">
        <v>319</v>
      </c>
    </row>
    <row r="71" spans="1:3" x14ac:dyDescent="0.3">
      <c r="A71" s="50" t="s">
        <v>245</v>
      </c>
      <c r="B71">
        <v>445</v>
      </c>
    </row>
    <row r="72" spans="1:3" x14ac:dyDescent="0.3">
      <c r="A72" s="50" t="s">
        <v>1004</v>
      </c>
      <c r="B72">
        <v>242</v>
      </c>
    </row>
    <row r="73" spans="1:3" x14ac:dyDescent="0.3">
      <c r="A73" s="50" t="s">
        <v>1006</v>
      </c>
      <c r="B73">
        <v>218</v>
      </c>
    </row>
    <row r="74" spans="1:3" x14ac:dyDescent="0.3">
      <c r="A74" s="50" t="s">
        <v>480</v>
      </c>
      <c r="B74">
        <v>1607</v>
      </c>
      <c r="C74">
        <f>GETPIVOTDATA("Qty",$A$67)</f>
        <v>1607</v>
      </c>
    </row>
    <row r="76" spans="1:3" x14ac:dyDescent="0.3">
      <c r="A76" s="49" t="s">
        <v>479</v>
      </c>
      <c r="B76" t="s">
        <v>1019</v>
      </c>
    </row>
    <row r="77" spans="1:3" x14ac:dyDescent="0.3">
      <c r="A77" s="50" t="s">
        <v>49</v>
      </c>
      <c r="B77">
        <v>132</v>
      </c>
    </row>
    <row r="78" spans="1:3" x14ac:dyDescent="0.3">
      <c r="A78" s="50" t="s">
        <v>246</v>
      </c>
      <c r="B78">
        <v>251</v>
      </c>
    </row>
    <row r="79" spans="1:3" x14ac:dyDescent="0.3">
      <c r="A79" s="50" t="s">
        <v>50</v>
      </c>
      <c r="B79">
        <v>319</v>
      </c>
    </row>
    <row r="80" spans="1:3" x14ac:dyDescent="0.3">
      <c r="A80" s="50" t="s">
        <v>245</v>
      </c>
      <c r="B80">
        <v>445</v>
      </c>
    </row>
    <row r="81" spans="1:2" x14ac:dyDescent="0.3">
      <c r="A81" s="50" t="s">
        <v>1004</v>
      </c>
      <c r="B81">
        <v>242</v>
      </c>
    </row>
    <row r="82" spans="1:2" x14ac:dyDescent="0.3">
      <c r="A82" s="50" t="s">
        <v>1006</v>
      </c>
      <c r="B82">
        <v>218</v>
      </c>
    </row>
    <row r="83" spans="1:2" x14ac:dyDescent="0.3">
      <c r="A83" s="50" t="s">
        <v>480</v>
      </c>
      <c r="B83">
        <v>1607</v>
      </c>
    </row>
    <row r="86" spans="1:2" x14ac:dyDescent="0.3">
      <c r="A86" s="49" t="s">
        <v>479</v>
      </c>
      <c r="B86" t="s">
        <v>1019</v>
      </c>
    </row>
    <row r="87" spans="1:2" x14ac:dyDescent="0.3">
      <c r="A87" s="50" t="s">
        <v>246</v>
      </c>
      <c r="B87">
        <v>251</v>
      </c>
    </row>
    <row r="88" spans="1:2" x14ac:dyDescent="0.3">
      <c r="A88" s="50" t="s">
        <v>50</v>
      </c>
      <c r="B88">
        <v>319</v>
      </c>
    </row>
    <row r="89" spans="1:2" x14ac:dyDescent="0.3">
      <c r="A89" s="50" t="s">
        <v>245</v>
      </c>
      <c r="B89">
        <v>445</v>
      </c>
    </row>
    <row r="90" spans="1:2" x14ac:dyDescent="0.3">
      <c r="A90" s="50" t="s">
        <v>480</v>
      </c>
      <c r="B90">
        <v>1015</v>
      </c>
    </row>
    <row r="93" spans="1:2" x14ac:dyDescent="0.3">
      <c r="A93" s="49" t="s">
        <v>479</v>
      </c>
      <c r="B93" t="s">
        <v>1019</v>
      </c>
    </row>
    <row r="94" spans="1:2" x14ac:dyDescent="0.3">
      <c r="A94" s="50" t="s">
        <v>49</v>
      </c>
      <c r="B94">
        <v>132</v>
      </c>
    </row>
    <row r="95" spans="1:2" x14ac:dyDescent="0.3">
      <c r="A95" s="50" t="s">
        <v>1004</v>
      </c>
      <c r="B95">
        <v>242</v>
      </c>
    </row>
    <row r="96" spans="1:2" x14ac:dyDescent="0.3">
      <c r="A96" s="50" t="s">
        <v>1006</v>
      </c>
      <c r="B96">
        <v>218</v>
      </c>
    </row>
    <row r="97" spans="1:2" x14ac:dyDescent="0.3">
      <c r="A97" s="50" t="s">
        <v>480</v>
      </c>
      <c r="B97">
        <v>592</v>
      </c>
    </row>
    <row r="103" spans="1:2" x14ac:dyDescent="0.3">
      <c r="A103" s="49" t="s">
        <v>479</v>
      </c>
      <c r="B103" t="s">
        <v>482</v>
      </c>
    </row>
    <row r="104" spans="1:2" x14ac:dyDescent="0.3">
      <c r="A104" s="50" t="s">
        <v>999</v>
      </c>
      <c r="B104">
        <v>386030</v>
      </c>
    </row>
    <row r="105" spans="1:2" x14ac:dyDescent="0.3">
      <c r="A105" s="50" t="s">
        <v>988</v>
      </c>
      <c r="B105">
        <v>184690</v>
      </c>
    </row>
    <row r="106" spans="1:2" x14ac:dyDescent="0.3">
      <c r="A106" s="50" t="s">
        <v>1005</v>
      </c>
      <c r="B106">
        <v>125600</v>
      </c>
    </row>
    <row r="107" spans="1:2" x14ac:dyDescent="0.3">
      <c r="A107" s="50" t="s">
        <v>1003</v>
      </c>
      <c r="B107">
        <v>139880</v>
      </c>
    </row>
    <row r="108" spans="1:2" x14ac:dyDescent="0.3">
      <c r="A108" s="50" t="s">
        <v>1001</v>
      </c>
      <c r="B108">
        <v>394410</v>
      </c>
    </row>
    <row r="109" spans="1:2" x14ac:dyDescent="0.3">
      <c r="A109" s="50" t="s">
        <v>1007</v>
      </c>
      <c r="B109">
        <v>551960</v>
      </c>
    </row>
    <row r="110" spans="1:2" x14ac:dyDescent="0.3">
      <c r="A110" s="50" t="s">
        <v>480</v>
      </c>
      <c r="B110">
        <v>1782570</v>
      </c>
    </row>
    <row r="113" spans="1:2" x14ac:dyDescent="0.3">
      <c r="A113" s="49" t="s">
        <v>479</v>
      </c>
      <c r="B113" t="s">
        <v>482</v>
      </c>
    </row>
    <row r="114" spans="1:2" x14ac:dyDescent="0.3">
      <c r="A114" s="50" t="s">
        <v>999</v>
      </c>
      <c r="B114">
        <v>386030</v>
      </c>
    </row>
    <row r="115" spans="1:2" x14ac:dyDescent="0.3">
      <c r="A115" s="50" t="s">
        <v>1001</v>
      </c>
      <c r="B115">
        <v>394410</v>
      </c>
    </row>
    <row r="116" spans="1:2" x14ac:dyDescent="0.3">
      <c r="A116" s="50" t="s">
        <v>1007</v>
      </c>
      <c r="B116">
        <v>551960</v>
      </c>
    </row>
    <row r="117" spans="1:2" x14ac:dyDescent="0.3">
      <c r="A117" s="50" t="s">
        <v>480</v>
      </c>
      <c r="B117">
        <v>1332400</v>
      </c>
    </row>
    <row r="121" spans="1:2" x14ac:dyDescent="0.3">
      <c r="A121" s="49" t="s">
        <v>479</v>
      </c>
      <c r="B121" t="s">
        <v>482</v>
      </c>
    </row>
    <row r="122" spans="1:2" x14ac:dyDescent="0.3">
      <c r="A122" s="50" t="s">
        <v>988</v>
      </c>
      <c r="B122">
        <v>184690</v>
      </c>
    </row>
    <row r="123" spans="1:2" x14ac:dyDescent="0.3">
      <c r="A123" s="50" t="s">
        <v>1005</v>
      </c>
      <c r="B123">
        <v>125600</v>
      </c>
    </row>
    <row r="124" spans="1:2" x14ac:dyDescent="0.3">
      <c r="A124" s="50" t="s">
        <v>1003</v>
      </c>
      <c r="B124">
        <v>139880</v>
      </c>
    </row>
    <row r="125" spans="1:2" x14ac:dyDescent="0.3">
      <c r="A125" s="50" t="s">
        <v>480</v>
      </c>
      <c r="B125">
        <v>450170</v>
      </c>
    </row>
  </sheetData>
  <pageMargins left="0.7" right="0.7" top="0.75" bottom="0.75" header="0.3" footer="0.3"/>
  <drawing r:id="rId14"/>
  <extLst>
    <ext xmlns:x14="http://schemas.microsoft.com/office/spreadsheetml/2009/9/main" uri="{A8765BA9-456A-4dab-B4F3-ACF838C121DE}">
      <x14:slicerList>
        <x14:slicer r:id="rId15"/>
      </x14:slicerList>
    </ext>
    <ext xmlns:x15="http://schemas.microsoft.com/office/spreadsheetml/2010/11/main" uri="{7E03D99C-DC04-49d9-9315-930204A7B6E9}">
      <x15:timelineRefs>
        <x15:timelineRef r:id="rId16"/>
      </x15:timelineRef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F36E8-05C0-4D53-8279-CF8B4C3A233E}">
  <sheetPr codeName="Sheet52"/>
  <dimension ref="A1"/>
  <sheetViews>
    <sheetView topLeftCell="A5" workbookViewId="0">
      <selection activeCell="C5" sqref="C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DF8D-B339-4D12-B99A-8F118B4EA10C}">
  <sheetPr codeName="Sheet53"/>
  <dimension ref="A1"/>
  <sheetViews>
    <sheetView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83E4B-C88B-46E8-98C6-5B8CA510DAC8}">
  <sheetPr codeName="Sheet54"/>
  <dimension ref="A1"/>
  <sheetViews>
    <sheetView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0E43F-BBFE-432D-9BC7-83959C16C548}">
  <sheetPr codeName="Sheet55"/>
  <dimension ref="A1"/>
  <sheetViews>
    <sheetView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9FF48-A179-44F2-8248-10E5A6831AFB}">
  <sheetPr codeName="Sheet56"/>
  <dimension ref="B1:I9"/>
  <sheetViews>
    <sheetView workbookViewId="0">
      <selection activeCell="M10" sqref="M10"/>
    </sheetView>
  </sheetViews>
  <sheetFormatPr defaultRowHeight="14.4" x14ac:dyDescent="0.3"/>
  <cols>
    <col min="5" max="5" width="12.77734375" bestFit="1" customWidth="1"/>
    <col min="6" max="6" width="9.5546875" bestFit="1" customWidth="1"/>
  </cols>
  <sheetData>
    <row r="1" spans="2:9" x14ac:dyDescent="0.3">
      <c r="B1" s="130" t="s">
        <v>1020</v>
      </c>
      <c r="C1" s="130"/>
      <c r="D1" s="130"/>
      <c r="E1" s="130"/>
      <c r="F1" s="130"/>
      <c r="G1" s="130"/>
      <c r="I1" s="72" t="s">
        <v>1021</v>
      </c>
    </row>
    <row r="2" spans="2:9" x14ac:dyDescent="0.3">
      <c r="B2" s="27" t="s">
        <v>746</v>
      </c>
      <c r="C2" s="27" t="s">
        <v>747</v>
      </c>
      <c r="D2" s="27" t="s">
        <v>748</v>
      </c>
      <c r="E2" s="27" t="s">
        <v>762</v>
      </c>
      <c r="F2" s="27" t="s">
        <v>763</v>
      </c>
      <c r="G2" s="27" t="s">
        <v>764</v>
      </c>
    </row>
    <row r="3" spans="2:9" x14ac:dyDescent="0.3">
      <c r="B3" s="3" t="s">
        <v>749</v>
      </c>
      <c r="C3" s="3" t="s">
        <v>750</v>
      </c>
      <c r="D3" s="3">
        <f>SUM(Weeka:Weekd!D3)</f>
        <v>389</v>
      </c>
      <c r="E3" s="3">
        <f>COUNT(Weeka:Weekd!D3)</f>
        <v>4</v>
      </c>
      <c r="F3" s="3">
        <f>MAX(Weeka:Weekd!D3)</f>
        <v>100</v>
      </c>
      <c r="G3" s="3">
        <f>MIN(Weeka:Weekd!D3)</f>
        <v>95</v>
      </c>
    </row>
    <row r="4" spans="2:9" x14ac:dyDescent="0.3">
      <c r="B4" s="3" t="s">
        <v>751</v>
      </c>
      <c r="C4" s="3" t="s">
        <v>752</v>
      </c>
      <c r="D4" s="3">
        <f>SUM(Weeka:Weekd!D4)</f>
        <v>330</v>
      </c>
      <c r="E4" s="3">
        <f>COUNT(Weeka:Weekd!D4)</f>
        <v>4</v>
      </c>
      <c r="F4" s="3">
        <f>MAX(Weeka:Weekd!D4)</f>
        <v>86</v>
      </c>
      <c r="G4" s="3">
        <f>MIN(Weeka:Weekd!D4)</f>
        <v>80</v>
      </c>
    </row>
    <row r="5" spans="2:9" x14ac:dyDescent="0.3">
      <c r="B5" s="3" t="s">
        <v>753</v>
      </c>
      <c r="C5" s="3" t="s">
        <v>754</v>
      </c>
      <c r="D5" s="3">
        <f>SUM(Weeka:Weekd!D5)</f>
        <v>364</v>
      </c>
      <c r="E5" s="3">
        <f>COUNT(Weeka:Weekd!D5)</f>
        <v>4</v>
      </c>
      <c r="F5" s="3">
        <f>MAX(Weeka:Weekd!D5)</f>
        <v>95</v>
      </c>
      <c r="G5" s="3">
        <f>MIN(Weeka:Weekd!D5)</f>
        <v>87</v>
      </c>
    </row>
    <row r="6" spans="2:9" x14ac:dyDescent="0.3">
      <c r="B6" s="3" t="s">
        <v>755</v>
      </c>
      <c r="C6" s="3" t="s">
        <v>33</v>
      </c>
      <c r="D6" s="3">
        <f>SUM(Weeka:Weekd!D6)</f>
        <v>294</v>
      </c>
      <c r="E6" s="3">
        <f>COUNT(Weeka:Weekd!D6)</f>
        <v>4</v>
      </c>
      <c r="F6" s="3">
        <f>MAX(Weeka:Weekd!D6)</f>
        <v>75</v>
      </c>
      <c r="G6" s="3">
        <f>MIN(Weeka:Weekd!D6)</f>
        <v>71</v>
      </c>
    </row>
    <row r="7" spans="2:9" x14ac:dyDescent="0.3">
      <c r="B7" s="3" t="s">
        <v>756</v>
      </c>
      <c r="C7" s="3" t="s">
        <v>757</v>
      </c>
      <c r="D7" s="3">
        <f>SUM(Weeka:Weekd!D7)</f>
        <v>349</v>
      </c>
      <c r="E7" s="3">
        <f>COUNT(Weeka:Weekd!D7)</f>
        <v>4</v>
      </c>
      <c r="F7" s="3">
        <f>MAX(Weeka:Weekd!D7)</f>
        <v>90</v>
      </c>
      <c r="G7" s="3">
        <f>MIN(Weeka:Weekd!D7)</f>
        <v>85</v>
      </c>
    </row>
    <row r="8" spans="2:9" x14ac:dyDescent="0.3">
      <c r="B8" s="3" t="s">
        <v>758</v>
      </c>
      <c r="C8" s="3" t="s">
        <v>759</v>
      </c>
      <c r="D8" s="3">
        <f>SUM(Weeka:Weekd!D8)</f>
        <v>353</v>
      </c>
      <c r="E8" s="3">
        <f>COUNT(Weeka:Weekd!D8)</f>
        <v>4</v>
      </c>
      <c r="F8" s="3">
        <f>MAX(Weeka:Weekd!D8)</f>
        <v>93</v>
      </c>
      <c r="G8" s="3">
        <f>MIN(Weeka:Weekd!D8)</f>
        <v>85</v>
      </c>
    </row>
    <row r="9" spans="2:9" x14ac:dyDescent="0.3">
      <c r="B9" s="3" t="s">
        <v>760</v>
      </c>
      <c r="C9" s="3" t="s">
        <v>761</v>
      </c>
      <c r="D9" s="3">
        <f>SUM(Weeka:Weekd!D9)</f>
        <v>330</v>
      </c>
      <c r="E9" s="3">
        <f>COUNT(Weeka:Weekd!D9)</f>
        <v>4</v>
      </c>
      <c r="F9" s="3">
        <f>MAX(Weeka:Weekd!D9)</f>
        <v>88</v>
      </c>
      <c r="G9" s="3">
        <f>MIN(Weeka:Weekd!D9)</f>
        <v>75</v>
      </c>
    </row>
  </sheetData>
  <mergeCells count="1">
    <mergeCell ref="B1:G1"/>
  </mergeCells>
  <conditionalFormatting sqref="B2:G9">
    <cfRule type="colorScale" priority="1">
      <colorScale>
        <cfvo type="min"/>
        <cfvo type="percentile" val="50"/>
        <cfvo type="max"/>
        <color rgb="FFF8696B"/>
        <color rgb="FFFFEB84"/>
        <color rgb="FF63BE7B"/>
      </colorScale>
    </cfRule>
  </conditionalFormatting>
  <conditionalFormatting sqref="F3:F9">
    <cfRule type="dataBar" priority="3">
      <dataBar>
        <cfvo type="min"/>
        <cfvo type="max"/>
        <color rgb="FF63C384"/>
      </dataBar>
      <extLst>
        <ext xmlns:x14="http://schemas.microsoft.com/office/spreadsheetml/2009/9/main" uri="{B025F937-C7B1-47D3-B67F-A62EFF666E3E}">
          <x14:id>{8C22E4D5-8D15-418C-B3CA-C69D882BCDA2}</x14:id>
        </ext>
      </extLst>
    </cfRule>
    <cfRule type="cellIs" dxfId="5" priority="5" operator="between">
      <formula>81</formula>
      <formula>94</formula>
    </cfRule>
    <cfRule type="cellIs" dxfId="4" priority="6" operator="between">
      <formula>75</formula>
      <formula>90</formula>
    </cfRule>
  </conditionalFormatting>
  <conditionalFormatting sqref="F3:G9">
    <cfRule type="dataBar" priority="4">
      <dataBar>
        <cfvo type="min"/>
        <cfvo type="max"/>
        <color rgb="FF008AEF"/>
      </dataBar>
      <extLst>
        <ext xmlns:x14="http://schemas.microsoft.com/office/spreadsheetml/2009/9/main" uri="{B025F937-C7B1-47D3-B67F-A62EFF666E3E}">
          <x14:id>{EE845682-63A3-44FC-BA1E-F288D4A05CF1}</x14:id>
        </ext>
      </extLst>
    </cfRule>
  </conditionalFormatting>
  <conditionalFormatting sqref="G3:G9">
    <cfRule type="iconSet" priority="7">
      <iconSet iconSet="4Arrows">
        <cfvo type="percent" val="0"/>
        <cfvo type="percent" val="25"/>
        <cfvo type="percent" val="50"/>
        <cfvo type="percent" val="75"/>
      </iconSet>
    </cfRule>
    <cfRule type="cellIs" dxfId="3" priority="9" operator="lessThan">
      <formula>75</formula>
    </cfRule>
    <cfRule type="cellIs" dxfId="2" priority="10" operator="lessThan">
      <formula>75</formula>
    </cfRule>
    <cfRule type="cellIs" dxfId="1" priority="11" operator="greaterThan">
      <formula>85</formula>
    </cfRule>
  </conditionalFormatting>
  <conditionalFormatting sqref="I15">
    <cfRule type="cellIs" dxfId="0" priority="12" operator="greaterThan">
      <formula>$G$4</formula>
    </cfRule>
  </conditionalFormatting>
  <conditionalFormatting sqref="L16">
    <cfRule type="iconSet" priority="8">
      <iconSet iconSet="4Arrows">
        <cfvo type="percent" val="0"/>
        <cfvo type="percent" val="25"/>
        <cfvo type="percent" val="50"/>
        <cfvo type="percent" val="75"/>
      </iconSet>
    </cfRule>
  </conditionalFormatting>
  <conditionalFormatting sqref="N1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22E4D5-8D15-418C-B3CA-C69D882BCDA2}">
            <x14:dataBar minLength="0" maxLength="100" border="1" negativeBarBorderColorSameAsPositive="0">
              <x14:cfvo type="autoMin"/>
              <x14:cfvo type="autoMax"/>
              <x14:borderColor rgb="FF63C384"/>
              <x14:negativeFillColor rgb="FFFF0000"/>
              <x14:negativeBorderColor rgb="FFFF0000"/>
              <x14:axisColor rgb="FF000000"/>
            </x14:dataBar>
          </x14:cfRule>
          <xm:sqref>F3:F9</xm:sqref>
        </x14:conditionalFormatting>
        <x14:conditionalFormatting xmlns:xm="http://schemas.microsoft.com/office/excel/2006/main">
          <x14:cfRule type="dataBar" id="{EE845682-63A3-44FC-BA1E-F288D4A05CF1}">
            <x14:dataBar minLength="0" maxLength="100" border="1" negativeBarBorderColorSameAsPositive="0">
              <x14:cfvo type="autoMin"/>
              <x14:cfvo type="autoMax"/>
              <x14:borderColor rgb="FF008AEF"/>
              <x14:negativeFillColor rgb="FFFF0000"/>
              <x14:negativeBorderColor rgb="FFFF0000"/>
              <x14:axisColor rgb="FF000000"/>
            </x14:dataBar>
          </x14:cfRule>
          <xm:sqref>F3:G9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16</vt:i4>
      </vt:variant>
    </vt:vector>
  </HeadingPairs>
  <TitlesOfParts>
    <vt:vector size="72" baseType="lpstr">
      <vt:lpstr>Lecture 1A</vt:lpstr>
      <vt:lpstr>Lecture 2A</vt:lpstr>
      <vt:lpstr>Lecture 2B</vt:lpstr>
      <vt:lpstr>Lecture 2C</vt:lpstr>
      <vt:lpstr>Lecture 2D</vt:lpstr>
      <vt:lpstr>Lecture 2E</vt:lpstr>
      <vt:lpstr>Lecture 3A</vt:lpstr>
      <vt:lpstr>Lecture 3B</vt:lpstr>
      <vt:lpstr>Lecture 3C</vt:lpstr>
      <vt:lpstr>Lecture 3D</vt:lpstr>
      <vt:lpstr>Lecture 4A</vt:lpstr>
      <vt:lpstr>Lecture 4B</vt:lpstr>
      <vt:lpstr>Lecture 5A</vt:lpstr>
      <vt:lpstr>Lecture 5B</vt:lpstr>
      <vt:lpstr>Lecture 6A</vt:lpstr>
      <vt:lpstr>Lecture 6B</vt:lpstr>
      <vt:lpstr>Lecture 6C</vt:lpstr>
      <vt:lpstr>Lecture 7A</vt:lpstr>
      <vt:lpstr>Pivot Homework</vt:lpstr>
      <vt:lpstr>Pivot Table</vt:lpstr>
      <vt:lpstr>Pivot Charts &amp; Tables</vt:lpstr>
      <vt:lpstr>Lecture 7B</vt:lpstr>
      <vt:lpstr>Lecture 8A</vt:lpstr>
      <vt:lpstr>Scenario Summary</vt:lpstr>
      <vt:lpstr>Scenario Summary 3</vt:lpstr>
      <vt:lpstr>Lecture 8B</vt:lpstr>
      <vt:lpstr>Lecture 9A</vt:lpstr>
      <vt:lpstr>Lecture 9B</vt:lpstr>
      <vt:lpstr>Lecture 9C</vt:lpstr>
      <vt:lpstr>Jan</vt:lpstr>
      <vt:lpstr>Feb</vt:lpstr>
      <vt:lpstr>Mar</vt:lpstr>
      <vt:lpstr>Apr</vt:lpstr>
      <vt:lpstr>10AMaster</vt:lpstr>
      <vt:lpstr>Sheet7</vt:lpstr>
      <vt:lpstr>Lecture 10B</vt:lpstr>
      <vt:lpstr>Weeka</vt:lpstr>
      <vt:lpstr>Weekb</vt:lpstr>
      <vt:lpstr>Weekc</vt:lpstr>
      <vt:lpstr>Weekd</vt:lpstr>
      <vt:lpstr>MasterWeek</vt:lpstr>
      <vt:lpstr>Data Validation HW</vt:lpstr>
      <vt:lpstr>Lecture 11A</vt:lpstr>
      <vt:lpstr>Lecture 11B</vt:lpstr>
      <vt:lpstr>Lecture 11C</vt:lpstr>
      <vt:lpstr>Histogram Chart (Data Analysis)</vt:lpstr>
      <vt:lpstr>Maths &amp; Statistical HW</vt:lpstr>
      <vt:lpstr>Lecture 12A</vt:lpstr>
      <vt:lpstr>Lecture 12B</vt:lpstr>
      <vt:lpstr>Lecture 13A</vt:lpstr>
      <vt:lpstr>Pivot</vt:lpstr>
      <vt:lpstr>Dashboard</vt:lpstr>
      <vt:lpstr>Products</vt:lpstr>
      <vt:lpstr>Salesmans</vt:lpstr>
      <vt:lpstr>About</vt:lpstr>
      <vt:lpstr>Lecture 14A</vt:lpstr>
      <vt:lpstr>Bonus</vt:lpstr>
      <vt:lpstr>Capital</vt:lpstr>
      <vt:lpstr>'Lecture 9A'!Criteria</vt:lpstr>
      <vt:lpstr>'Lecture 9A'!Extract</vt:lpstr>
      <vt:lpstr>Label</vt:lpstr>
      <vt:lpstr>Mydata</vt:lpstr>
      <vt:lpstr>OrderSize</vt:lpstr>
      <vt:lpstr>Profits</vt:lpstr>
      <vt:lpstr>ResourceAvl</vt:lpstr>
      <vt:lpstr>ResourcesAvailable</vt:lpstr>
      <vt:lpstr>ResourcesUsed</vt:lpstr>
      <vt:lpstr>ResourceUSed</vt:lpstr>
      <vt:lpstr>Storage</vt:lpstr>
      <vt:lpstr>TotalProfit</vt:lpstr>
      <vt:lpstr>TotalProfits</vt:lpstr>
      <vt:lpstr>UnitProfit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Jaimin Shah</dc:creator>
  <cp:lastModifiedBy>jaimin shah</cp:lastModifiedBy>
  <dcterms:created xsi:type="dcterms:W3CDTF">2015-06-05T18:17:20Z</dcterms:created>
  <dcterms:modified xsi:type="dcterms:W3CDTF">2024-08-03T00:59:56Z</dcterms:modified>
</cp:coreProperties>
</file>