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850398a6a2cd38/Desktop/22. PROCARE/DATA JAN-MAR 2022/"/>
    </mc:Choice>
  </mc:AlternateContent>
  <xr:revisionPtr revIDLastSave="0" documentId="8_{7997419A-FFD3-46D3-A378-E61A3D4BC9C6}" xr6:coauthVersionLast="47" xr6:coauthVersionMax="47" xr10:uidLastSave="{00000000-0000-0000-0000-000000000000}"/>
  <bookViews>
    <workbookView xWindow="-120" yWindow="-120" windowWidth="20730" windowHeight="11040" xr2:uid="{4A736C31-F0A2-45D7-94A7-C81C9767A458}"/>
  </bookViews>
  <sheets>
    <sheet name="Jurnal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Jurnal!$A$5:$Q$3687</definedName>
    <definedName name="aktiva_akhir">[3]Neraca!$C$13:$E$27</definedName>
    <definedName name="BLN">[1]MENU!$C$7</definedName>
    <definedName name="DAF_AKUN">[1]Akun!$A:$G</definedName>
    <definedName name="DAF_KODE">[1]AkunBantu!$A:$D</definedName>
    <definedName name="debet">[3]Jurnal!$J$9:$J$110</definedName>
    <definedName name="hutang_akhir">[3]Neraca!$F$13:$H$17</definedName>
    <definedName name="JU_AKUN">Jurnal!$A:$M</definedName>
    <definedName name="JU_KODE">Jurnal!$C:$M</definedName>
    <definedName name="kode_akun">OFFSET([3]Akun!$B$9,0,0,COUNTA([3]Akun!#REF!)-4,1)</definedName>
    <definedName name="kode_akun_jurnal">[3]Jurnal!$H$9:$H$110</definedName>
    <definedName name="kode_jurnal">[3]Jurnal!$G$9:$G$110</definedName>
    <definedName name="kredit">[3]Jurnal!$K$9:$K$110</definedName>
    <definedName name="LabaRugi">[3]LabaRugi!$G$49</definedName>
    <definedName name="Lokasi">#REF!</definedName>
    <definedName name="modal_akhir">[3]Neraca!$F$21:$H$24</definedName>
    <definedName name="NAMA">[1]MENU!$C$4</definedName>
    <definedName name="nama_akun">OFFSET([3]Akun!$C$9,0,0,COUNTA([3]Akun!#REF!)-1,1)</definedName>
    <definedName name="_xlnm.Print_Area" localSheetId="0">Jurnal!$F$1:$M$919</definedName>
    <definedName name="_xlnm.Print_Titles" localSheetId="0">Jurnal!$1:$6</definedName>
    <definedName name="Proyek">#REF!</definedName>
    <definedName name="saldo_awal">'[3]Saldo Awal'!$B$13:$E$51</definedName>
    <definedName name="TblSampel">#REF!</definedName>
    <definedName name="TblSample">#REF!</definedName>
    <definedName name="THN">[1]MENU!$C$8</definedName>
    <definedName name="Uang_muka">[1]AkunBantu!#REF!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87" i="1" l="1"/>
  <c r="C3687" i="1" s="1"/>
  <c r="D3686" i="1"/>
  <c r="C3686" i="1" s="1"/>
  <c r="D3685" i="1"/>
  <c r="C3685" i="1" s="1"/>
  <c r="D3684" i="1"/>
  <c r="C3684" i="1" s="1"/>
  <c r="D3683" i="1"/>
  <c r="C3683" i="1" s="1"/>
  <c r="D3682" i="1"/>
  <c r="C3682" i="1" s="1"/>
  <c r="D3681" i="1"/>
  <c r="C3681" i="1" s="1"/>
  <c r="D3680" i="1"/>
  <c r="C3680" i="1" s="1"/>
  <c r="D3679" i="1"/>
  <c r="C3679" i="1" s="1"/>
  <c r="D3678" i="1"/>
  <c r="C3678" i="1" s="1"/>
  <c r="D3677" i="1"/>
  <c r="C3677" i="1" s="1"/>
  <c r="P3676" i="1"/>
  <c r="D3676" i="1"/>
  <c r="C3676" i="1" s="1"/>
  <c r="P3675" i="1"/>
  <c r="D3675" i="1"/>
  <c r="C3675" i="1"/>
  <c r="P3674" i="1"/>
  <c r="D3674" i="1"/>
  <c r="C3674" i="1"/>
  <c r="P3673" i="1"/>
  <c r="D3673" i="1"/>
  <c r="C3673" i="1" s="1"/>
  <c r="P3672" i="1"/>
  <c r="D3672" i="1"/>
  <c r="C3672" i="1" s="1"/>
  <c r="P3671" i="1"/>
  <c r="D3671" i="1"/>
  <c r="C3671" i="1" s="1"/>
  <c r="P3670" i="1"/>
  <c r="D3670" i="1"/>
  <c r="C3670" i="1" s="1"/>
  <c r="P3669" i="1"/>
  <c r="L3669" i="1"/>
  <c r="M3670" i="1" s="1"/>
  <c r="D3669" i="1"/>
  <c r="C3669" i="1" s="1"/>
  <c r="P3668" i="1"/>
  <c r="D3668" i="1"/>
  <c r="C3668" i="1" s="1"/>
  <c r="P3667" i="1"/>
  <c r="L3667" i="1"/>
  <c r="M3668" i="1" s="1"/>
  <c r="D3667" i="1"/>
  <c r="C3667" i="1" s="1"/>
  <c r="P3666" i="1"/>
  <c r="D3666" i="1"/>
  <c r="C3666" i="1" s="1"/>
  <c r="P3665" i="1"/>
  <c r="L3665" i="1"/>
  <c r="M3666" i="1" s="1"/>
  <c r="D3665" i="1"/>
  <c r="C3665" i="1" s="1"/>
  <c r="P3664" i="1"/>
  <c r="D3664" i="1"/>
  <c r="C3664" i="1" s="1"/>
  <c r="P3663" i="1"/>
  <c r="L3663" i="1"/>
  <c r="M3664" i="1" s="1"/>
  <c r="D3663" i="1"/>
  <c r="C3663" i="1" s="1"/>
  <c r="P3662" i="1"/>
  <c r="D3662" i="1"/>
  <c r="C3662" i="1" s="1"/>
  <c r="P3661" i="1"/>
  <c r="L3661" i="1"/>
  <c r="M3662" i="1" s="1"/>
  <c r="D3661" i="1"/>
  <c r="C3661" i="1" s="1"/>
  <c r="P3660" i="1"/>
  <c r="D3660" i="1"/>
  <c r="C3660" i="1" s="1"/>
  <c r="P3659" i="1"/>
  <c r="L3659" i="1"/>
  <c r="M3660" i="1" s="1"/>
  <c r="D3659" i="1"/>
  <c r="C3659" i="1" s="1"/>
  <c r="P3658" i="1"/>
  <c r="D3658" i="1"/>
  <c r="C3658" i="1" s="1"/>
  <c r="P3657" i="1"/>
  <c r="L3657" i="1"/>
  <c r="M3658" i="1" s="1"/>
  <c r="D3657" i="1"/>
  <c r="C3657" i="1" s="1"/>
  <c r="P3656" i="1"/>
  <c r="D3656" i="1"/>
  <c r="C3656" i="1" s="1"/>
  <c r="P3655" i="1"/>
  <c r="L3655" i="1"/>
  <c r="M3656" i="1" s="1"/>
  <c r="D3655" i="1"/>
  <c r="C3655" i="1" s="1"/>
  <c r="P3654" i="1"/>
  <c r="M3654" i="1"/>
  <c r="D3654" i="1"/>
  <c r="C3654" i="1" s="1"/>
  <c r="P3653" i="1"/>
  <c r="D3653" i="1"/>
  <c r="C3653" i="1"/>
  <c r="P3652" i="1"/>
  <c r="M3652" i="1"/>
  <c r="D3652" i="1"/>
  <c r="C3652" i="1"/>
  <c r="P3651" i="1"/>
  <c r="L3651" i="1"/>
  <c r="D3651" i="1"/>
  <c r="C3651" i="1"/>
  <c r="P3650" i="1"/>
  <c r="D3650" i="1"/>
  <c r="C3650" i="1" s="1"/>
  <c r="P3649" i="1"/>
  <c r="D3649" i="1"/>
  <c r="C3649" i="1"/>
  <c r="P3648" i="1"/>
  <c r="D3648" i="1"/>
  <c r="C3648" i="1" s="1"/>
  <c r="P3647" i="1"/>
  <c r="D3647" i="1"/>
  <c r="C3647" i="1"/>
  <c r="P3646" i="1"/>
  <c r="D3646" i="1"/>
  <c r="C3646" i="1" s="1"/>
  <c r="P3645" i="1"/>
  <c r="D3645" i="1"/>
  <c r="C3645" i="1"/>
  <c r="P3644" i="1"/>
  <c r="D3644" i="1"/>
  <c r="C3644" i="1" s="1"/>
  <c r="P3643" i="1"/>
  <c r="D3643" i="1"/>
  <c r="C3643" i="1"/>
  <c r="P3642" i="1"/>
  <c r="D3642" i="1"/>
  <c r="C3642" i="1" s="1"/>
  <c r="P3641" i="1"/>
  <c r="D3641" i="1"/>
  <c r="C3641" i="1"/>
  <c r="P3640" i="1"/>
  <c r="D3640" i="1"/>
  <c r="C3640" i="1" s="1"/>
  <c r="P3639" i="1"/>
  <c r="D3639" i="1"/>
  <c r="C3639" i="1"/>
  <c r="P3638" i="1"/>
  <c r="D3638" i="1"/>
  <c r="C3638" i="1" s="1"/>
  <c r="P3637" i="1"/>
  <c r="D3637" i="1"/>
  <c r="C3637" i="1"/>
  <c r="P3636" i="1"/>
  <c r="D3636" i="1"/>
  <c r="C3636" i="1" s="1"/>
  <c r="P3635" i="1"/>
  <c r="D3635" i="1"/>
  <c r="C3635" i="1"/>
  <c r="P3634" i="1"/>
  <c r="D3634" i="1"/>
  <c r="C3634" i="1" s="1"/>
  <c r="P3633" i="1"/>
  <c r="D3633" i="1"/>
  <c r="C3633" i="1"/>
  <c r="P3632" i="1"/>
  <c r="D3632" i="1"/>
  <c r="C3632" i="1" s="1"/>
  <c r="P3631" i="1"/>
  <c r="D3631" i="1"/>
  <c r="C3631" i="1"/>
  <c r="P3630" i="1"/>
  <c r="D3630" i="1"/>
  <c r="C3630" i="1" s="1"/>
  <c r="P3629" i="1"/>
  <c r="D3629" i="1"/>
  <c r="C3629" i="1"/>
  <c r="P3628" i="1"/>
  <c r="D3628" i="1"/>
  <c r="C3628" i="1" s="1"/>
  <c r="P3627" i="1"/>
  <c r="D3627" i="1"/>
  <c r="C3627" i="1"/>
  <c r="P3626" i="1"/>
  <c r="D3626" i="1"/>
  <c r="C3626" i="1" s="1"/>
  <c r="P3625" i="1"/>
  <c r="D3625" i="1"/>
  <c r="C3625" i="1"/>
  <c r="P3624" i="1"/>
  <c r="D3624" i="1"/>
  <c r="C3624" i="1" s="1"/>
  <c r="P3623" i="1"/>
  <c r="D3623" i="1"/>
  <c r="C3623" i="1"/>
  <c r="P3622" i="1"/>
  <c r="D3622" i="1"/>
  <c r="C3622" i="1" s="1"/>
  <c r="P3621" i="1"/>
  <c r="D3621" i="1"/>
  <c r="C3621" i="1"/>
  <c r="P3620" i="1"/>
  <c r="D3620" i="1"/>
  <c r="C3620" i="1" s="1"/>
  <c r="P3619" i="1"/>
  <c r="D3619" i="1"/>
  <c r="C3619" i="1"/>
  <c r="P3618" i="1"/>
  <c r="D3618" i="1"/>
  <c r="C3618" i="1" s="1"/>
  <c r="P3617" i="1"/>
  <c r="D3617" i="1"/>
  <c r="C3617" i="1"/>
  <c r="P3616" i="1"/>
  <c r="D3616" i="1"/>
  <c r="C3616" i="1" s="1"/>
  <c r="P3615" i="1"/>
  <c r="D3615" i="1"/>
  <c r="C3615" i="1"/>
  <c r="P3614" i="1"/>
  <c r="D3614" i="1"/>
  <c r="C3614" i="1" s="1"/>
  <c r="P3613" i="1"/>
  <c r="D3613" i="1"/>
  <c r="C3613" i="1"/>
  <c r="P3612" i="1"/>
  <c r="D3612" i="1"/>
  <c r="C3612" i="1" s="1"/>
  <c r="P3611" i="1"/>
  <c r="D3611" i="1"/>
  <c r="C3611" i="1"/>
  <c r="P3610" i="1"/>
  <c r="D3610" i="1"/>
  <c r="C3610" i="1" s="1"/>
  <c r="P3609" i="1"/>
  <c r="D3609" i="1"/>
  <c r="C3609" i="1"/>
  <c r="P3608" i="1"/>
  <c r="D3608" i="1"/>
  <c r="C3608" i="1" s="1"/>
  <c r="P3607" i="1"/>
  <c r="D3607" i="1"/>
  <c r="C3607" i="1"/>
  <c r="P3606" i="1"/>
  <c r="D3606" i="1"/>
  <c r="C3606" i="1" s="1"/>
  <c r="P3605" i="1"/>
  <c r="D3605" i="1"/>
  <c r="C3605" i="1"/>
  <c r="P3604" i="1"/>
  <c r="D3604" i="1"/>
  <c r="C3604" i="1" s="1"/>
  <c r="P3603" i="1"/>
  <c r="D3603" i="1"/>
  <c r="C3603" i="1"/>
  <c r="P3602" i="1"/>
  <c r="D3602" i="1"/>
  <c r="C3602" i="1" s="1"/>
  <c r="P3601" i="1"/>
  <c r="D3601" i="1"/>
  <c r="C3601" i="1"/>
  <c r="P3600" i="1"/>
  <c r="D3600" i="1"/>
  <c r="C3600" i="1" s="1"/>
  <c r="P3599" i="1"/>
  <c r="D3599" i="1"/>
  <c r="C3599" i="1" s="1"/>
  <c r="P3598" i="1"/>
  <c r="L3598" i="1"/>
  <c r="L3599" i="1" s="1"/>
  <c r="D3598" i="1"/>
  <c r="C3598" i="1" s="1"/>
  <c r="P3597" i="1"/>
  <c r="D3597" i="1"/>
  <c r="C3597" i="1"/>
  <c r="P3596" i="1"/>
  <c r="D3596" i="1"/>
  <c r="C3596" i="1" s="1"/>
  <c r="P3595" i="1"/>
  <c r="D3595" i="1"/>
  <c r="C3595" i="1"/>
  <c r="P3594" i="1"/>
  <c r="D3594" i="1"/>
  <c r="C3594" i="1" s="1"/>
  <c r="P3593" i="1"/>
  <c r="D3593" i="1"/>
  <c r="C3593" i="1"/>
  <c r="P3592" i="1"/>
  <c r="D3592" i="1"/>
  <c r="C3592" i="1" s="1"/>
  <c r="P3591" i="1"/>
  <c r="D3591" i="1"/>
  <c r="C3591" i="1"/>
  <c r="P3590" i="1"/>
  <c r="D3590" i="1"/>
  <c r="C3590" i="1" s="1"/>
  <c r="P3589" i="1"/>
  <c r="D3589" i="1"/>
  <c r="C3589" i="1"/>
  <c r="P3588" i="1"/>
  <c r="D3588" i="1"/>
  <c r="C3588" i="1" s="1"/>
  <c r="P3587" i="1"/>
  <c r="D3587" i="1"/>
  <c r="C3587" i="1" s="1"/>
  <c r="P3586" i="1"/>
  <c r="D3586" i="1"/>
  <c r="C3586" i="1" s="1"/>
  <c r="P3585" i="1"/>
  <c r="D3585" i="1"/>
  <c r="C3585" i="1" s="1"/>
  <c r="P3584" i="1"/>
  <c r="D3584" i="1"/>
  <c r="C3584" i="1"/>
  <c r="P3583" i="1"/>
  <c r="D3583" i="1"/>
  <c r="C3583" i="1" s="1"/>
  <c r="P3582" i="1"/>
  <c r="D3582" i="1"/>
  <c r="C3582" i="1" s="1"/>
  <c r="P3581" i="1"/>
  <c r="D3581" i="1"/>
  <c r="C3581" i="1" s="1"/>
  <c r="P3580" i="1"/>
  <c r="D3580" i="1"/>
  <c r="C3580" i="1"/>
  <c r="P3579" i="1"/>
  <c r="D3579" i="1"/>
  <c r="C3579" i="1" s="1"/>
  <c r="P3578" i="1"/>
  <c r="D3578" i="1"/>
  <c r="C3578" i="1" s="1"/>
  <c r="P3577" i="1"/>
  <c r="D3577" i="1"/>
  <c r="C3577" i="1" s="1"/>
  <c r="P3576" i="1"/>
  <c r="D3576" i="1"/>
  <c r="C3576" i="1"/>
  <c r="P3575" i="1"/>
  <c r="D3575" i="1"/>
  <c r="C3575" i="1" s="1"/>
  <c r="P3574" i="1"/>
  <c r="D3574" i="1"/>
  <c r="C3574" i="1" s="1"/>
  <c r="P3573" i="1"/>
  <c r="D3573" i="1"/>
  <c r="C3573" i="1" s="1"/>
  <c r="P3572" i="1"/>
  <c r="D3572" i="1"/>
  <c r="C3572" i="1"/>
  <c r="P3571" i="1"/>
  <c r="D3571" i="1"/>
  <c r="C3571" i="1" s="1"/>
  <c r="P3570" i="1"/>
  <c r="D3570" i="1"/>
  <c r="C3570" i="1" s="1"/>
  <c r="P3569" i="1"/>
  <c r="D3569" i="1"/>
  <c r="C3569" i="1" s="1"/>
  <c r="P3568" i="1"/>
  <c r="D3568" i="1"/>
  <c r="C3568" i="1"/>
  <c r="P3567" i="1"/>
  <c r="D3567" i="1"/>
  <c r="C3567" i="1" s="1"/>
  <c r="P3566" i="1"/>
  <c r="D3566" i="1"/>
  <c r="C3566" i="1" s="1"/>
  <c r="P3565" i="1"/>
  <c r="D3565" i="1"/>
  <c r="C3565" i="1" s="1"/>
  <c r="P3564" i="1"/>
  <c r="D3564" i="1"/>
  <c r="C3564" i="1"/>
  <c r="P3563" i="1"/>
  <c r="D3563" i="1"/>
  <c r="C3563" i="1" s="1"/>
  <c r="P3562" i="1"/>
  <c r="D3562" i="1"/>
  <c r="C3562" i="1" s="1"/>
  <c r="P3561" i="1"/>
  <c r="D3561" i="1"/>
  <c r="C3561" i="1" s="1"/>
  <c r="P3560" i="1"/>
  <c r="D3560" i="1"/>
  <c r="C3560" i="1"/>
  <c r="P3559" i="1"/>
  <c r="D3559" i="1"/>
  <c r="C3559" i="1" s="1"/>
  <c r="P3558" i="1"/>
  <c r="D3558" i="1"/>
  <c r="C3558" i="1" s="1"/>
  <c r="P3557" i="1"/>
  <c r="D3557" i="1"/>
  <c r="C3557" i="1" s="1"/>
  <c r="P3556" i="1"/>
  <c r="D3556" i="1"/>
  <c r="C3556" i="1"/>
  <c r="P3555" i="1"/>
  <c r="D3555" i="1"/>
  <c r="C3555" i="1" s="1"/>
  <c r="P3554" i="1"/>
  <c r="D3554" i="1"/>
  <c r="C3554" i="1" s="1"/>
  <c r="P3553" i="1"/>
  <c r="D3553" i="1"/>
  <c r="C3553" i="1" s="1"/>
  <c r="P3552" i="1"/>
  <c r="D3552" i="1"/>
  <c r="C3552" i="1"/>
  <c r="P3551" i="1"/>
  <c r="D3551" i="1"/>
  <c r="C3551" i="1" s="1"/>
  <c r="P3550" i="1"/>
  <c r="D3550" i="1"/>
  <c r="C3550" i="1" s="1"/>
  <c r="P3549" i="1"/>
  <c r="D3549" i="1"/>
  <c r="C3549" i="1" s="1"/>
  <c r="P3548" i="1"/>
  <c r="D3548" i="1"/>
  <c r="C3548" i="1"/>
  <c r="P3547" i="1"/>
  <c r="D3547" i="1"/>
  <c r="C3547" i="1" s="1"/>
  <c r="P3546" i="1"/>
  <c r="D3546" i="1"/>
  <c r="C3546" i="1" s="1"/>
  <c r="P3545" i="1"/>
  <c r="D3545" i="1"/>
  <c r="C3545" i="1" s="1"/>
  <c r="P3544" i="1"/>
  <c r="D3544" i="1"/>
  <c r="C3544" i="1"/>
  <c r="P3543" i="1"/>
  <c r="D3543" i="1"/>
  <c r="C3543" i="1" s="1"/>
  <c r="P3542" i="1"/>
  <c r="D3542" i="1"/>
  <c r="C3542" i="1" s="1"/>
  <c r="P3541" i="1"/>
  <c r="D3541" i="1"/>
  <c r="C3541" i="1" s="1"/>
  <c r="P3540" i="1"/>
  <c r="D3540" i="1"/>
  <c r="C3540" i="1"/>
  <c r="P3539" i="1"/>
  <c r="D3539" i="1"/>
  <c r="C3539" i="1" s="1"/>
  <c r="P3538" i="1"/>
  <c r="D3538" i="1"/>
  <c r="C3538" i="1" s="1"/>
  <c r="P3537" i="1"/>
  <c r="D3537" i="1"/>
  <c r="C3537" i="1" s="1"/>
  <c r="P3536" i="1"/>
  <c r="D3536" i="1"/>
  <c r="C3536" i="1"/>
  <c r="P3535" i="1"/>
  <c r="L3535" i="1"/>
  <c r="D3535" i="1"/>
  <c r="C3535" i="1" s="1"/>
  <c r="P3534" i="1"/>
  <c r="D3534" i="1"/>
  <c r="C3534" i="1"/>
  <c r="P3533" i="1"/>
  <c r="O3533" i="1"/>
  <c r="D3533" i="1"/>
  <c r="C3533" i="1" s="1"/>
  <c r="P3532" i="1"/>
  <c r="O3532" i="1"/>
  <c r="O3534" i="1" s="1"/>
  <c r="D3532" i="1"/>
  <c r="C3532" i="1"/>
  <c r="P3531" i="1"/>
  <c r="D3531" i="1"/>
  <c r="C3531" i="1" s="1"/>
  <c r="P3530" i="1"/>
  <c r="D3530" i="1"/>
  <c r="C3530" i="1" s="1"/>
  <c r="P3529" i="1"/>
  <c r="D3529" i="1"/>
  <c r="C3529" i="1"/>
  <c r="P3528" i="1"/>
  <c r="D3528" i="1"/>
  <c r="C3528" i="1"/>
  <c r="P3527" i="1"/>
  <c r="D3527" i="1"/>
  <c r="C3527" i="1" s="1"/>
  <c r="P3526" i="1"/>
  <c r="D3526" i="1"/>
  <c r="C3526" i="1" s="1"/>
  <c r="P3525" i="1"/>
  <c r="D3525" i="1"/>
  <c r="C3525" i="1"/>
  <c r="P3524" i="1"/>
  <c r="D3524" i="1"/>
  <c r="C3524" i="1"/>
  <c r="P3523" i="1"/>
  <c r="D3523" i="1"/>
  <c r="C3523" i="1" s="1"/>
  <c r="P3522" i="1"/>
  <c r="D3522" i="1"/>
  <c r="C3522" i="1" s="1"/>
  <c r="P3521" i="1"/>
  <c r="D3521" i="1"/>
  <c r="C3521" i="1"/>
  <c r="P3520" i="1"/>
  <c r="D3520" i="1"/>
  <c r="C3520" i="1"/>
  <c r="P3519" i="1"/>
  <c r="D3519" i="1"/>
  <c r="C3519" i="1" s="1"/>
  <c r="P3518" i="1"/>
  <c r="D3518" i="1"/>
  <c r="C3518" i="1" s="1"/>
  <c r="P3517" i="1"/>
  <c r="D3517" i="1"/>
  <c r="C3517" i="1"/>
  <c r="P3516" i="1"/>
  <c r="D3516" i="1"/>
  <c r="C3516" i="1"/>
  <c r="P3515" i="1"/>
  <c r="D3515" i="1"/>
  <c r="C3515" i="1" s="1"/>
  <c r="P3514" i="1"/>
  <c r="D3514" i="1"/>
  <c r="C3514" i="1" s="1"/>
  <c r="P3513" i="1"/>
  <c r="D3513" i="1"/>
  <c r="C3513" i="1"/>
  <c r="P3512" i="1"/>
  <c r="D3512" i="1"/>
  <c r="C3512" i="1"/>
  <c r="P3511" i="1"/>
  <c r="D3511" i="1"/>
  <c r="C3511" i="1" s="1"/>
  <c r="P3510" i="1"/>
  <c r="D3510" i="1"/>
  <c r="C3510" i="1" s="1"/>
  <c r="P3509" i="1"/>
  <c r="D3509" i="1"/>
  <c r="C3509" i="1"/>
  <c r="P3508" i="1"/>
  <c r="D3508" i="1"/>
  <c r="C3508" i="1"/>
  <c r="P3507" i="1"/>
  <c r="D3507" i="1"/>
  <c r="C3507" i="1" s="1"/>
  <c r="P3506" i="1"/>
  <c r="D3506" i="1"/>
  <c r="C3506" i="1" s="1"/>
  <c r="P3505" i="1"/>
  <c r="O3505" i="1"/>
  <c r="D3505" i="1"/>
  <c r="C3505" i="1" s="1"/>
  <c r="P3504" i="1"/>
  <c r="O3504" i="1"/>
  <c r="O3506" i="1" s="1"/>
  <c r="D3504" i="1"/>
  <c r="C3504" i="1" s="1"/>
  <c r="P3503" i="1"/>
  <c r="D3503" i="1"/>
  <c r="C3503" i="1"/>
  <c r="P3502" i="1"/>
  <c r="D3502" i="1"/>
  <c r="C3502" i="1" s="1"/>
  <c r="P3501" i="1"/>
  <c r="D3501" i="1"/>
  <c r="C3501" i="1" s="1"/>
  <c r="P3500" i="1"/>
  <c r="D3500" i="1"/>
  <c r="C3500" i="1" s="1"/>
  <c r="P3499" i="1"/>
  <c r="D3499" i="1"/>
  <c r="C3499" i="1"/>
  <c r="P3498" i="1"/>
  <c r="D3498" i="1"/>
  <c r="C3498" i="1" s="1"/>
  <c r="P3497" i="1"/>
  <c r="D3497" i="1"/>
  <c r="C3497" i="1" s="1"/>
  <c r="P3496" i="1"/>
  <c r="D3496" i="1"/>
  <c r="C3496" i="1" s="1"/>
  <c r="P3495" i="1"/>
  <c r="D3495" i="1"/>
  <c r="C3495" i="1"/>
  <c r="P3494" i="1"/>
  <c r="D3494" i="1"/>
  <c r="C3494" i="1" s="1"/>
  <c r="P3493" i="1"/>
  <c r="D3493" i="1"/>
  <c r="C3493" i="1" s="1"/>
  <c r="P3492" i="1"/>
  <c r="D3492" i="1"/>
  <c r="C3492" i="1" s="1"/>
  <c r="P3491" i="1"/>
  <c r="D3491" i="1"/>
  <c r="C3491" i="1"/>
  <c r="P3490" i="1"/>
  <c r="D3490" i="1"/>
  <c r="C3490" i="1" s="1"/>
  <c r="P3489" i="1"/>
  <c r="D3489" i="1"/>
  <c r="C3489" i="1" s="1"/>
  <c r="P3488" i="1"/>
  <c r="D3488" i="1"/>
  <c r="C3488" i="1" s="1"/>
  <c r="P3487" i="1"/>
  <c r="D3487" i="1"/>
  <c r="C3487" i="1"/>
  <c r="P3486" i="1"/>
  <c r="D3486" i="1"/>
  <c r="C3486" i="1" s="1"/>
  <c r="P3485" i="1"/>
  <c r="D3485" i="1"/>
  <c r="C3485" i="1" s="1"/>
  <c r="P3484" i="1"/>
  <c r="O3484" i="1"/>
  <c r="D3484" i="1"/>
  <c r="C3484" i="1"/>
  <c r="P3483" i="1"/>
  <c r="O3483" i="1"/>
  <c r="D3483" i="1"/>
  <c r="C3483" i="1"/>
  <c r="P3482" i="1"/>
  <c r="D3482" i="1"/>
  <c r="C3482" i="1" s="1"/>
  <c r="P3481" i="1"/>
  <c r="D3481" i="1"/>
  <c r="C3481" i="1" s="1"/>
  <c r="P3480" i="1"/>
  <c r="D3480" i="1"/>
  <c r="C3480" i="1"/>
  <c r="P3479" i="1"/>
  <c r="D3479" i="1"/>
  <c r="C3479" i="1"/>
  <c r="P3478" i="1"/>
  <c r="D3478" i="1"/>
  <c r="C3478" i="1" s="1"/>
  <c r="P3477" i="1"/>
  <c r="D3477" i="1"/>
  <c r="C3477" i="1" s="1"/>
  <c r="P3476" i="1"/>
  <c r="D3476" i="1"/>
  <c r="C3476" i="1"/>
  <c r="P3475" i="1"/>
  <c r="D3475" i="1"/>
  <c r="C3475" i="1"/>
  <c r="P3474" i="1"/>
  <c r="D3474" i="1"/>
  <c r="C3474" i="1" s="1"/>
  <c r="P3473" i="1"/>
  <c r="O3473" i="1"/>
  <c r="D3473" i="1"/>
  <c r="C3473" i="1"/>
  <c r="P3472" i="1"/>
  <c r="O3472" i="1"/>
  <c r="O3474" i="1" s="1"/>
  <c r="D3472" i="1"/>
  <c r="C3472" i="1" s="1"/>
  <c r="P3471" i="1"/>
  <c r="D3471" i="1"/>
  <c r="C3471" i="1"/>
  <c r="P3470" i="1"/>
  <c r="D3470" i="1"/>
  <c r="C3470" i="1"/>
  <c r="P3469" i="1"/>
  <c r="D3469" i="1"/>
  <c r="C3469" i="1"/>
  <c r="P3468" i="1"/>
  <c r="D3468" i="1"/>
  <c r="C3468" i="1" s="1"/>
  <c r="P3467" i="1"/>
  <c r="D3467" i="1"/>
  <c r="C3467" i="1"/>
  <c r="P3466" i="1"/>
  <c r="D3466" i="1"/>
  <c r="C3466" i="1"/>
  <c r="P3465" i="1"/>
  <c r="D3465" i="1"/>
  <c r="C3465" i="1"/>
  <c r="P3464" i="1"/>
  <c r="D3464" i="1"/>
  <c r="C3464" i="1" s="1"/>
  <c r="P3463" i="1"/>
  <c r="D3463" i="1"/>
  <c r="C3463" i="1"/>
  <c r="P3462" i="1"/>
  <c r="D3462" i="1"/>
  <c r="C3462" i="1"/>
  <c r="P3461" i="1"/>
  <c r="D3461" i="1"/>
  <c r="C3461" i="1"/>
  <c r="P3460" i="1"/>
  <c r="D3460" i="1"/>
  <c r="C3460" i="1" s="1"/>
  <c r="P3459" i="1"/>
  <c r="D3459" i="1"/>
  <c r="C3459" i="1"/>
  <c r="P3458" i="1"/>
  <c r="D3458" i="1"/>
  <c r="C3458" i="1"/>
  <c r="P3457" i="1"/>
  <c r="D3457" i="1"/>
  <c r="C3457" i="1"/>
  <c r="P3456" i="1"/>
  <c r="D3456" i="1"/>
  <c r="C3456" i="1" s="1"/>
  <c r="P3455" i="1"/>
  <c r="D3455" i="1"/>
  <c r="C3455" i="1"/>
  <c r="P3454" i="1"/>
  <c r="D3454" i="1"/>
  <c r="C3454" i="1"/>
  <c r="P3453" i="1"/>
  <c r="D3453" i="1"/>
  <c r="C3453" i="1"/>
  <c r="P3452" i="1"/>
  <c r="D3452" i="1"/>
  <c r="C3452" i="1" s="1"/>
  <c r="P3451" i="1"/>
  <c r="M3451" i="1"/>
  <c r="D3451" i="1"/>
  <c r="C3451" i="1"/>
  <c r="P3450" i="1"/>
  <c r="O3450" i="1"/>
  <c r="O3451" i="1" s="1"/>
  <c r="D3450" i="1"/>
  <c r="C3450" i="1"/>
  <c r="P3449" i="1"/>
  <c r="D3449" i="1"/>
  <c r="C3449" i="1"/>
  <c r="P3448" i="1"/>
  <c r="D3448" i="1"/>
  <c r="C3448" i="1"/>
  <c r="P3447" i="1"/>
  <c r="D3447" i="1"/>
  <c r="C3447" i="1" s="1"/>
  <c r="P3446" i="1"/>
  <c r="D3446" i="1"/>
  <c r="C3446" i="1"/>
  <c r="P3445" i="1"/>
  <c r="D3445" i="1"/>
  <c r="C3445" i="1"/>
  <c r="P3444" i="1"/>
  <c r="D3444" i="1"/>
  <c r="C3444" i="1"/>
  <c r="P3443" i="1"/>
  <c r="D3443" i="1"/>
  <c r="C3443" i="1" s="1"/>
  <c r="P3442" i="1"/>
  <c r="D3442" i="1"/>
  <c r="C3442" i="1"/>
  <c r="P3441" i="1"/>
  <c r="O3441" i="1"/>
  <c r="O3442" i="1" s="1"/>
  <c r="D3441" i="1"/>
  <c r="C3441" i="1" s="1"/>
  <c r="P3440" i="1"/>
  <c r="D3440" i="1"/>
  <c r="C3440" i="1"/>
  <c r="P3439" i="1"/>
  <c r="L3439" i="1"/>
  <c r="D3439" i="1"/>
  <c r="C3439" i="1"/>
  <c r="P3438" i="1"/>
  <c r="D3438" i="1"/>
  <c r="C3438" i="1" s="1"/>
  <c r="P3437" i="1"/>
  <c r="D3437" i="1"/>
  <c r="C3437" i="1" s="1"/>
  <c r="P3436" i="1"/>
  <c r="D3436" i="1"/>
  <c r="C3436" i="1"/>
  <c r="P3435" i="1"/>
  <c r="D3435" i="1"/>
  <c r="C3435" i="1"/>
  <c r="P3434" i="1"/>
  <c r="D3434" i="1"/>
  <c r="C3434" i="1" s="1"/>
  <c r="P3433" i="1"/>
  <c r="D3433" i="1"/>
  <c r="C3433" i="1" s="1"/>
  <c r="P3432" i="1"/>
  <c r="D3432" i="1"/>
  <c r="C3432" i="1"/>
  <c r="P3431" i="1"/>
  <c r="D3431" i="1"/>
  <c r="C3431" i="1"/>
  <c r="P3430" i="1"/>
  <c r="D3430" i="1"/>
  <c r="C3430" i="1" s="1"/>
  <c r="P3429" i="1"/>
  <c r="D3429" i="1"/>
  <c r="C3429" i="1" s="1"/>
  <c r="P3428" i="1"/>
  <c r="D3428" i="1"/>
  <c r="C3428" i="1"/>
  <c r="P3427" i="1"/>
  <c r="D3427" i="1"/>
  <c r="C3427" i="1"/>
  <c r="P3426" i="1"/>
  <c r="D3426" i="1"/>
  <c r="C3426" i="1" s="1"/>
  <c r="P3425" i="1"/>
  <c r="D3425" i="1"/>
  <c r="C3425" i="1" s="1"/>
  <c r="P3424" i="1"/>
  <c r="D3424" i="1"/>
  <c r="C3424" i="1"/>
  <c r="P3423" i="1"/>
  <c r="D3423" i="1"/>
  <c r="C3423" i="1"/>
  <c r="P3422" i="1"/>
  <c r="D3422" i="1"/>
  <c r="C3422" i="1" s="1"/>
  <c r="P3421" i="1"/>
  <c r="D3421" i="1"/>
  <c r="C3421" i="1" s="1"/>
  <c r="P3420" i="1"/>
  <c r="D3420" i="1"/>
  <c r="C3420" i="1"/>
  <c r="P3419" i="1"/>
  <c r="D3419" i="1"/>
  <c r="C3419" i="1"/>
  <c r="P3418" i="1"/>
  <c r="D3418" i="1"/>
  <c r="C3418" i="1" s="1"/>
  <c r="P3417" i="1"/>
  <c r="D3417" i="1"/>
  <c r="C3417" i="1" s="1"/>
  <c r="P3416" i="1"/>
  <c r="D3416" i="1"/>
  <c r="C3416" i="1"/>
  <c r="P3415" i="1"/>
  <c r="D3415" i="1"/>
  <c r="C3415" i="1"/>
  <c r="P3414" i="1"/>
  <c r="D3414" i="1"/>
  <c r="C3414" i="1" s="1"/>
  <c r="P3413" i="1"/>
  <c r="D3413" i="1"/>
  <c r="C3413" i="1" s="1"/>
  <c r="P3412" i="1"/>
  <c r="D3412" i="1"/>
  <c r="C3412" i="1"/>
  <c r="P3411" i="1"/>
  <c r="D3411" i="1"/>
  <c r="C3411" i="1"/>
  <c r="P3410" i="1"/>
  <c r="D3410" i="1"/>
  <c r="C3410" i="1" s="1"/>
  <c r="P3409" i="1"/>
  <c r="D3409" i="1"/>
  <c r="C3409" i="1" s="1"/>
  <c r="P3408" i="1"/>
  <c r="D3408" i="1"/>
  <c r="C3408" i="1"/>
  <c r="P3407" i="1"/>
  <c r="M3407" i="1"/>
  <c r="D3407" i="1"/>
  <c r="C3407" i="1" s="1"/>
  <c r="P3406" i="1"/>
  <c r="L3406" i="1"/>
  <c r="D3406" i="1"/>
  <c r="C3406" i="1"/>
  <c r="P3405" i="1"/>
  <c r="M3405" i="1"/>
  <c r="D3405" i="1"/>
  <c r="C3405" i="1" s="1"/>
  <c r="P3404" i="1"/>
  <c r="L3404" i="1"/>
  <c r="D3404" i="1"/>
  <c r="C3404" i="1" s="1"/>
  <c r="P3403" i="1"/>
  <c r="M3403" i="1"/>
  <c r="D3403" i="1"/>
  <c r="C3403" i="1" s="1"/>
  <c r="P3402" i="1"/>
  <c r="D3402" i="1"/>
  <c r="C3402" i="1"/>
  <c r="P3401" i="1"/>
  <c r="D3401" i="1"/>
  <c r="C3401" i="1"/>
  <c r="P3400" i="1"/>
  <c r="L3400" i="1"/>
  <c r="M3401" i="1" s="1"/>
  <c r="D3400" i="1"/>
  <c r="C3400" i="1"/>
  <c r="P3399" i="1"/>
  <c r="D3399" i="1"/>
  <c r="C3399" i="1"/>
  <c r="P3398" i="1"/>
  <c r="L3398" i="1"/>
  <c r="M3399" i="1" s="1"/>
  <c r="D3398" i="1"/>
  <c r="C3398" i="1" s="1"/>
  <c r="P3397" i="1"/>
  <c r="D3397" i="1"/>
  <c r="C3397" i="1" s="1"/>
  <c r="P3396" i="1"/>
  <c r="L3396" i="1"/>
  <c r="M3397" i="1" s="1"/>
  <c r="D3396" i="1"/>
  <c r="C3396" i="1" s="1"/>
  <c r="P3395" i="1"/>
  <c r="D3395" i="1"/>
  <c r="C3395" i="1" s="1"/>
  <c r="P3394" i="1"/>
  <c r="L3394" i="1"/>
  <c r="M3395" i="1" s="1"/>
  <c r="D3394" i="1"/>
  <c r="C3394" i="1" s="1"/>
  <c r="P3393" i="1"/>
  <c r="D3393" i="1"/>
  <c r="C3393" i="1"/>
  <c r="P3392" i="1"/>
  <c r="D3392" i="1"/>
  <c r="C3392" i="1" s="1"/>
  <c r="P3391" i="1"/>
  <c r="D3391" i="1"/>
  <c r="C3391" i="1" s="1"/>
  <c r="P3390" i="1"/>
  <c r="D3390" i="1"/>
  <c r="C3390" i="1" s="1"/>
  <c r="P3389" i="1"/>
  <c r="D3389" i="1"/>
  <c r="C3389" i="1"/>
  <c r="P3388" i="1"/>
  <c r="D3388" i="1"/>
  <c r="C3388" i="1" s="1"/>
  <c r="P3387" i="1"/>
  <c r="D3387" i="1"/>
  <c r="C3387" i="1" s="1"/>
  <c r="P3386" i="1"/>
  <c r="D3386" i="1"/>
  <c r="C3386" i="1" s="1"/>
  <c r="P3385" i="1"/>
  <c r="D3385" i="1"/>
  <c r="C3385" i="1"/>
  <c r="P3384" i="1"/>
  <c r="D3384" i="1"/>
  <c r="C3384" i="1"/>
  <c r="P3383" i="1"/>
  <c r="D3383" i="1"/>
  <c r="C3383" i="1" s="1"/>
  <c r="P3382" i="1"/>
  <c r="D3382" i="1"/>
  <c r="C3382" i="1" s="1"/>
  <c r="P3381" i="1"/>
  <c r="D3381" i="1"/>
  <c r="C3381" i="1"/>
  <c r="P3380" i="1"/>
  <c r="D3380" i="1"/>
  <c r="C3380" i="1"/>
  <c r="P3379" i="1"/>
  <c r="D3379" i="1"/>
  <c r="C3379" i="1"/>
  <c r="P3378" i="1"/>
  <c r="D3378" i="1"/>
  <c r="C3378" i="1" s="1"/>
  <c r="P3377" i="1"/>
  <c r="D3377" i="1"/>
  <c r="C3377" i="1"/>
  <c r="P3376" i="1"/>
  <c r="M3376" i="1"/>
  <c r="D3376" i="1"/>
  <c r="C3376" i="1"/>
  <c r="P3375" i="1"/>
  <c r="D3375" i="1"/>
  <c r="C3375" i="1"/>
  <c r="P3374" i="1"/>
  <c r="D3374" i="1"/>
  <c r="C3374" i="1" s="1"/>
  <c r="P3373" i="1"/>
  <c r="D3373" i="1"/>
  <c r="C3373" i="1"/>
  <c r="P3372" i="1"/>
  <c r="D3372" i="1"/>
  <c r="C3372" i="1" s="1"/>
  <c r="P3371" i="1"/>
  <c r="D3371" i="1"/>
  <c r="C3371" i="1"/>
  <c r="P3370" i="1"/>
  <c r="D3370" i="1"/>
  <c r="C3370" i="1" s="1"/>
  <c r="P3369" i="1"/>
  <c r="D3369" i="1"/>
  <c r="C3369" i="1"/>
  <c r="P3368" i="1"/>
  <c r="D3368" i="1"/>
  <c r="C3368" i="1"/>
  <c r="P3367" i="1"/>
  <c r="D3367" i="1"/>
  <c r="C3367" i="1" s="1"/>
  <c r="P3366" i="1"/>
  <c r="D3366" i="1"/>
  <c r="C3366" i="1" s="1"/>
  <c r="P3365" i="1"/>
  <c r="D3365" i="1"/>
  <c r="C3365" i="1" s="1"/>
  <c r="P3364" i="1"/>
  <c r="D3364" i="1"/>
  <c r="C3364" i="1"/>
  <c r="P3363" i="1"/>
  <c r="D3363" i="1"/>
  <c r="C3363" i="1" s="1"/>
  <c r="P3362" i="1"/>
  <c r="D3362" i="1"/>
  <c r="C3362" i="1" s="1"/>
  <c r="P3361" i="1"/>
  <c r="D3361" i="1"/>
  <c r="C3361" i="1" s="1"/>
  <c r="P3360" i="1"/>
  <c r="D3360" i="1"/>
  <c r="C3360" i="1"/>
  <c r="P3359" i="1"/>
  <c r="D3359" i="1"/>
  <c r="C3359" i="1" s="1"/>
  <c r="P3358" i="1"/>
  <c r="D3358" i="1"/>
  <c r="C3358" i="1" s="1"/>
  <c r="P3357" i="1"/>
  <c r="D3357" i="1"/>
  <c r="C3357" i="1" s="1"/>
  <c r="P3356" i="1"/>
  <c r="D3356" i="1"/>
  <c r="C3356" i="1"/>
  <c r="P3355" i="1"/>
  <c r="D3355" i="1"/>
  <c r="C3355" i="1" s="1"/>
  <c r="P3354" i="1"/>
  <c r="D3354" i="1"/>
  <c r="C3354" i="1" s="1"/>
  <c r="P3353" i="1"/>
  <c r="D3353" i="1"/>
  <c r="C3353" i="1" s="1"/>
  <c r="P3352" i="1"/>
  <c r="D3352" i="1"/>
  <c r="C3352" i="1"/>
  <c r="P3351" i="1"/>
  <c r="D3351" i="1"/>
  <c r="C3351" i="1" s="1"/>
  <c r="P3350" i="1"/>
  <c r="D3350" i="1"/>
  <c r="C3350" i="1" s="1"/>
  <c r="P3349" i="1"/>
  <c r="D3349" i="1"/>
  <c r="C3349" i="1" s="1"/>
  <c r="P3348" i="1"/>
  <c r="D3348" i="1"/>
  <c r="C3348" i="1"/>
  <c r="P3347" i="1"/>
  <c r="D3347" i="1"/>
  <c r="C3347" i="1" s="1"/>
  <c r="P3346" i="1"/>
  <c r="D3346" i="1"/>
  <c r="C3346" i="1" s="1"/>
  <c r="P3345" i="1"/>
  <c r="D3345" i="1"/>
  <c r="C3345" i="1" s="1"/>
  <c r="P3344" i="1"/>
  <c r="D3344" i="1"/>
  <c r="C3344" i="1"/>
  <c r="P3343" i="1"/>
  <c r="D3343" i="1"/>
  <c r="C3343" i="1"/>
  <c r="P3342" i="1"/>
  <c r="D3342" i="1"/>
  <c r="C3342" i="1" s="1"/>
  <c r="P3341" i="1"/>
  <c r="D3341" i="1"/>
  <c r="C3341" i="1" s="1"/>
  <c r="P3340" i="1"/>
  <c r="D3340" i="1"/>
  <c r="C3340" i="1"/>
  <c r="P3339" i="1"/>
  <c r="D3339" i="1"/>
  <c r="C3339" i="1"/>
  <c r="P3338" i="1"/>
  <c r="D3338" i="1"/>
  <c r="C3338" i="1" s="1"/>
  <c r="P3337" i="1"/>
  <c r="D3337" i="1"/>
  <c r="C3337" i="1" s="1"/>
  <c r="P3336" i="1"/>
  <c r="D3336" i="1"/>
  <c r="C3336" i="1"/>
  <c r="P3335" i="1"/>
  <c r="D3335" i="1"/>
  <c r="C3335" i="1"/>
  <c r="P3334" i="1"/>
  <c r="D3334" i="1"/>
  <c r="C3334" i="1" s="1"/>
  <c r="P3333" i="1"/>
  <c r="D3333" i="1"/>
  <c r="C3333" i="1" s="1"/>
  <c r="P3332" i="1"/>
  <c r="D3332" i="1"/>
  <c r="C3332" i="1"/>
  <c r="P3331" i="1"/>
  <c r="D3331" i="1"/>
  <c r="C3331" i="1"/>
  <c r="P3330" i="1"/>
  <c r="D3330" i="1"/>
  <c r="C3330" i="1" s="1"/>
  <c r="P3329" i="1"/>
  <c r="D3329" i="1"/>
  <c r="C3329" i="1" s="1"/>
  <c r="P3328" i="1"/>
  <c r="D3328" i="1"/>
  <c r="C3328" i="1"/>
  <c r="P3327" i="1"/>
  <c r="D3327" i="1"/>
  <c r="C3327" i="1"/>
  <c r="P3326" i="1"/>
  <c r="D3326" i="1"/>
  <c r="C3326" i="1" s="1"/>
  <c r="P3325" i="1"/>
  <c r="D3325" i="1"/>
  <c r="C3325" i="1" s="1"/>
  <c r="P3324" i="1"/>
  <c r="D3324" i="1"/>
  <c r="C3324" i="1"/>
  <c r="P3323" i="1"/>
  <c r="D3323" i="1"/>
  <c r="C3323" i="1"/>
  <c r="P3322" i="1"/>
  <c r="D3322" i="1"/>
  <c r="C3322" i="1" s="1"/>
  <c r="P3321" i="1"/>
  <c r="D3321" i="1"/>
  <c r="C3321" i="1" s="1"/>
  <c r="P3320" i="1"/>
  <c r="D3320" i="1"/>
  <c r="C3320" i="1"/>
  <c r="P3319" i="1"/>
  <c r="D3319" i="1"/>
  <c r="C3319" i="1" s="1"/>
  <c r="P3318" i="1"/>
  <c r="D3318" i="1"/>
  <c r="C3318" i="1" s="1"/>
  <c r="P3317" i="1"/>
  <c r="D3317" i="1"/>
  <c r="C3317" i="1"/>
  <c r="P3316" i="1"/>
  <c r="D3316" i="1"/>
  <c r="C3316" i="1"/>
  <c r="P3315" i="1"/>
  <c r="M3315" i="1"/>
  <c r="M3319" i="1" s="1"/>
  <c r="D3315" i="1"/>
  <c r="C3315" i="1" s="1"/>
  <c r="P3314" i="1"/>
  <c r="D3314" i="1"/>
  <c r="C3314" i="1"/>
  <c r="P3313" i="1"/>
  <c r="D3313" i="1"/>
  <c r="C3313" i="1" s="1"/>
  <c r="P3312" i="1"/>
  <c r="D3312" i="1"/>
  <c r="C3312" i="1" s="1"/>
  <c r="P3311" i="1"/>
  <c r="M3311" i="1"/>
  <c r="D3311" i="1"/>
  <c r="C3311" i="1"/>
  <c r="P3310" i="1"/>
  <c r="D3310" i="1"/>
  <c r="C3310" i="1" s="1"/>
  <c r="P3309" i="1"/>
  <c r="M3309" i="1"/>
  <c r="D3309" i="1"/>
  <c r="C3309" i="1" s="1"/>
  <c r="P3308" i="1"/>
  <c r="O3308" i="1"/>
  <c r="O3310" i="1" s="1"/>
  <c r="D3308" i="1"/>
  <c r="C3308" i="1" s="1"/>
  <c r="P3307" i="1"/>
  <c r="D3307" i="1"/>
  <c r="C3307" i="1"/>
  <c r="P3306" i="1"/>
  <c r="D3306" i="1"/>
  <c r="C3306" i="1" s="1"/>
  <c r="P3305" i="1"/>
  <c r="D3305" i="1"/>
  <c r="C3305" i="1" s="1"/>
  <c r="P3304" i="1"/>
  <c r="D3304" i="1"/>
  <c r="C3304" i="1" s="1"/>
  <c r="P3303" i="1"/>
  <c r="D3303" i="1"/>
  <c r="C3303" i="1"/>
  <c r="P3302" i="1"/>
  <c r="D3302" i="1"/>
  <c r="C3302" i="1" s="1"/>
  <c r="P3301" i="1"/>
  <c r="D3301" i="1"/>
  <c r="C3301" i="1" s="1"/>
  <c r="P3300" i="1"/>
  <c r="D3300" i="1"/>
  <c r="C3300" i="1" s="1"/>
  <c r="P3299" i="1"/>
  <c r="D3299" i="1"/>
  <c r="C3299" i="1"/>
  <c r="P3298" i="1"/>
  <c r="D3298" i="1"/>
  <c r="C3298" i="1" s="1"/>
  <c r="P3297" i="1"/>
  <c r="D3297" i="1"/>
  <c r="C3297" i="1" s="1"/>
  <c r="P3296" i="1"/>
  <c r="D3296" i="1"/>
  <c r="C3296" i="1" s="1"/>
  <c r="P3295" i="1"/>
  <c r="D3295" i="1"/>
  <c r="C3295" i="1"/>
  <c r="P3294" i="1"/>
  <c r="D3294" i="1"/>
  <c r="C3294" i="1" s="1"/>
  <c r="P3293" i="1"/>
  <c r="D3293" i="1"/>
  <c r="C3293" i="1" s="1"/>
  <c r="P3292" i="1"/>
  <c r="D3292" i="1"/>
  <c r="C3292" i="1" s="1"/>
  <c r="P3291" i="1"/>
  <c r="D3291" i="1"/>
  <c r="C3291" i="1"/>
  <c r="P3290" i="1"/>
  <c r="D3290" i="1"/>
  <c r="C3290" i="1" s="1"/>
  <c r="P3289" i="1"/>
  <c r="D3289" i="1"/>
  <c r="C3289" i="1" s="1"/>
  <c r="P3288" i="1"/>
  <c r="D3288" i="1"/>
  <c r="C3288" i="1" s="1"/>
  <c r="P3287" i="1"/>
  <c r="D3287" i="1"/>
  <c r="C3287" i="1"/>
  <c r="P3286" i="1"/>
  <c r="D3286" i="1"/>
  <c r="C3286" i="1" s="1"/>
  <c r="P3285" i="1"/>
  <c r="D3285" i="1"/>
  <c r="C3285" i="1" s="1"/>
  <c r="P3284" i="1"/>
  <c r="D3284" i="1"/>
  <c r="C3284" i="1" s="1"/>
  <c r="P3283" i="1"/>
  <c r="D3283" i="1"/>
  <c r="C3283" i="1"/>
  <c r="P3282" i="1"/>
  <c r="D3282" i="1"/>
  <c r="C3282" i="1" s="1"/>
  <c r="P3281" i="1"/>
  <c r="D3281" i="1"/>
  <c r="C3281" i="1" s="1"/>
  <c r="P3280" i="1"/>
  <c r="D3280" i="1"/>
  <c r="C3280" i="1" s="1"/>
  <c r="P3279" i="1"/>
  <c r="D3279" i="1"/>
  <c r="C3279" i="1"/>
  <c r="P3278" i="1"/>
  <c r="D3278" i="1"/>
  <c r="C3278" i="1"/>
  <c r="P3277" i="1"/>
  <c r="D3277" i="1"/>
  <c r="C3277" i="1" s="1"/>
  <c r="P3276" i="1"/>
  <c r="D3276" i="1"/>
  <c r="C3276" i="1" s="1"/>
  <c r="P3275" i="1"/>
  <c r="D3275" i="1"/>
  <c r="C3275" i="1"/>
  <c r="P3274" i="1"/>
  <c r="D3274" i="1"/>
  <c r="C3274" i="1" s="1"/>
  <c r="P3273" i="1"/>
  <c r="D3273" i="1"/>
  <c r="C3273" i="1" s="1"/>
  <c r="P3272" i="1"/>
  <c r="D3272" i="1"/>
  <c r="C3272" i="1" s="1"/>
  <c r="P3271" i="1"/>
  <c r="D3271" i="1"/>
  <c r="C3271" i="1"/>
  <c r="P3270" i="1"/>
  <c r="D3270" i="1"/>
  <c r="C3270" i="1"/>
  <c r="P3269" i="1"/>
  <c r="D3269" i="1"/>
  <c r="C3269" i="1" s="1"/>
  <c r="P3268" i="1"/>
  <c r="D3268" i="1"/>
  <c r="C3268" i="1" s="1"/>
  <c r="P3267" i="1"/>
  <c r="D3267" i="1"/>
  <c r="C3267" i="1"/>
  <c r="P3266" i="1"/>
  <c r="D3266" i="1"/>
  <c r="C3266" i="1" s="1"/>
  <c r="P3265" i="1"/>
  <c r="D3265" i="1"/>
  <c r="C3265" i="1" s="1"/>
  <c r="P3264" i="1"/>
  <c r="D3264" i="1"/>
  <c r="C3264" i="1"/>
  <c r="P3263" i="1"/>
  <c r="D3263" i="1"/>
  <c r="C3263" i="1" s="1"/>
  <c r="P3262" i="1"/>
  <c r="D3262" i="1"/>
  <c r="C3262" i="1"/>
  <c r="P3261" i="1"/>
  <c r="D3261" i="1"/>
  <c r="C3261" i="1" s="1"/>
  <c r="P3260" i="1"/>
  <c r="D3260" i="1"/>
  <c r="C3260" i="1"/>
  <c r="P3259" i="1"/>
  <c r="D3259" i="1"/>
  <c r="C3259" i="1" s="1"/>
  <c r="P3258" i="1"/>
  <c r="D3258" i="1"/>
  <c r="C3258" i="1"/>
  <c r="P3257" i="1"/>
  <c r="D3257" i="1"/>
  <c r="C3257" i="1" s="1"/>
  <c r="P3256" i="1"/>
  <c r="D3256" i="1"/>
  <c r="C3256" i="1"/>
  <c r="P3255" i="1"/>
  <c r="D3255" i="1"/>
  <c r="C3255" i="1" s="1"/>
  <c r="P3254" i="1"/>
  <c r="D3254" i="1"/>
  <c r="C3254" i="1"/>
  <c r="P3253" i="1"/>
  <c r="D3253" i="1"/>
  <c r="C3253" i="1" s="1"/>
  <c r="P3252" i="1"/>
  <c r="D3252" i="1"/>
  <c r="C3252" i="1"/>
  <c r="P3251" i="1"/>
  <c r="D3251" i="1"/>
  <c r="C3251" i="1" s="1"/>
  <c r="P3250" i="1"/>
  <c r="D3250" i="1"/>
  <c r="C3250" i="1"/>
  <c r="P3249" i="1"/>
  <c r="D3249" i="1"/>
  <c r="C3249" i="1" s="1"/>
  <c r="P3248" i="1"/>
  <c r="D3248" i="1"/>
  <c r="C3248" i="1"/>
  <c r="P3247" i="1"/>
  <c r="D3247" i="1"/>
  <c r="C3247" i="1" s="1"/>
  <c r="P3246" i="1"/>
  <c r="D3246" i="1"/>
  <c r="C3246" i="1"/>
  <c r="P3245" i="1"/>
  <c r="D3245" i="1"/>
  <c r="C3245" i="1" s="1"/>
  <c r="P3244" i="1"/>
  <c r="D3244" i="1"/>
  <c r="C3244" i="1"/>
  <c r="P3243" i="1"/>
  <c r="D3243" i="1"/>
  <c r="C3243" i="1" s="1"/>
  <c r="P3242" i="1"/>
  <c r="D3242" i="1"/>
  <c r="C3242" i="1"/>
  <c r="P3241" i="1"/>
  <c r="D3241" i="1"/>
  <c r="C3241" i="1" s="1"/>
  <c r="P3240" i="1"/>
  <c r="D3240" i="1"/>
  <c r="C3240" i="1"/>
  <c r="P3239" i="1"/>
  <c r="D3239" i="1"/>
  <c r="C3239" i="1" s="1"/>
  <c r="P3238" i="1"/>
  <c r="L3238" i="1"/>
  <c r="D3238" i="1"/>
  <c r="C3238" i="1" s="1"/>
  <c r="P3237" i="1"/>
  <c r="L3237" i="1"/>
  <c r="D3237" i="1"/>
  <c r="C3237" i="1" s="1"/>
  <c r="P3236" i="1"/>
  <c r="D3236" i="1"/>
  <c r="C3236" i="1"/>
  <c r="P3235" i="1"/>
  <c r="D3235" i="1"/>
  <c r="C3235" i="1" s="1"/>
  <c r="P3234" i="1"/>
  <c r="D3234" i="1"/>
  <c r="C3234" i="1"/>
  <c r="P3233" i="1"/>
  <c r="D3233" i="1"/>
  <c r="C3233" i="1" s="1"/>
  <c r="P3232" i="1"/>
  <c r="D3232" i="1"/>
  <c r="C3232" i="1"/>
  <c r="P3231" i="1"/>
  <c r="D3231" i="1"/>
  <c r="C3231" i="1" s="1"/>
  <c r="P3230" i="1"/>
  <c r="M3230" i="1"/>
  <c r="D3230" i="1"/>
  <c r="C3230" i="1" s="1"/>
  <c r="P3229" i="1"/>
  <c r="D3229" i="1"/>
  <c r="C3229" i="1"/>
  <c r="P3228" i="1"/>
  <c r="D3228" i="1"/>
  <c r="C3228" i="1" s="1"/>
  <c r="P3227" i="1"/>
  <c r="D3227" i="1"/>
  <c r="C3227" i="1"/>
  <c r="P3226" i="1"/>
  <c r="D3226" i="1"/>
  <c r="C3226" i="1" s="1"/>
  <c r="P3225" i="1"/>
  <c r="D3225" i="1"/>
  <c r="C3225" i="1"/>
  <c r="P3224" i="1"/>
  <c r="D3224" i="1"/>
  <c r="C3224" i="1" s="1"/>
  <c r="P3223" i="1"/>
  <c r="D3223" i="1"/>
  <c r="C3223" i="1"/>
  <c r="P3222" i="1"/>
  <c r="D3222" i="1"/>
  <c r="C3222" i="1" s="1"/>
  <c r="P3221" i="1"/>
  <c r="D3221" i="1"/>
  <c r="C3221" i="1"/>
  <c r="P3220" i="1"/>
  <c r="D3220" i="1"/>
  <c r="C3220" i="1" s="1"/>
  <c r="P3219" i="1"/>
  <c r="D3219" i="1"/>
  <c r="C3219" i="1"/>
  <c r="P3218" i="1"/>
  <c r="D3218" i="1"/>
  <c r="C3218" i="1" s="1"/>
  <c r="P3217" i="1"/>
  <c r="D3217" i="1"/>
  <c r="C3217" i="1"/>
  <c r="P3216" i="1"/>
  <c r="D3216" i="1"/>
  <c r="C3216" i="1" s="1"/>
  <c r="P3215" i="1"/>
  <c r="D3215" i="1"/>
  <c r="C3215" i="1"/>
  <c r="P3214" i="1"/>
  <c r="D3214" i="1"/>
  <c r="C3214" i="1" s="1"/>
  <c r="P3213" i="1"/>
  <c r="D3213" i="1"/>
  <c r="C3213" i="1"/>
  <c r="P3212" i="1"/>
  <c r="D3212" i="1"/>
  <c r="C3212" i="1" s="1"/>
  <c r="P3211" i="1"/>
  <c r="D3211" i="1"/>
  <c r="C3211" i="1"/>
  <c r="P3210" i="1"/>
  <c r="D3210" i="1"/>
  <c r="C3210" i="1" s="1"/>
  <c r="P3209" i="1"/>
  <c r="D3209" i="1"/>
  <c r="C3209" i="1"/>
  <c r="P3208" i="1"/>
  <c r="D3208" i="1"/>
  <c r="C3208" i="1" s="1"/>
  <c r="P3207" i="1"/>
  <c r="D3207" i="1"/>
  <c r="C3207" i="1"/>
  <c r="P3206" i="1"/>
  <c r="D3206" i="1"/>
  <c r="C3206" i="1" s="1"/>
  <c r="P3205" i="1"/>
  <c r="D3205" i="1"/>
  <c r="C3205" i="1"/>
  <c r="P3204" i="1"/>
  <c r="D3204" i="1"/>
  <c r="C3204" i="1" s="1"/>
  <c r="P3203" i="1"/>
  <c r="D3203" i="1"/>
  <c r="C3203" i="1"/>
  <c r="P3202" i="1"/>
  <c r="D3202" i="1"/>
  <c r="C3202" i="1" s="1"/>
  <c r="P3201" i="1"/>
  <c r="D3201" i="1"/>
  <c r="C3201" i="1"/>
  <c r="P3200" i="1"/>
  <c r="D3200" i="1"/>
  <c r="C3200" i="1" s="1"/>
  <c r="P3199" i="1"/>
  <c r="D3199" i="1"/>
  <c r="C3199" i="1"/>
  <c r="P3198" i="1"/>
  <c r="D3198" i="1"/>
  <c r="C3198" i="1" s="1"/>
  <c r="P3197" i="1"/>
  <c r="D3197" i="1"/>
  <c r="C3197" i="1"/>
  <c r="P3196" i="1"/>
  <c r="D3196" i="1"/>
  <c r="C3196" i="1" s="1"/>
  <c r="P3195" i="1"/>
  <c r="D3195" i="1"/>
  <c r="C3195" i="1"/>
  <c r="P3194" i="1"/>
  <c r="D3194" i="1"/>
  <c r="C3194" i="1" s="1"/>
  <c r="P3193" i="1"/>
  <c r="D3193" i="1"/>
  <c r="C3193" i="1"/>
  <c r="P3192" i="1"/>
  <c r="D3192" i="1"/>
  <c r="C3192" i="1" s="1"/>
  <c r="P3191" i="1"/>
  <c r="D3191" i="1"/>
  <c r="C3191" i="1"/>
  <c r="P3190" i="1"/>
  <c r="D3190" i="1"/>
  <c r="C3190" i="1" s="1"/>
  <c r="P3189" i="1"/>
  <c r="D3189" i="1"/>
  <c r="C3189" i="1"/>
  <c r="P3188" i="1"/>
  <c r="D3188" i="1"/>
  <c r="C3188" i="1" s="1"/>
  <c r="P3187" i="1"/>
  <c r="D3187" i="1"/>
  <c r="C3187" i="1"/>
  <c r="P3186" i="1"/>
  <c r="D3186" i="1"/>
  <c r="C3186" i="1" s="1"/>
  <c r="P3185" i="1"/>
  <c r="D3185" i="1"/>
  <c r="C3185" i="1"/>
  <c r="P3184" i="1"/>
  <c r="D3184" i="1"/>
  <c r="C3184" i="1" s="1"/>
  <c r="P3183" i="1"/>
  <c r="D3183" i="1"/>
  <c r="C3183" i="1"/>
  <c r="P3182" i="1"/>
  <c r="D3182" i="1"/>
  <c r="C3182" i="1" s="1"/>
  <c r="P3181" i="1"/>
  <c r="D3181" i="1"/>
  <c r="C3181" i="1"/>
  <c r="P3180" i="1"/>
  <c r="D3180" i="1"/>
  <c r="C3180" i="1" s="1"/>
  <c r="P3179" i="1"/>
  <c r="D3179" i="1"/>
  <c r="C3179" i="1"/>
  <c r="P3178" i="1"/>
  <c r="D3178" i="1"/>
  <c r="C3178" i="1" s="1"/>
  <c r="P3177" i="1"/>
  <c r="D3177" i="1"/>
  <c r="C3177" i="1"/>
  <c r="P3176" i="1"/>
  <c r="D3176" i="1"/>
  <c r="C3176" i="1" s="1"/>
  <c r="P3175" i="1"/>
  <c r="D3175" i="1"/>
  <c r="C3175" i="1"/>
  <c r="P3174" i="1"/>
  <c r="D3174" i="1"/>
  <c r="C3174" i="1" s="1"/>
  <c r="P3173" i="1"/>
  <c r="D3173" i="1"/>
  <c r="C3173" i="1"/>
  <c r="P3172" i="1"/>
  <c r="D3172" i="1"/>
  <c r="C3172" i="1" s="1"/>
  <c r="P3171" i="1"/>
  <c r="D3171" i="1"/>
  <c r="C3171" i="1"/>
  <c r="P3170" i="1"/>
  <c r="D3170" i="1"/>
  <c r="C3170" i="1" s="1"/>
  <c r="P3169" i="1"/>
  <c r="D3169" i="1"/>
  <c r="C3169" i="1"/>
  <c r="P3168" i="1"/>
  <c r="D3168" i="1"/>
  <c r="C3168" i="1" s="1"/>
  <c r="P3167" i="1"/>
  <c r="D3167" i="1"/>
  <c r="C3167" i="1"/>
  <c r="P3166" i="1"/>
  <c r="D3166" i="1"/>
  <c r="C3166" i="1" s="1"/>
  <c r="P3165" i="1"/>
  <c r="D3165" i="1"/>
  <c r="C3165" i="1"/>
  <c r="P3164" i="1"/>
  <c r="D3164" i="1"/>
  <c r="C3164" i="1" s="1"/>
  <c r="P3163" i="1"/>
  <c r="D3163" i="1"/>
  <c r="C3163" i="1"/>
  <c r="P3162" i="1"/>
  <c r="D3162" i="1"/>
  <c r="C3162" i="1" s="1"/>
  <c r="P3161" i="1"/>
  <c r="D3161" i="1"/>
  <c r="C3161" i="1"/>
  <c r="P3160" i="1"/>
  <c r="D3160" i="1"/>
  <c r="C3160" i="1" s="1"/>
  <c r="P3159" i="1"/>
  <c r="D3159" i="1"/>
  <c r="C3159" i="1"/>
  <c r="P3158" i="1"/>
  <c r="D3158" i="1"/>
  <c r="C3158" i="1" s="1"/>
  <c r="P3157" i="1"/>
  <c r="D3157" i="1"/>
  <c r="C3157" i="1"/>
  <c r="P3156" i="1"/>
  <c r="D3156" i="1"/>
  <c r="C3156" i="1" s="1"/>
  <c r="P3155" i="1"/>
  <c r="D3155" i="1"/>
  <c r="C3155" i="1"/>
  <c r="P3154" i="1"/>
  <c r="D3154" i="1"/>
  <c r="C3154" i="1" s="1"/>
  <c r="P3153" i="1"/>
  <c r="D3153" i="1"/>
  <c r="C3153" i="1"/>
  <c r="P3152" i="1"/>
  <c r="D3152" i="1"/>
  <c r="C3152" i="1" s="1"/>
  <c r="P3151" i="1"/>
  <c r="D3151" i="1"/>
  <c r="C3151" i="1"/>
  <c r="P3150" i="1"/>
  <c r="D3150" i="1"/>
  <c r="C3150" i="1" s="1"/>
  <c r="P3149" i="1"/>
  <c r="D3149" i="1"/>
  <c r="C3149" i="1"/>
  <c r="P3148" i="1"/>
  <c r="D3148" i="1"/>
  <c r="C3148" i="1" s="1"/>
  <c r="P3147" i="1"/>
  <c r="D3147" i="1"/>
  <c r="C3147" i="1"/>
  <c r="P3146" i="1"/>
  <c r="D3146" i="1"/>
  <c r="C3146" i="1" s="1"/>
  <c r="P3145" i="1"/>
  <c r="D3145" i="1"/>
  <c r="C3145" i="1"/>
  <c r="P3144" i="1"/>
  <c r="D3144" i="1"/>
  <c r="C3144" i="1" s="1"/>
  <c r="P3143" i="1"/>
  <c r="D3143" i="1"/>
  <c r="C3143" i="1"/>
  <c r="P3142" i="1"/>
  <c r="D3142" i="1"/>
  <c r="C3142" i="1" s="1"/>
  <c r="P3141" i="1"/>
  <c r="D3141" i="1"/>
  <c r="C3141" i="1"/>
  <c r="P3140" i="1"/>
  <c r="D3140" i="1"/>
  <c r="C3140" i="1" s="1"/>
  <c r="P3139" i="1"/>
  <c r="D3139" i="1"/>
  <c r="C3139" i="1"/>
  <c r="P3138" i="1"/>
  <c r="D3138" i="1"/>
  <c r="C3138" i="1" s="1"/>
  <c r="P3137" i="1"/>
  <c r="D3137" i="1"/>
  <c r="C3137" i="1"/>
  <c r="P3136" i="1"/>
  <c r="D3136" i="1"/>
  <c r="C3136" i="1" s="1"/>
  <c r="P3135" i="1"/>
  <c r="D3135" i="1"/>
  <c r="C3135" i="1"/>
  <c r="P3134" i="1"/>
  <c r="D3134" i="1"/>
  <c r="C3134" i="1" s="1"/>
  <c r="P3133" i="1"/>
  <c r="D3133" i="1"/>
  <c r="C3133" i="1"/>
  <c r="P3132" i="1"/>
  <c r="D3132" i="1"/>
  <c r="C3132" i="1" s="1"/>
  <c r="P3131" i="1"/>
  <c r="D3131" i="1"/>
  <c r="C3131" i="1"/>
  <c r="P3130" i="1"/>
  <c r="D3130" i="1"/>
  <c r="C3130" i="1" s="1"/>
  <c r="P3129" i="1"/>
  <c r="D3129" i="1"/>
  <c r="C3129" i="1"/>
  <c r="P3128" i="1"/>
  <c r="D3128" i="1"/>
  <c r="C3128" i="1"/>
  <c r="P3127" i="1"/>
  <c r="D3127" i="1"/>
  <c r="C3127" i="1" s="1"/>
  <c r="P3126" i="1"/>
  <c r="D3126" i="1"/>
  <c r="C3126" i="1" s="1"/>
  <c r="P3125" i="1"/>
  <c r="D3125" i="1"/>
  <c r="C3125" i="1"/>
  <c r="P3124" i="1"/>
  <c r="D3124" i="1"/>
  <c r="C3124" i="1"/>
  <c r="P3123" i="1"/>
  <c r="D3123" i="1"/>
  <c r="C3123" i="1" s="1"/>
  <c r="P3122" i="1"/>
  <c r="D3122" i="1"/>
  <c r="C3122" i="1" s="1"/>
  <c r="P3121" i="1"/>
  <c r="D3121" i="1"/>
  <c r="C3121" i="1"/>
  <c r="P3120" i="1"/>
  <c r="D3120" i="1"/>
  <c r="C3120" i="1"/>
  <c r="P3119" i="1"/>
  <c r="D3119" i="1"/>
  <c r="C3119" i="1" s="1"/>
  <c r="P3118" i="1"/>
  <c r="D3118" i="1"/>
  <c r="C3118" i="1" s="1"/>
  <c r="P3117" i="1"/>
  <c r="D3117" i="1"/>
  <c r="C3117" i="1"/>
  <c r="P3116" i="1"/>
  <c r="D3116" i="1"/>
  <c r="C3116" i="1"/>
  <c r="P3115" i="1"/>
  <c r="D3115" i="1"/>
  <c r="C3115" i="1" s="1"/>
  <c r="P3114" i="1"/>
  <c r="D3114" i="1"/>
  <c r="C3114" i="1" s="1"/>
  <c r="P3113" i="1"/>
  <c r="D3113" i="1"/>
  <c r="C3113" i="1"/>
  <c r="P3112" i="1"/>
  <c r="D3112" i="1"/>
  <c r="C3112" i="1"/>
  <c r="P3111" i="1"/>
  <c r="D3111" i="1"/>
  <c r="C3111" i="1" s="1"/>
  <c r="P3110" i="1"/>
  <c r="D3110" i="1"/>
  <c r="C3110" i="1" s="1"/>
  <c r="P3109" i="1"/>
  <c r="D3109" i="1"/>
  <c r="C3109" i="1"/>
  <c r="P3108" i="1"/>
  <c r="D3108" i="1"/>
  <c r="C3108" i="1"/>
  <c r="P3107" i="1"/>
  <c r="D3107" i="1"/>
  <c r="C3107" i="1" s="1"/>
  <c r="P3106" i="1"/>
  <c r="D3106" i="1"/>
  <c r="C3106" i="1" s="1"/>
  <c r="P3105" i="1"/>
  <c r="D3105" i="1"/>
  <c r="C3105" i="1"/>
  <c r="P3104" i="1"/>
  <c r="D3104" i="1"/>
  <c r="C3104" i="1"/>
  <c r="P3103" i="1"/>
  <c r="D3103" i="1"/>
  <c r="C3103" i="1" s="1"/>
  <c r="P3102" i="1"/>
  <c r="D3102" i="1"/>
  <c r="C3102" i="1" s="1"/>
  <c r="P3101" i="1"/>
  <c r="D3101" i="1"/>
  <c r="C3101" i="1"/>
  <c r="P3100" i="1"/>
  <c r="D3100" i="1"/>
  <c r="C3100" i="1"/>
  <c r="P3099" i="1"/>
  <c r="D3099" i="1"/>
  <c r="C3099" i="1" s="1"/>
  <c r="P3098" i="1"/>
  <c r="D3098" i="1"/>
  <c r="C3098" i="1" s="1"/>
  <c r="P3097" i="1"/>
  <c r="D3097" i="1"/>
  <c r="C3097" i="1"/>
  <c r="P3096" i="1"/>
  <c r="D3096" i="1"/>
  <c r="C3096" i="1"/>
  <c r="P3095" i="1"/>
  <c r="D3095" i="1"/>
  <c r="C3095" i="1" s="1"/>
  <c r="P3094" i="1"/>
  <c r="M3094" i="1"/>
  <c r="D3094" i="1"/>
  <c r="C3094" i="1" s="1"/>
  <c r="P3093" i="1"/>
  <c r="D3093" i="1"/>
  <c r="C3093" i="1"/>
  <c r="P3092" i="1"/>
  <c r="D3092" i="1"/>
  <c r="C3092" i="1" s="1"/>
  <c r="P3091" i="1"/>
  <c r="D3091" i="1"/>
  <c r="C3091" i="1" s="1"/>
  <c r="P3090" i="1"/>
  <c r="D3090" i="1"/>
  <c r="C3090" i="1" s="1"/>
  <c r="P3089" i="1"/>
  <c r="D3089" i="1"/>
  <c r="C3089" i="1"/>
  <c r="P3088" i="1"/>
  <c r="D3088" i="1"/>
  <c r="C3088" i="1" s="1"/>
  <c r="P3087" i="1"/>
  <c r="D3087" i="1"/>
  <c r="C3087" i="1" s="1"/>
  <c r="P3086" i="1"/>
  <c r="D3086" i="1"/>
  <c r="C3086" i="1" s="1"/>
  <c r="P3085" i="1"/>
  <c r="D3085" i="1"/>
  <c r="C3085" i="1"/>
  <c r="P3084" i="1"/>
  <c r="D3084" i="1"/>
  <c r="C3084" i="1" s="1"/>
  <c r="P3083" i="1"/>
  <c r="D3083" i="1"/>
  <c r="C3083" i="1" s="1"/>
  <c r="P3082" i="1"/>
  <c r="D3082" i="1"/>
  <c r="C3082" i="1" s="1"/>
  <c r="P3081" i="1"/>
  <c r="D3081" i="1"/>
  <c r="C3081" i="1"/>
  <c r="P3080" i="1"/>
  <c r="D3080" i="1"/>
  <c r="C3080" i="1" s="1"/>
  <c r="P3079" i="1"/>
  <c r="D3079" i="1"/>
  <c r="C3079" i="1" s="1"/>
  <c r="P3078" i="1"/>
  <c r="D3078" i="1"/>
  <c r="C3078" i="1" s="1"/>
  <c r="P3077" i="1"/>
  <c r="L3077" i="1"/>
  <c r="D3077" i="1"/>
  <c r="C3077" i="1" s="1"/>
  <c r="P3076" i="1"/>
  <c r="L3076" i="1"/>
  <c r="D3076" i="1"/>
  <c r="C3076" i="1" s="1"/>
  <c r="P3075" i="1"/>
  <c r="D3075" i="1"/>
  <c r="C3075" i="1"/>
  <c r="P3074" i="1"/>
  <c r="D3074" i="1"/>
  <c r="C3074" i="1" s="1"/>
  <c r="P3073" i="1"/>
  <c r="D3073" i="1"/>
  <c r="C3073" i="1" s="1"/>
  <c r="P3072" i="1"/>
  <c r="D3072" i="1"/>
  <c r="C3072" i="1" s="1"/>
  <c r="P3071" i="1"/>
  <c r="D3071" i="1"/>
  <c r="C3071" i="1"/>
  <c r="P3070" i="1"/>
  <c r="D3070" i="1"/>
  <c r="C3070" i="1" s="1"/>
  <c r="P3069" i="1"/>
  <c r="D3069" i="1"/>
  <c r="C3069" i="1" s="1"/>
  <c r="P3068" i="1"/>
  <c r="D3068" i="1"/>
  <c r="C3068" i="1" s="1"/>
  <c r="P3067" i="1"/>
  <c r="D3067" i="1"/>
  <c r="C3067" i="1"/>
  <c r="P3066" i="1"/>
  <c r="D3066" i="1"/>
  <c r="C3066" i="1" s="1"/>
  <c r="P3065" i="1"/>
  <c r="D3065" i="1"/>
  <c r="C3065" i="1" s="1"/>
  <c r="P3064" i="1"/>
  <c r="D3064" i="1"/>
  <c r="C3064" i="1" s="1"/>
  <c r="P3063" i="1"/>
  <c r="D3063" i="1"/>
  <c r="C3063" i="1"/>
  <c r="P3062" i="1"/>
  <c r="D3062" i="1"/>
  <c r="C3062" i="1" s="1"/>
  <c r="P3061" i="1"/>
  <c r="D3061" i="1"/>
  <c r="C3061" i="1" s="1"/>
  <c r="P3060" i="1"/>
  <c r="D3060" i="1"/>
  <c r="C3060" i="1" s="1"/>
  <c r="P3059" i="1"/>
  <c r="D3059" i="1"/>
  <c r="C3059" i="1"/>
  <c r="P3058" i="1"/>
  <c r="D3058" i="1"/>
  <c r="C3058" i="1" s="1"/>
  <c r="P3057" i="1"/>
  <c r="D3057" i="1"/>
  <c r="C3057" i="1" s="1"/>
  <c r="P3056" i="1"/>
  <c r="D3056" i="1"/>
  <c r="C3056" i="1" s="1"/>
  <c r="P3055" i="1"/>
  <c r="D3055" i="1"/>
  <c r="C3055" i="1"/>
  <c r="P3054" i="1"/>
  <c r="D3054" i="1"/>
  <c r="C3054" i="1" s="1"/>
  <c r="P3053" i="1"/>
  <c r="D3053" i="1"/>
  <c r="C3053" i="1" s="1"/>
  <c r="P3052" i="1"/>
  <c r="D3052" i="1"/>
  <c r="C3052" i="1" s="1"/>
  <c r="P3051" i="1"/>
  <c r="D3051" i="1"/>
  <c r="C3051" i="1"/>
  <c r="P3050" i="1"/>
  <c r="D3050" i="1"/>
  <c r="C3050" i="1"/>
  <c r="P3049" i="1"/>
  <c r="D3049" i="1"/>
  <c r="C3049" i="1" s="1"/>
  <c r="P3048" i="1"/>
  <c r="D3048" i="1"/>
  <c r="C3048" i="1" s="1"/>
  <c r="P3047" i="1"/>
  <c r="D3047" i="1"/>
  <c r="C3047" i="1"/>
  <c r="P3046" i="1"/>
  <c r="D3046" i="1"/>
  <c r="C3046" i="1"/>
  <c r="P3045" i="1"/>
  <c r="D3045" i="1"/>
  <c r="C3045" i="1" s="1"/>
  <c r="P3044" i="1"/>
  <c r="D3044" i="1"/>
  <c r="C3044" i="1" s="1"/>
  <c r="P3043" i="1"/>
  <c r="D3043" i="1"/>
  <c r="C3043" i="1" s="1"/>
  <c r="P3042" i="1"/>
  <c r="D3042" i="1"/>
  <c r="C3042" i="1"/>
  <c r="P3041" i="1"/>
  <c r="D3041" i="1"/>
  <c r="C3041" i="1" s="1"/>
  <c r="P3040" i="1"/>
  <c r="D3040" i="1"/>
  <c r="C3040" i="1" s="1"/>
  <c r="P3039" i="1"/>
  <c r="D3039" i="1"/>
  <c r="C3039" i="1" s="1"/>
  <c r="P3038" i="1"/>
  <c r="D3038" i="1"/>
  <c r="C3038" i="1"/>
  <c r="P3037" i="1"/>
  <c r="D3037" i="1"/>
  <c r="C3037" i="1" s="1"/>
  <c r="P3036" i="1"/>
  <c r="D3036" i="1"/>
  <c r="C3036" i="1" s="1"/>
  <c r="P3035" i="1"/>
  <c r="D3035" i="1"/>
  <c r="C3035" i="1" s="1"/>
  <c r="P3034" i="1"/>
  <c r="D3034" i="1"/>
  <c r="C3034" i="1"/>
  <c r="P3033" i="1"/>
  <c r="D3033" i="1"/>
  <c r="C3033" i="1" s="1"/>
  <c r="P3032" i="1"/>
  <c r="D3032" i="1"/>
  <c r="C3032" i="1" s="1"/>
  <c r="P3031" i="1"/>
  <c r="D3031" i="1"/>
  <c r="C3031" i="1" s="1"/>
  <c r="P3030" i="1"/>
  <c r="D3030" i="1"/>
  <c r="C3030" i="1"/>
  <c r="P3029" i="1"/>
  <c r="D3029" i="1"/>
  <c r="C3029" i="1" s="1"/>
  <c r="P3028" i="1"/>
  <c r="D3028" i="1"/>
  <c r="C3028" i="1" s="1"/>
  <c r="P3027" i="1"/>
  <c r="D3027" i="1"/>
  <c r="C3027" i="1" s="1"/>
  <c r="P3026" i="1"/>
  <c r="D3026" i="1"/>
  <c r="C3026" i="1"/>
  <c r="P3025" i="1"/>
  <c r="D3025" i="1"/>
  <c r="C3025" i="1" s="1"/>
  <c r="P3024" i="1"/>
  <c r="D3024" i="1"/>
  <c r="C3024" i="1" s="1"/>
  <c r="P3023" i="1"/>
  <c r="D3023" i="1"/>
  <c r="C3023" i="1" s="1"/>
  <c r="P3022" i="1"/>
  <c r="D3022" i="1"/>
  <c r="C3022" i="1"/>
  <c r="P3021" i="1"/>
  <c r="D3021" i="1"/>
  <c r="C3021" i="1" s="1"/>
  <c r="P3020" i="1"/>
  <c r="D3020" i="1"/>
  <c r="C3020" i="1" s="1"/>
  <c r="P3019" i="1"/>
  <c r="D3019" i="1"/>
  <c r="C3019" i="1" s="1"/>
  <c r="P3018" i="1"/>
  <c r="D3018" i="1"/>
  <c r="C3018" i="1"/>
  <c r="P3017" i="1"/>
  <c r="D3017" i="1"/>
  <c r="C3017" i="1" s="1"/>
  <c r="P3016" i="1"/>
  <c r="M3016" i="1"/>
  <c r="D3016" i="1"/>
  <c r="C3016" i="1" s="1"/>
  <c r="P3015" i="1"/>
  <c r="D3015" i="1"/>
  <c r="C3015" i="1"/>
  <c r="P3014" i="1"/>
  <c r="D3014" i="1"/>
  <c r="C3014" i="1" s="1"/>
  <c r="P3013" i="1"/>
  <c r="D3013" i="1"/>
  <c r="C3013" i="1"/>
  <c r="P3012" i="1"/>
  <c r="D3012" i="1"/>
  <c r="C3012" i="1" s="1"/>
  <c r="P3011" i="1"/>
  <c r="D3011" i="1"/>
  <c r="C3011" i="1"/>
  <c r="P3010" i="1"/>
  <c r="D3010" i="1"/>
  <c r="C3010" i="1" s="1"/>
  <c r="P3009" i="1"/>
  <c r="D3009" i="1"/>
  <c r="C3009" i="1" s="1"/>
  <c r="P3008" i="1"/>
  <c r="D3008" i="1"/>
  <c r="C3008" i="1" s="1"/>
  <c r="P3007" i="1"/>
  <c r="L3007" i="1"/>
  <c r="D3007" i="1"/>
  <c r="C3007" i="1" s="1"/>
  <c r="P3006" i="1"/>
  <c r="D3006" i="1"/>
  <c r="C3006" i="1"/>
  <c r="P3005" i="1"/>
  <c r="D3005" i="1"/>
  <c r="C3005" i="1" s="1"/>
  <c r="P3004" i="1"/>
  <c r="D3004" i="1"/>
  <c r="C3004" i="1"/>
  <c r="P3003" i="1"/>
  <c r="D3003" i="1"/>
  <c r="C3003" i="1" s="1"/>
  <c r="P3002" i="1"/>
  <c r="D3002" i="1"/>
  <c r="C3002" i="1"/>
  <c r="P3001" i="1"/>
  <c r="D3001" i="1"/>
  <c r="C3001" i="1" s="1"/>
  <c r="P3000" i="1"/>
  <c r="D3000" i="1"/>
  <c r="C3000" i="1"/>
  <c r="P2999" i="1"/>
  <c r="D2999" i="1"/>
  <c r="C2999" i="1" s="1"/>
  <c r="P2998" i="1"/>
  <c r="D2998" i="1"/>
  <c r="C2998" i="1"/>
  <c r="P2997" i="1"/>
  <c r="D2997" i="1"/>
  <c r="C2997" i="1" s="1"/>
  <c r="P2996" i="1"/>
  <c r="D2996" i="1"/>
  <c r="C2996" i="1"/>
  <c r="P2995" i="1"/>
  <c r="D2995" i="1"/>
  <c r="C2995" i="1" s="1"/>
  <c r="P2994" i="1"/>
  <c r="D2994" i="1"/>
  <c r="C2994" i="1"/>
  <c r="P2993" i="1"/>
  <c r="D2993" i="1"/>
  <c r="C2993" i="1" s="1"/>
  <c r="P2992" i="1"/>
  <c r="D2992" i="1"/>
  <c r="C2992" i="1"/>
  <c r="P2991" i="1"/>
  <c r="D2991" i="1"/>
  <c r="C2991" i="1" s="1"/>
  <c r="P2990" i="1"/>
  <c r="D2990" i="1"/>
  <c r="C2990" i="1"/>
  <c r="P2989" i="1"/>
  <c r="D2989" i="1"/>
  <c r="C2989" i="1" s="1"/>
  <c r="P2988" i="1"/>
  <c r="D2988" i="1"/>
  <c r="C2988" i="1"/>
  <c r="P2987" i="1"/>
  <c r="D2987" i="1"/>
  <c r="C2987" i="1" s="1"/>
  <c r="P2986" i="1"/>
  <c r="D2986" i="1"/>
  <c r="C2986" i="1"/>
  <c r="P2985" i="1"/>
  <c r="D2985" i="1"/>
  <c r="C2985" i="1" s="1"/>
  <c r="P2984" i="1"/>
  <c r="D2984" i="1"/>
  <c r="C2984" i="1"/>
  <c r="P2983" i="1"/>
  <c r="D2983" i="1"/>
  <c r="C2983" i="1" s="1"/>
  <c r="P2982" i="1"/>
  <c r="D2982" i="1"/>
  <c r="C2982" i="1"/>
  <c r="P2981" i="1"/>
  <c r="D2981" i="1"/>
  <c r="C2981" i="1" s="1"/>
  <c r="P2980" i="1"/>
  <c r="D2980" i="1"/>
  <c r="C2980" i="1"/>
  <c r="P2979" i="1"/>
  <c r="D2979" i="1"/>
  <c r="C2979" i="1" s="1"/>
  <c r="P2978" i="1"/>
  <c r="D2978" i="1"/>
  <c r="C2978" i="1"/>
  <c r="P2977" i="1"/>
  <c r="D2977" i="1"/>
  <c r="C2977" i="1" s="1"/>
  <c r="P2976" i="1"/>
  <c r="D2976" i="1"/>
  <c r="C2976" i="1"/>
  <c r="P2975" i="1"/>
  <c r="D2975" i="1"/>
  <c r="C2975" i="1" s="1"/>
  <c r="P2974" i="1"/>
  <c r="D2974" i="1"/>
  <c r="C2974" i="1"/>
  <c r="P2973" i="1"/>
  <c r="D2973" i="1"/>
  <c r="C2973" i="1" s="1"/>
  <c r="P2972" i="1"/>
  <c r="D2972" i="1"/>
  <c r="C2972" i="1"/>
  <c r="P2971" i="1"/>
  <c r="D2971" i="1"/>
  <c r="C2971" i="1" s="1"/>
  <c r="P2970" i="1"/>
  <c r="D2970" i="1"/>
  <c r="C2970" i="1"/>
  <c r="P2969" i="1"/>
  <c r="D2969" i="1"/>
  <c r="C2969" i="1" s="1"/>
  <c r="P2968" i="1"/>
  <c r="D2968" i="1"/>
  <c r="C2968" i="1"/>
  <c r="P2967" i="1"/>
  <c r="D2967" i="1"/>
  <c r="C2967" i="1" s="1"/>
  <c r="P2966" i="1"/>
  <c r="D2966" i="1"/>
  <c r="C2966" i="1"/>
  <c r="P2965" i="1"/>
  <c r="D2965" i="1"/>
  <c r="C2965" i="1" s="1"/>
  <c r="P2964" i="1"/>
  <c r="D2964" i="1"/>
  <c r="C2964" i="1"/>
  <c r="P2963" i="1"/>
  <c r="D2963" i="1"/>
  <c r="C2963" i="1" s="1"/>
  <c r="P2962" i="1"/>
  <c r="D2962" i="1"/>
  <c r="C2962" i="1"/>
  <c r="P2961" i="1"/>
  <c r="D2961" i="1"/>
  <c r="C2961" i="1" s="1"/>
  <c r="P2960" i="1"/>
  <c r="D2960" i="1"/>
  <c r="C2960" i="1"/>
  <c r="P2959" i="1"/>
  <c r="D2959" i="1"/>
  <c r="C2959" i="1" s="1"/>
  <c r="P2958" i="1"/>
  <c r="D2958" i="1"/>
  <c r="C2958" i="1"/>
  <c r="P2957" i="1"/>
  <c r="D2957" i="1"/>
  <c r="C2957" i="1" s="1"/>
  <c r="P2956" i="1"/>
  <c r="D2956" i="1"/>
  <c r="C2956" i="1"/>
  <c r="P2955" i="1"/>
  <c r="D2955" i="1"/>
  <c r="C2955" i="1" s="1"/>
  <c r="P2954" i="1"/>
  <c r="D2954" i="1"/>
  <c r="C2954" i="1"/>
  <c r="P2953" i="1"/>
  <c r="D2953" i="1"/>
  <c r="C2953" i="1" s="1"/>
  <c r="P2952" i="1"/>
  <c r="D2952" i="1"/>
  <c r="C2952" i="1"/>
  <c r="P2951" i="1"/>
  <c r="D2951" i="1"/>
  <c r="C2951" i="1" s="1"/>
  <c r="P2950" i="1"/>
  <c r="D2950" i="1"/>
  <c r="C2950" i="1"/>
  <c r="P2949" i="1"/>
  <c r="D2949" i="1"/>
  <c r="C2949" i="1" s="1"/>
  <c r="P2948" i="1"/>
  <c r="D2948" i="1"/>
  <c r="C2948" i="1"/>
  <c r="P2947" i="1"/>
  <c r="D2947" i="1"/>
  <c r="C2947" i="1" s="1"/>
  <c r="P2946" i="1"/>
  <c r="D2946" i="1"/>
  <c r="C2946" i="1"/>
  <c r="P2945" i="1"/>
  <c r="D2945" i="1"/>
  <c r="C2945" i="1" s="1"/>
  <c r="P2944" i="1"/>
  <c r="D2944" i="1"/>
  <c r="C2944" i="1"/>
  <c r="P2943" i="1"/>
  <c r="D2943" i="1"/>
  <c r="C2943" i="1" s="1"/>
  <c r="P2942" i="1"/>
  <c r="D2942" i="1"/>
  <c r="C2942" i="1"/>
  <c r="P2941" i="1"/>
  <c r="D2941" i="1"/>
  <c r="C2941" i="1" s="1"/>
  <c r="P2940" i="1"/>
  <c r="D2940" i="1"/>
  <c r="C2940" i="1"/>
  <c r="P2939" i="1"/>
  <c r="D2939" i="1"/>
  <c r="C2939" i="1" s="1"/>
  <c r="P2938" i="1"/>
  <c r="D2938" i="1"/>
  <c r="C2938" i="1"/>
  <c r="P2937" i="1"/>
  <c r="D2937" i="1"/>
  <c r="C2937" i="1" s="1"/>
  <c r="P2936" i="1"/>
  <c r="D2936" i="1"/>
  <c r="C2936" i="1"/>
  <c r="P2935" i="1"/>
  <c r="D2935" i="1"/>
  <c r="C2935" i="1" s="1"/>
  <c r="P2934" i="1"/>
  <c r="D2934" i="1"/>
  <c r="C2934" i="1"/>
  <c r="P2933" i="1"/>
  <c r="M2933" i="1"/>
  <c r="D2933" i="1"/>
  <c r="C2933" i="1"/>
  <c r="P2932" i="1"/>
  <c r="D2932" i="1"/>
  <c r="C2932" i="1" s="1"/>
  <c r="P2931" i="1"/>
  <c r="L2931" i="1"/>
  <c r="D2931" i="1"/>
  <c r="C2931" i="1" s="1"/>
  <c r="P2930" i="1"/>
  <c r="D2930" i="1"/>
  <c r="C2930" i="1"/>
  <c r="P2929" i="1"/>
  <c r="D2929" i="1"/>
  <c r="C2929" i="1" s="1"/>
  <c r="P2928" i="1"/>
  <c r="D2928" i="1"/>
  <c r="C2928" i="1"/>
  <c r="P2927" i="1"/>
  <c r="D2927" i="1"/>
  <c r="C2927" i="1" s="1"/>
  <c r="P2926" i="1"/>
  <c r="D2926" i="1"/>
  <c r="C2926" i="1"/>
  <c r="P2925" i="1"/>
  <c r="D2925" i="1"/>
  <c r="C2925" i="1" s="1"/>
  <c r="P2924" i="1"/>
  <c r="D2924" i="1"/>
  <c r="C2924" i="1" s="1"/>
  <c r="R2923" i="1"/>
  <c r="P2923" i="1"/>
  <c r="D2923" i="1"/>
  <c r="C2923" i="1" s="1"/>
  <c r="P2922" i="1"/>
  <c r="L2922" i="1"/>
  <c r="M2924" i="1" s="1"/>
  <c r="D2922" i="1"/>
  <c r="C2922" i="1" s="1"/>
  <c r="P2921" i="1"/>
  <c r="D2921" i="1"/>
  <c r="C2921" i="1"/>
  <c r="P2920" i="1"/>
  <c r="D2920" i="1"/>
  <c r="C2920" i="1" s="1"/>
  <c r="P2919" i="1"/>
  <c r="D2919" i="1"/>
  <c r="C2919" i="1"/>
  <c r="P2918" i="1"/>
  <c r="M2918" i="1"/>
  <c r="D2918" i="1"/>
  <c r="C2918" i="1"/>
  <c r="P2917" i="1"/>
  <c r="D2917" i="1"/>
  <c r="C2917" i="1" s="1"/>
  <c r="P2916" i="1"/>
  <c r="D2916" i="1"/>
  <c r="C2916" i="1"/>
  <c r="P2915" i="1"/>
  <c r="D2915" i="1"/>
  <c r="C2915" i="1" s="1"/>
  <c r="P2914" i="1"/>
  <c r="D2914" i="1"/>
  <c r="C2914" i="1"/>
  <c r="P2913" i="1"/>
  <c r="D2913" i="1"/>
  <c r="C2913" i="1" s="1"/>
  <c r="R2912" i="1"/>
  <c r="P2912" i="1"/>
  <c r="D2912" i="1"/>
  <c r="C2912" i="1"/>
  <c r="R2911" i="1"/>
  <c r="P2911" i="1"/>
  <c r="D2911" i="1"/>
  <c r="C2911" i="1"/>
  <c r="P2910" i="1"/>
  <c r="L2910" i="1"/>
  <c r="M2912" i="1" s="1"/>
  <c r="D2910" i="1"/>
  <c r="C2910" i="1"/>
  <c r="P2909" i="1"/>
  <c r="D2909" i="1"/>
  <c r="C2909" i="1" s="1"/>
  <c r="P2908" i="1"/>
  <c r="D2908" i="1"/>
  <c r="C2908" i="1"/>
  <c r="P2907" i="1"/>
  <c r="D2907" i="1"/>
  <c r="C2907" i="1" s="1"/>
  <c r="P2906" i="1"/>
  <c r="M2906" i="1"/>
  <c r="D2906" i="1"/>
  <c r="C2906" i="1" s="1"/>
  <c r="P2905" i="1"/>
  <c r="D2905" i="1"/>
  <c r="C2905" i="1"/>
  <c r="P2904" i="1"/>
  <c r="D2904" i="1"/>
  <c r="C2904" i="1" s="1"/>
  <c r="P2903" i="1"/>
  <c r="D2903" i="1"/>
  <c r="C2903" i="1"/>
  <c r="P2902" i="1"/>
  <c r="D2902" i="1"/>
  <c r="C2902" i="1" s="1"/>
  <c r="P2901" i="1"/>
  <c r="D2901" i="1"/>
  <c r="C2901" i="1"/>
  <c r="P2900" i="1"/>
  <c r="M2900" i="1"/>
  <c r="D2900" i="1"/>
  <c r="C2900" i="1"/>
  <c r="P2899" i="1"/>
  <c r="D2899" i="1"/>
  <c r="C2899" i="1" s="1"/>
  <c r="P2898" i="1"/>
  <c r="D2898" i="1"/>
  <c r="C2898" i="1"/>
  <c r="P2897" i="1"/>
  <c r="D2897" i="1"/>
  <c r="C2897" i="1" s="1"/>
  <c r="P2896" i="1"/>
  <c r="D2896" i="1"/>
  <c r="C2896" i="1"/>
  <c r="P2895" i="1"/>
  <c r="D2895" i="1"/>
  <c r="C2895" i="1" s="1"/>
  <c r="P2894" i="1"/>
  <c r="D2894" i="1"/>
  <c r="C2894" i="1"/>
  <c r="P2893" i="1"/>
  <c r="D2893" i="1"/>
  <c r="C2893" i="1" s="1"/>
  <c r="P2892" i="1"/>
  <c r="D2892" i="1"/>
  <c r="C2892" i="1"/>
  <c r="P2891" i="1"/>
  <c r="D2891" i="1"/>
  <c r="C2891" i="1" s="1"/>
  <c r="P2890" i="1"/>
  <c r="L2890" i="1"/>
  <c r="D2890" i="1"/>
  <c r="C2890" i="1" s="1"/>
  <c r="P2889" i="1"/>
  <c r="M2889" i="1"/>
  <c r="D2889" i="1"/>
  <c r="C2889" i="1" s="1"/>
  <c r="P2888" i="1"/>
  <c r="D2888" i="1"/>
  <c r="C2888" i="1"/>
  <c r="P2887" i="1"/>
  <c r="L2887" i="1"/>
  <c r="D2887" i="1"/>
  <c r="C2887" i="1"/>
  <c r="P2886" i="1"/>
  <c r="D2886" i="1"/>
  <c r="C2886" i="1" s="1"/>
  <c r="P2885" i="1"/>
  <c r="D2885" i="1"/>
  <c r="C2885" i="1"/>
  <c r="P2884" i="1"/>
  <c r="D2884" i="1"/>
  <c r="C2884" i="1" s="1"/>
  <c r="P2883" i="1"/>
  <c r="D2883" i="1"/>
  <c r="C2883" i="1"/>
  <c r="P2882" i="1"/>
  <c r="D2882" i="1"/>
  <c r="C2882" i="1" s="1"/>
  <c r="P2881" i="1"/>
  <c r="D2881" i="1"/>
  <c r="C2881" i="1"/>
  <c r="P2880" i="1"/>
  <c r="D2880" i="1"/>
  <c r="C2880" i="1" s="1"/>
  <c r="P2879" i="1"/>
  <c r="D2879" i="1"/>
  <c r="C2879" i="1"/>
  <c r="P2878" i="1"/>
  <c r="D2878" i="1"/>
  <c r="C2878" i="1" s="1"/>
  <c r="P2877" i="1"/>
  <c r="D2877" i="1"/>
  <c r="C2877" i="1"/>
  <c r="P2876" i="1"/>
  <c r="D2876" i="1"/>
  <c r="C2876" i="1" s="1"/>
  <c r="P2875" i="1"/>
  <c r="D2875" i="1"/>
  <c r="C2875" i="1"/>
  <c r="P2874" i="1"/>
  <c r="D2874" i="1"/>
  <c r="C2874" i="1" s="1"/>
  <c r="P2873" i="1"/>
  <c r="D2873" i="1"/>
  <c r="C2873" i="1"/>
  <c r="P2872" i="1"/>
  <c r="D2872" i="1"/>
  <c r="C2872" i="1" s="1"/>
  <c r="P2871" i="1"/>
  <c r="D2871" i="1"/>
  <c r="C2871" i="1"/>
  <c r="P2870" i="1"/>
  <c r="D2870" i="1"/>
  <c r="C2870" i="1" s="1"/>
  <c r="P2869" i="1"/>
  <c r="D2869" i="1"/>
  <c r="C2869" i="1"/>
  <c r="P2868" i="1"/>
  <c r="D2868" i="1"/>
  <c r="C2868" i="1" s="1"/>
  <c r="P2867" i="1"/>
  <c r="D2867" i="1"/>
  <c r="C2867" i="1"/>
  <c r="P2866" i="1"/>
  <c r="D2866" i="1"/>
  <c r="C2866" i="1" s="1"/>
  <c r="P2865" i="1"/>
  <c r="D2865" i="1"/>
  <c r="C2865" i="1"/>
  <c r="P2864" i="1"/>
  <c r="D2864" i="1"/>
  <c r="C2864" i="1" s="1"/>
  <c r="P2863" i="1"/>
  <c r="D2863" i="1"/>
  <c r="C2863" i="1"/>
  <c r="P2862" i="1"/>
  <c r="D2862" i="1"/>
  <c r="C2862" i="1" s="1"/>
  <c r="P2861" i="1"/>
  <c r="D2861" i="1"/>
  <c r="C2861" i="1"/>
  <c r="P2860" i="1"/>
  <c r="D2860" i="1"/>
  <c r="C2860" i="1" s="1"/>
  <c r="P2859" i="1"/>
  <c r="D2859" i="1"/>
  <c r="C2859" i="1"/>
  <c r="P2858" i="1"/>
  <c r="D2858" i="1"/>
  <c r="C2858" i="1" s="1"/>
  <c r="P2857" i="1"/>
  <c r="D2857" i="1"/>
  <c r="C2857" i="1"/>
  <c r="P2856" i="1"/>
  <c r="D2856" i="1"/>
  <c r="C2856" i="1" s="1"/>
  <c r="P2855" i="1"/>
  <c r="D2855" i="1"/>
  <c r="C2855" i="1"/>
  <c r="P2854" i="1"/>
  <c r="D2854" i="1"/>
  <c r="C2854" i="1" s="1"/>
  <c r="P2853" i="1"/>
  <c r="D2853" i="1"/>
  <c r="C2853" i="1"/>
  <c r="P2852" i="1"/>
  <c r="D2852" i="1"/>
  <c r="C2852" i="1" s="1"/>
  <c r="P2851" i="1"/>
  <c r="D2851" i="1"/>
  <c r="C2851" i="1"/>
  <c r="P2850" i="1"/>
  <c r="D2850" i="1"/>
  <c r="C2850" i="1" s="1"/>
  <c r="P2849" i="1"/>
  <c r="D2849" i="1"/>
  <c r="C2849" i="1"/>
  <c r="P2848" i="1"/>
  <c r="D2848" i="1"/>
  <c r="C2848" i="1" s="1"/>
  <c r="P2847" i="1"/>
  <c r="D2847" i="1"/>
  <c r="C2847" i="1"/>
  <c r="P2846" i="1"/>
  <c r="D2846" i="1"/>
  <c r="C2846" i="1" s="1"/>
  <c r="P2845" i="1"/>
  <c r="D2845" i="1"/>
  <c r="C2845" i="1"/>
  <c r="P2844" i="1"/>
  <c r="D2844" i="1"/>
  <c r="C2844" i="1" s="1"/>
  <c r="P2843" i="1"/>
  <c r="D2843" i="1"/>
  <c r="C2843" i="1"/>
  <c r="P2842" i="1"/>
  <c r="D2842" i="1"/>
  <c r="C2842" i="1" s="1"/>
  <c r="P2841" i="1"/>
  <c r="D2841" i="1"/>
  <c r="C2841" i="1"/>
  <c r="P2840" i="1"/>
  <c r="D2840" i="1"/>
  <c r="C2840" i="1" s="1"/>
  <c r="P2839" i="1"/>
  <c r="D2839" i="1"/>
  <c r="C2839" i="1"/>
  <c r="P2838" i="1"/>
  <c r="D2838" i="1"/>
  <c r="C2838" i="1" s="1"/>
  <c r="P2837" i="1"/>
  <c r="D2837" i="1"/>
  <c r="C2837" i="1"/>
  <c r="P2836" i="1"/>
  <c r="D2836" i="1"/>
  <c r="C2836" i="1" s="1"/>
  <c r="P2835" i="1"/>
  <c r="D2835" i="1"/>
  <c r="C2835" i="1"/>
  <c r="P2834" i="1"/>
  <c r="D2834" i="1"/>
  <c r="C2834" i="1" s="1"/>
  <c r="P2833" i="1"/>
  <c r="D2833" i="1"/>
  <c r="C2833" i="1"/>
  <c r="P2832" i="1"/>
  <c r="D2832" i="1"/>
  <c r="C2832" i="1" s="1"/>
  <c r="P2831" i="1"/>
  <c r="D2831" i="1"/>
  <c r="C2831" i="1"/>
  <c r="P2830" i="1"/>
  <c r="D2830" i="1"/>
  <c r="C2830" i="1" s="1"/>
  <c r="P2829" i="1"/>
  <c r="D2829" i="1"/>
  <c r="C2829" i="1" s="1"/>
  <c r="P2828" i="1"/>
  <c r="D2828" i="1"/>
  <c r="C2828" i="1" s="1"/>
  <c r="P2827" i="1"/>
  <c r="D2827" i="1"/>
  <c r="C2827" i="1"/>
  <c r="P2826" i="1"/>
  <c r="D2826" i="1"/>
  <c r="C2826" i="1" s="1"/>
  <c r="P2825" i="1"/>
  <c r="D2825" i="1"/>
  <c r="C2825" i="1"/>
  <c r="P2824" i="1"/>
  <c r="D2824" i="1"/>
  <c r="C2824" i="1" s="1"/>
  <c r="P2823" i="1"/>
  <c r="D2823" i="1"/>
  <c r="C2823" i="1"/>
  <c r="P2822" i="1"/>
  <c r="D2822" i="1"/>
  <c r="C2822" i="1" s="1"/>
  <c r="P2821" i="1"/>
  <c r="D2821" i="1"/>
  <c r="C2821" i="1"/>
  <c r="P2820" i="1"/>
  <c r="D2820" i="1"/>
  <c r="C2820" i="1" s="1"/>
  <c r="P2819" i="1"/>
  <c r="D2819" i="1"/>
  <c r="C2819" i="1"/>
  <c r="P2818" i="1"/>
  <c r="D2818" i="1"/>
  <c r="C2818" i="1" s="1"/>
  <c r="P2817" i="1"/>
  <c r="D2817" i="1"/>
  <c r="C2817" i="1"/>
  <c r="P2816" i="1"/>
  <c r="D2816" i="1"/>
  <c r="C2816" i="1" s="1"/>
  <c r="P2815" i="1"/>
  <c r="D2815" i="1"/>
  <c r="C2815" i="1"/>
  <c r="P2814" i="1"/>
  <c r="D2814" i="1"/>
  <c r="C2814" i="1" s="1"/>
  <c r="P2813" i="1"/>
  <c r="D2813" i="1"/>
  <c r="C2813" i="1"/>
  <c r="P2812" i="1"/>
  <c r="D2812" i="1"/>
  <c r="C2812" i="1" s="1"/>
  <c r="P2811" i="1"/>
  <c r="D2811" i="1"/>
  <c r="C2811" i="1"/>
  <c r="P2810" i="1"/>
  <c r="D2810" i="1"/>
  <c r="C2810" i="1" s="1"/>
  <c r="P2809" i="1"/>
  <c r="D2809" i="1"/>
  <c r="C2809" i="1"/>
  <c r="P2808" i="1"/>
  <c r="D2808" i="1"/>
  <c r="C2808" i="1" s="1"/>
  <c r="P2807" i="1"/>
  <c r="D2807" i="1"/>
  <c r="C2807" i="1"/>
  <c r="P2806" i="1"/>
  <c r="D2806" i="1"/>
  <c r="C2806" i="1" s="1"/>
  <c r="P2805" i="1"/>
  <c r="D2805" i="1"/>
  <c r="C2805" i="1"/>
  <c r="P2804" i="1"/>
  <c r="D2804" i="1"/>
  <c r="C2804" i="1" s="1"/>
  <c r="P2803" i="1"/>
  <c r="D2803" i="1"/>
  <c r="C2803" i="1"/>
  <c r="P2802" i="1"/>
  <c r="D2802" i="1"/>
  <c r="C2802" i="1" s="1"/>
  <c r="P2801" i="1"/>
  <c r="D2801" i="1"/>
  <c r="C2801" i="1"/>
  <c r="P2800" i="1"/>
  <c r="D2800" i="1"/>
  <c r="C2800" i="1" s="1"/>
  <c r="P2799" i="1"/>
  <c r="D2799" i="1"/>
  <c r="C2799" i="1"/>
  <c r="P2798" i="1"/>
  <c r="D2798" i="1"/>
  <c r="C2798" i="1" s="1"/>
  <c r="P2797" i="1"/>
  <c r="D2797" i="1"/>
  <c r="C2797" i="1"/>
  <c r="P2796" i="1"/>
  <c r="D2796" i="1"/>
  <c r="C2796" i="1" s="1"/>
  <c r="P2795" i="1"/>
  <c r="D2795" i="1"/>
  <c r="C2795" i="1"/>
  <c r="P2794" i="1"/>
  <c r="D2794" i="1"/>
  <c r="C2794" i="1" s="1"/>
  <c r="P2793" i="1"/>
  <c r="D2793" i="1"/>
  <c r="C2793" i="1"/>
  <c r="P2792" i="1"/>
  <c r="D2792" i="1"/>
  <c r="C2792" i="1" s="1"/>
  <c r="P2791" i="1"/>
  <c r="D2791" i="1"/>
  <c r="C2791" i="1"/>
  <c r="P2790" i="1"/>
  <c r="D2790" i="1"/>
  <c r="C2790" i="1" s="1"/>
  <c r="P2789" i="1"/>
  <c r="D2789" i="1"/>
  <c r="C2789" i="1"/>
  <c r="P2788" i="1"/>
  <c r="D2788" i="1"/>
  <c r="C2788" i="1" s="1"/>
  <c r="P2787" i="1"/>
  <c r="D2787" i="1"/>
  <c r="C2787" i="1"/>
  <c r="P2786" i="1"/>
  <c r="D2786" i="1"/>
  <c r="C2786" i="1" s="1"/>
  <c r="P2785" i="1"/>
  <c r="D2785" i="1"/>
  <c r="C2785" i="1"/>
  <c r="P2784" i="1"/>
  <c r="D2784" i="1"/>
  <c r="C2784" i="1" s="1"/>
  <c r="P2783" i="1"/>
  <c r="D2783" i="1"/>
  <c r="C2783" i="1"/>
  <c r="P2782" i="1"/>
  <c r="D2782" i="1"/>
  <c r="C2782" i="1" s="1"/>
  <c r="P2781" i="1"/>
  <c r="D2781" i="1"/>
  <c r="C2781" i="1"/>
  <c r="P2780" i="1"/>
  <c r="D2780" i="1"/>
  <c r="C2780" i="1" s="1"/>
  <c r="P2779" i="1"/>
  <c r="D2779" i="1"/>
  <c r="C2779" i="1"/>
  <c r="P2778" i="1"/>
  <c r="D2778" i="1"/>
  <c r="C2778" i="1" s="1"/>
  <c r="P2777" i="1"/>
  <c r="D2777" i="1"/>
  <c r="C2777" i="1"/>
  <c r="P2776" i="1"/>
  <c r="D2776" i="1"/>
  <c r="C2776" i="1" s="1"/>
  <c r="P2775" i="1"/>
  <c r="D2775" i="1"/>
  <c r="C2775" i="1"/>
  <c r="P2774" i="1"/>
  <c r="D2774" i="1"/>
  <c r="C2774" i="1" s="1"/>
  <c r="P2773" i="1"/>
  <c r="D2773" i="1"/>
  <c r="C2773" i="1"/>
  <c r="P2772" i="1"/>
  <c r="D2772" i="1"/>
  <c r="C2772" i="1" s="1"/>
  <c r="P2771" i="1"/>
  <c r="D2771" i="1"/>
  <c r="C2771" i="1"/>
  <c r="P2770" i="1"/>
  <c r="D2770" i="1"/>
  <c r="C2770" i="1" s="1"/>
  <c r="P2769" i="1"/>
  <c r="D2769" i="1"/>
  <c r="C2769" i="1"/>
  <c r="P2768" i="1"/>
  <c r="D2768" i="1"/>
  <c r="C2768" i="1" s="1"/>
  <c r="P2767" i="1"/>
  <c r="D2767" i="1"/>
  <c r="C2767" i="1"/>
  <c r="P2766" i="1"/>
  <c r="D2766" i="1"/>
  <c r="C2766" i="1" s="1"/>
  <c r="P2765" i="1"/>
  <c r="D2765" i="1"/>
  <c r="C2765" i="1"/>
  <c r="P2764" i="1"/>
  <c r="D2764" i="1"/>
  <c r="C2764" i="1" s="1"/>
  <c r="P2763" i="1"/>
  <c r="D2763" i="1"/>
  <c r="C2763" i="1"/>
  <c r="P2762" i="1"/>
  <c r="D2762" i="1"/>
  <c r="C2762" i="1" s="1"/>
  <c r="P2761" i="1"/>
  <c r="D2761" i="1"/>
  <c r="C2761" i="1"/>
  <c r="P2760" i="1"/>
  <c r="D2760" i="1"/>
  <c r="C2760" i="1" s="1"/>
  <c r="P2759" i="1"/>
  <c r="D2759" i="1"/>
  <c r="C2759" i="1"/>
  <c r="P2758" i="1"/>
  <c r="D2758" i="1"/>
  <c r="C2758" i="1" s="1"/>
  <c r="P2757" i="1"/>
  <c r="D2757" i="1"/>
  <c r="C2757" i="1"/>
  <c r="P2756" i="1"/>
  <c r="D2756" i="1"/>
  <c r="C2756" i="1" s="1"/>
  <c r="P2755" i="1"/>
  <c r="D2755" i="1"/>
  <c r="C2755" i="1"/>
  <c r="P2754" i="1"/>
  <c r="D2754" i="1"/>
  <c r="C2754" i="1" s="1"/>
  <c r="P2753" i="1"/>
  <c r="D2753" i="1"/>
  <c r="C2753" i="1"/>
  <c r="P2752" i="1"/>
  <c r="D2752" i="1"/>
  <c r="C2752" i="1" s="1"/>
  <c r="P2751" i="1"/>
  <c r="D2751" i="1"/>
  <c r="C2751" i="1"/>
  <c r="P2750" i="1"/>
  <c r="D2750" i="1"/>
  <c r="C2750" i="1" s="1"/>
  <c r="P2749" i="1"/>
  <c r="D2749" i="1"/>
  <c r="C2749" i="1"/>
  <c r="P2748" i="1"/>
  <c r="D2748" i="1"/>
  <c r="C2748" i="1" s="1"/>
  <c r="P2747" i="1"/>
  <c r="D2747" i="1"/>
  <c r="C2747" i="1"/>
  <c r="P2746" i="1"/>
  <c r="D2746" i="1"/>
  <c r="C2746" i="1" s="1"/>
  <c r="P2745" i="1"/>
  <c r="D2745" i="1"/>
  <c r="C2745" i="1"/>
  <c r="P2744" i="1"/>
  <c r="D2744" i="1"/>
  <c r="C2744" i="1" s="1"/>
  <c r="P2743" i="1"/>
  <c r="D2743" i="1"/>
  <c r="C2743" i="1"/>
  <c r="P2742" i="1"/>
  <c r="D2742" i="1"/>
  <c r="C2742" i="1" s="1"/>
  <c r="P2741" i="1"/>
  <c r="D2741" i="1"/>
  <c r="C2741" i="1"/>
  <c r="P2740" i="1"/>
  <c r="D2740" i="1"/>
  <c r="C2740" i="1" s="1"/>
  <c r="P2739" i="1"/>
  <c r="D2739" i="1"/>
  <c r="C2739" i="1"/>
  <c r="P2738" i="1"/>
  <c r="D2738" i="1"/>
  <c r="C2738" i="1" s="1"/>
  <c r="P2737" i="1"/>
  <c r="D2737" i="1"/>
  <c r="C2737" i="1"/>
  <c r="P2736" i="1"/>
  <c r="D2736" i="1"/>
  <c r="C2736" i="1" s="1"/>
  <c r="P2735" i="1"/>
  <c r="D2735" i="1"/>
  <c r="C2735" i="1"/>
  <c r="P2734" i="1"/>
  <c r="D2734" i="1"/>
  <c r="C2734" i="1" s="1"/>
  <c r="P2733" i="1"/>
  <c r="D2733" i="1"/>
  <c r="C2733" i="1"/>
  <c r="P2732" i="1"/>
  <c r="D2732" i="1"/>
  <c r="C2732" i="1" s="1"/>
  <c r="P2731" i="1"/>
  <c r="D2731" i="1"/>
  <c r="C2731" i="1"/>
  <c r="P2730" i="1"/>
  <c r="D2730" i="1"/>
  <c r="C2730" i="1" s="1"/>
  <c r="P2729" i="1"/>
  <c r="D2729" i="1"/>
  <c r="C2729" i="1"/>
  <c r="P2728" i="1"/>
  <c r="D2728" i="1"/>
  <c r="C2728" i="1" s="1"/>
  <c r="P2727" i="1"/>
  <c r="D2727" i="1"/>
  <c r="C2727" i="1"/>
  <c r="P2726" i="1"/>
  <c r="D2726" i="1"/>
  <c r="C2726" i="1" s="1"/>
  <c r="P2725" i="1"/>
  <c r="D2725" i="1"/>
  <c r="C2725" i="1"/>
  <c r="P2724" i="1"/>
  <c r="D2724" i="1"/>
  <c r="C2724" i="1" s="1"/>
  <c r="P2723" i="1"/>
  <c r="D2723" i="1"/>
  <c r="C2723" i="1"/>
  <c r="P2722" i="1"/>
  <c r="D2722" i="1"/>
  <c r="C2722" i="1" s="1"/>
  <c r="P2721" i="1"/>
  <c r="D2721" i="1"/>
  <c r="C2721" i="1"/>
  <c r="P2720" i="1"/>
  <c r="D2720" i="1"/>
  <c r="C2720" i="1" s="1"/>
  <c r="P2719" i="1"/>
  <c r="D2719" i="1"/>
  <c r="C2719" i="1"/>
  <c r="P2718" i="1"/>
  <c r="D2718" i="1"/>
  <c r="C2718" i="1" s="1"/>
  <c r="P2717" i="1"/>
  <c r="D2717" i="1"/>
  <c r="C2717" i="1"/>
  <c r="P2716" i="1"/>
  <c r="D2716" i="1"/>
  <c r="C2716" i="1" s="1"/>
  <c r="P2715" i="1"/>
  <c r="D2715" i="1"/>
  <c r="C2715" i="1"/>
  <c r="P2714" i="1"/>
  <c r="D2714" i="1"/>
  <c r="C2714" i="1" s="1"/>
  <c r="P2713" i="1"/>
  <c r="D2713" i="1"/>
  <c r="C2713" i="1"/>
  <c r="P2712" i="1"/>
  <c r="D2712" i="1"/>
  <c r="C2712" i="1" s="1"/>
  <c r="P2711" i="1"/>
  <c r="D2711" i="1"/>
  <c r="C2711" i="1"/>
  <c r="P2710" i="1"/>
  <c r="D2710" i="1"/>
  <c r="C2710" i="1" s="1"/>
  <c r="P2709" i="1"/>
  <c r="D2709" i="1"/>
  <c r="C2709" i="1"/>
  <c r="P2708" i="1"/>
  <c r="D2708" i="1"/>
  <c r="C2708" i="1" s="1"/>
  <c r="P2707" i="1"/>
  <c r="D2707" i="1"/>
  <c r="C2707" i="1"/>
  <c r="P2706" i="1"/>
  <c r="D2706" i="1"/>
  <c r="C2706" i="1" s="1"/>
  <c r="P2705" i="1"/>
  <c r="D2705" i="1"/>
  <c r="C2705" i="1"/>
  <c r="P2704" i="1"/>
  <c r="D2704" i="1"/>
  <c r="C2704" i="1" s="1"/>
  <c r="P2703" i="1"/>
  <c r="D2703" i="1"/>
  <c r="C2703" i="1"/>
  <c r="P2702" i="1"/>
  <c r="D2702" i="1"/>
  <c r="C2702" i="1" s="1"/>
  <c r="P2701" i="1"/>
  <c r="D2701" i="1"/>
  <c r="C2701" i="1"/>
  <c r="P2700" i="1"/>
  <c r="D2700" i="1"/>
  <c r="C2700" i="1" s="1"/>
  <c r="P2699" i="1"/>
  <c r="D2699" i="1"/>
  <c r="C2699" i="1"/>
  <c r="P2698" i="1"/>
  <c r="D2698" i="1"/>
  <c r="C2698" i="1" s="1"/>
  <c r="P2697" i="1"/>
  <c r="D2697" i="1"/>
  <c r="C2697" i="1"/>
  <c r="P2696" i="1"/>
  <c r="D2696" i="1"/>
  <c r="C2696" i="1" s="1"/>
  <c r="P2695" i="1"/>
  <c r="D2695" i="1"/>
  <c r="C2695" i="1"/>
  <c r="P2694" i="1"/>
  <c r="D2694" i="1"/>
  <c r="C2694" i="1" s="1"/>
  <c r="P2693" i="1"/>
  <c r="D2693" i="1"/>
  <c r="C2693" i="1"/>
  <c r="P2692" i="1"/>
  <c r="G2692" i="1"/>
  <c r="D2692" i="1"/>
  <c r="C2692" i="1"/>
  <c r="P2691" i="1"/>
  <c r="D2691" i="1"/>
  <c r="C2691" i="1" s="1"/>
  <c r="P2690" i="1"/>
  <c r="D2690" i="1"/>
  <c r="C2690" i="1"/>
  <c r="P2689" i="1"/>
  <c r="D2689" i="1"/>
  <c r="C2689" i="1"/>
  <c r="P2688" i="1"/>
  <c r="D2688" i="1"/>
  <c r="C2688" i="1"/>
  <c r="P2687" i="1"/>
  <c r="D2687" i="1"/>
  <c r="C2687" i="1" s="1"/>
  <c r="P2686" i="1"/>
  <c r="D2686" i="1"/>
  <c r="C2686" i="1"/>
  <c r="P2685" i="1"/>
  <c r="D2685" i="1"/>
  <c r="C2685" i="1"/>
  <c r="P2684" i="1"/>
  <c r="D2684" i="1"/>
  <c r="C2684" i="1"/>
  <c r="P2683" i="1"/>
  <c r="D2683" i="1"/>
  <c r="C2683" i="1" s="1"/>
  <c r="P2682" i="1"/>
  <c r="D2682" i="1"/>
  <c r="C2682" i="1"/>
  <c r="P2681" i="1"/>
  <c r="D2681" i="1"/>
  <c r="C2681" i="1"/>
  <c r="P2680" i="1"/>
  <c r="D2680" i="1"/>
  <c r="C2680" i="1"/>
  <c r="P2679" i="1"/>
  <c r="D2679" i="1"/>
  <c r="C2679" i="1" s="1"/>
  <c r="P2678" i="1"/>
  <c r="D2678" i="1"/>
  <c r="C2678" i="1"/>
  <c r="P2677" i="1"/>
  <c r="D2677" i="1"/>
  <c r="C2677" i="1"/>
  <c r="P2676" i="1"/>
  <c r="D2676" i="1"/>
  <c r="C2676" i="1"/>
  <c r="P2675" i="1"/>
  <c r="D2675" i="1"/>
  <c r="C2675" i="1" s="1"/>
  <c r="P2674" i="1"/>
  <c r="D2674" i="1"/>
  <c r="C2674" i="1"/>
  <c r="P2673" i="1"/>
  <c r="D2673" i="1"/>
  <c r="C2673" i="1"/>
  <c r="P2672" i="1"/>
  <c r="D2672" i="1"/>
  <c r="C2672" i="1"/>
  <c r="P2671" i="1"/>
  <c r="D2671" i="1"/>
  <c r="C2671" i="1" s="1"/>
  <c r="P2670" i="1"/>
  <c r="D2670" i="1"/>
  <c r="C2670" i="1" s="1"/>
  <c r="P2669" i="1"/>
  <c r="D2669" i="1"/>
  <c r="C2669" i="1"/>
  <c r="P2668" i="1"/>
  <c r="D2668" i="1"/>
  <c r="C2668" i="1"/>
  <c r="P2667" i="1"/>
  <c r="D2667" i="1"/>
  <c r="C2667" i="1"/>
  <c r="P2666" i="1"/>
  <c r="D2666" i="1"/>
  <c r="C2666" i="1" s="1"/>
  <c r="P2665" i="1"/>
  <c r="D2665" i="1"/>
  <c r="C2665" i="1"/>
  <c r="P2664" i="1"/>
  <c r="D2664" i="1"/>
  <c r="C2664" i="1"/>
  <c r="P2663" i="1"/>
  <c r="D2663" i="1"/>
  <c r="C2663" i="1"/>
  <c r="P2662" i="1"/>
  <c r="D2662" i="1"/>
  <c r="C2662" i="1" s="1"/>
  <c r="P2661" i="1"/>
  <c r="D2661" i="1"/>
  <c r="C2661" i="1"/>
  <c r="P2660" i="1"/>
  <c r="D2660" i="1"/>
  <c r="C2660" i="1"/>
  <c r="P2659" i="1"/>
  <c r="D2659" i="1"/>
  <c r="C2659" i="1"/>
  <c r="P2658" i="1"/>
  <c r="D2658" i="1"/>
  <c r="C2658" i="1" s="1"/>
  <c r="P2657" i="1"/>
  <c r="D2657" i="1"/>
  <c r="C2657" i="1"/>
  <c r="P2656" i="1"/>
  <c r="D2656" i="1"/>
  <c r="C2656" i="1"/>
  <c r="P2655" i="1"/>
  <c r="D2655" i="1"/>
  <c r="C2655" i="1"/>
  <c r="P2654" i="1"/>
  <c r="D2654" i="1"/>
  <c r="C2654" i="1" s="1"/>
  <c r="P2653" i="1"/>
  <c r="D2653" i="1"/>
  <c r="C2653" i="1"/>
  <c r="P2652" i="1"/>
  <c r="D2652" i="1"/>
  <c r="C2652" i="1"/>
  <c r="P2651" i="1"/>
  <c r="D2651" i="1"/>
  <c r="C2651" i="1"/>
  <c r="P2650" i="1"/>
  <c r="G2650" i="1"/>
  <c r="D2650" i="1"/>
  <c r="C2650" i="1"/>
  <c r="P2649" i="1"/>
  <c r="G2649" i="1"/>
  <c r="D2649" i="1"/>
  <c r="C2649" i="1"/>
  <c r="P2648" i="1"/>
  <c r="G2648" i="1"/>
  <c r="D2648" i="1"/>
  <c r="C2648" i="1" s="1"/>
  <c r="P2647" i="1"/>
  <c r="G2647" i="1"/>
  <c r="D2647" i="1"/>
  <c r="C2647" i="1"/>
  <c r="P2646" i="1"/>
  <c r="G2646" i="1"/>
  <c r="D2646" i="1"/>
  <c r="C2646" i="1" s="1"/>
  <c r="P2645" i="1"/>
  <c r="G2645" i="1"/>
  <c r="D2645" i="1"/>
  <c r="C2645" i="1"/>
  <c r="P2644" i="1"/>
  <c r="G2644" i="1"/>
  <c r="D2644" i="1"/>
  <c r="C2644" i="1" s="1"/>
  <c r="P2643" i="1"/>
  <c r="D2643" i="1"/>
  <c r="C2643" i="1"/>
  <c r="P2642" i="1"/>
  <c r="G2642" i="1"/>
  <c r="D2642" i="1"/>
  <c r="C2642" i="1" s="1"/>
  <c r="P2641" i="1"/>
  <c r="G2641" i="1"/>
  <c r="D2641" i="1"/>
  <c r="C2641" i="1"/>
  <c r="P2640" i="1"/>
  <c r="G2640" i="1"/>
  <c r="D2640" i="1"/>
  <c r="C2640" i="1" s="1"/>
  <c r="P2639" i="1"/>
  <c r="G2639" i="1"/>
  <c r="D2639" i="1"/>
  <c r="C2639" i="1"/>
  <c r="P2638" i="1"/>
  <c r="G2638" i="1"/>
  <c r="D2638" i="1"/>
  <c r="C2638" i="1" s="1"/>
  <c r="P2637" i="1"/>
  <c r="G2637" i="1"/>
  <c r="D2637" i="1"/>
  <c r="C2637" i="1"/>
  <c r="P2636" i="1"/>
  <c r="G2636" i="1"/>
  <c r="D2636" i="1"/>
  <c r="C2636" i="1" s="1"/>
  <c r="P2635" i="1"/>
  <c r="G2635" i="1"/>
  <c r="D2635" i="1"/>
  <c r="C2635" i="1" s="1"/>
  <c r="P2634" i="1"/>
  <c r="G2634" i="1"/>
  <c r="D2634" i="1"/>
  <c r="C2634" i="1" s="1"/>
  <c r="P2633" i="1"/>
  <c r="G2633" i="1"/>
  <c r="D2633" i="1"/>
  <c r="C2633" i="1" s="1"/>
  <c r="P2632" i="1"/>
  <c r="G2632" i="1"/>
  <c r="D2632" i="1"/>
  <c r="C2632" i="1" s="1"/>
  <c r="P2631" i="1"/>
  <c r="G2631" i="1"/>
  <c r="D2631" i="1"/>
  <c r="C2631" i="1" s="1"/>
  <c r="P2630" i="1"/>
  <c r="G2630" i="1"/>
  <c r="D2630" i="1"/>
  <c r="C2630" i="1" s="1"/>
  <c r="P2629" i="1"/>
  <c r="G2629" i="1"/>
  <c r="D2629" i="1"/>
  <c r="C2629" i="1" s="1"/>
  <c r="P2628" i="1"/>
  <c r="G2628" i="1"/>
  <c r="D2628" i="1"/>
  <c r="C2628" i="1" s="1"/>
  <c r="P2627" i="1"/>
  <c r="G2627" i="1"/>
  <c r="D2627" i="1"/>
  <c r="C2627" i="1" s="1"/>
  <c r="P2626" i="1"/>
  <c r="G2626" i="1"/>
  <c r="D2626" i="1"/>
  <c r="C2626" i="1" s="1"/>
  <c r="P2625" i="1"/>
  <c r="G2625" i="1"/>
  <c r="D2625" i="1"/>
  <c r="C2625" i="1" s="1"/>
  <c r="P2624" i="1"/>
  <c r="G2624" i="1"/>
  <c r="D2624" i="1"/>
  <c r="C2624" i="1" s="1"/>
  <c r="P2623" i="1"/>
  <c r="G2623" i="1"/>
  <c r="D2623" i="1"/>
  <c r="C2623" i="1" s="1"/>
  <c r="P2622" i="1"/>
  <c r="G2622" i="1"/>
  <c r="D2622" i="1"/>
  <c r="C2622" i="1" s="1"/>
  <c r="P2621" i="1"/>
  <c r="G2621" i="1"/>
  <c r="D2621" i="1"/>
  <c r="C2621" i="1" s="1"/>
  <c r="P2620" i="1"/>
  <c r="G2620" i="1"/>
  <c r="D2620" i="1"/>
  <c r="C2620" i="1" s="1"/>
  <c r="P2619" i="1"/>
  <c r="G2619" i="1"/>
  <c r="D2619" i="1"/>
  <c r="C2619" i="1" s="1"/>
  <c r="P2618" i="1"/>
  <c r="G2618" i="1"/>
  <c r="D2618" i="1"/>
  <c r="C2618" i="1" s="1"/>
  <c r="P2617" i="1"/>
  <c r="G2617" i="1"/>
  <c r="D2617" i="1"/>
  <c r="C2617" i="1" s="1"/>
  <c r="P2616" i="1"/>
  <c r="G2616" i="1"/>
  <c r="D2616" i="1"/>
  <c r="C2616" i="1" s="1"/>
  <c r="P2615" i="1"/>
  <c r="G2615" i="1"/>
  <c r="D2615" i="1"/>
  <c r="C2615" i="1" s="1"/>
  <c r="P2614" i="1"/>
  <c r="D2614" i="1"/>
  <c r="C2614" i="1"/>
  <c r="P2613" i="1"/>
  <c r="G2613" i="1"/>
  <c r="D2613" i="1"/>
  <c r="C2613" i="1"/>
  <c r="P2612" i="1"/>
  <c r="G2612" i="1"/>
  <c r="D2612" i="1"/>
  <c r="C2612" i="1"/>
  <c r="P2611" i="1"/>
  <c r="G2611" i="1"/>
  <c r="D2611" i="1"/>
  <c r="C2611" i="1"/>
  <c r="P2610" i="1"/>
  <c r="G2610" i="1"/>
  <c r="D2610" i="1"/>
  <c r="C2610" i="1"/>
  <c r="P2609" i="1"/>
  <c r="D2609" i="1"/>
  <c r="C2609" i="1" s="1"/>
  <c r="P2608" i="1"/>
  <c r="D2608" i="1"/>
  <c r="C2608" i="1"/>
  <c r="P2607" i="1"/>
  <c r="G2607" i="1"/>
  <c r="D2607" i="1"/>
  <c r="C2607" i="1"/>
  <c r="P2606" i="1"/>
  <c r="G2606" i="1"/>
  <c r="D2606" i="1"/>
  <c r="C2606" i="1"/>
  <c r="P2605" i="1"/>
  <c r="G2605" i="1"/>
  <c r="D2605" i="1"/>
  <c r="C2605" i="1"/>
  <c r="P2604" i="1"/>
  <c r="G2604" i="1"/>
  <c r="D2604" i="1"/>
  <c r="C2604" i="1"/>
  <c r="P2603" i="1"/>
  <c r="G2603" i="1"/>
  <c r="D2603" i="1"/>
  <c r="C2603" i="1"/>
  <c r="P2602" i="1"/>
  <c r="D2602" i="1"/>
  <c r="C2602" i="1" s="1"/>
  <c r="P2601" i="1"/>
  <c r="G2601" i="1"/>
  <c r="D2601" i="1"/>
  <c r="C2601" i="1" s="1"/>
  <c r="P2600" i="1"/>
  <c r="G2600" i="1"/>
  <c r="D2600" i="1"/>
  <c r="C2600" i="1" s="1"/>
  <c r="P2599" i="1"/>
  <c r="G2599" i="1"/>
  <c r="D2599" i="1"/>
  <c r="C2599" i="1" s="1"/>
  <c r="P2598" i="1"/>
  <c r="G2598" i="1"/>
  <c r="D2598" i="1"/>
  <c r="C2598" i="1" s="1"/>
  <c r="P2597" i="1"/>
  <c r="G2597" i="1"/>
  <c r="D2597" i="1"/>
  <c r="C2597" i="1" s="1"/>
  <c r="P2596" i="1"/>
  <c r="G2596" i="1"/>
  <c r="D2596" i="1"/>
  <c r="C2596" i="1" s="1"/>
  <c r="P2595" i="1"/>
  <c r="G2595" i="1"/>
  <c r="D2595" i="1"/>
  <c r="C2595" i="1" s="1"/>
  <c r="P2594" i="1"/>
  <c r="G2594" i="1"/>
  <c r="D2594" i="1"/>
  <c r="C2594" i="1" s="1"/>
  <c r="P2593" i="1"/>
  <c r="G2593" i="1"/>
  <c r="D2593" i="1"/>
  <c r="C2593" i="1" s="1"/>
  <c r="P2592" i="1"/>
  <c r="G2592" i="1"/>
  <c r="D2592" i="1"/>
  <c r="C2592" i="1" s="1"/>
  <c r="P2591" i="1"/>
  <c r="G2591" i="1"/>
  <c r="D2591" i="1"/>
  <c r="C2591" i="1" s="1"/>
  <c r="P2590" i="1"/>
  <c r="D2590" i="1"/>
  <c r="C2590" i="1"/>
  <c r="P2589" i="1"/>
  <c r="G2589" i="1"/>
  <c r="D2589" i="1"/>
  <c r="C2589" i="1"/>
  <c r="P2588" i="1"/>
  <c r="G2588" i="1"/>
  <c r="D2588" i="1"/>
  <c r="C2588" i="1"/>
  <c r="P2587" i="1"/>
  <c r="G2587" i="1"/>
  <c r="D2587" i="1"/>
  <c r="C2587" i="1"/>
  <c r="P2586" i="1"/>
  <c r="G2586" i="1"/>
  <c r="D2586" i="1"/>
  <c r="C2586" i="1"/>
  <c r="P2585" i="1"/>
  <c r="G2585" i="1"/>
  <c r="D2585" i="1"/>
  <c r="C2585" i="1"/>
  <c r="P2584" i="1"/>
  <c r="G2584" i="1"/>
  <c r="D2584" i="1"/>
  <c r="C2584" i="1"/>
  <c r="P2583" i="1"/>
  <c r="G2583" i="1"/>
  <c r="D2583" i="1"/>
  <c r="C2583" i="1"/>
  <c r="P2582" i="1"/>
  <c r="G2582" i="1"/>
  <c r="D2582" i="1"/>
  <c r="C2582" i="1"/>
  <c r="P2581" i="1"/>
  <c r="G2581" i="1"/>
  <c r="D2581" i="1"/>
  <c r="C2581" i="1"/>
  <c r="P2580" i="1"/>
  <c r="G2580" i="1"/>
  <c r="D2580" i="1"/>
  <c r="C2580" i="1"/>
  <c r="P2579" i="1"/>
  <c r="G2579" i="1"/>
  <c r="D2579" i="1"/>
  <c r="C2579" i="1"/>
  <c r="P2578" i="1"/>
  <c r="G2578" i="1"/>
  <c r="D2578" i="1"/>
  <c r="C2578" i="1"/>
  <c r="P2577" i="1"/>
  <c r="G2577" i="1"/>
  <c r="D2577" i="1"/>
  <c r="C2577" i="1"/>
  <c r="P2576" i="1"/>
  <c r="G2576" i="1"/>
  <c r="D2576" i="1"/>
  <c r="C2576" i="1"/>
  <c r="P2575" i="1"/>
  <c r="G2575" i="1"/>
  <c r="D2575" i="1"/>
  <c r="C2575" i="1"/>
  <c r="P2574" i="1"/>
  <c r="G2574" i="1"/>
  <c r="D2574" i="1"/>
  <c r="C2574" i="1"/>
  <c r="P2573" i="1"/>
  <c r="G2573" i="1"/>
  <c r="D2573" i="1"/>
  <c r="C2573" i="1"/>
  <c r="P2572" i="1"/>
  <c r="G2572" i="1"/>
  <c r="D2572" i="1"/>
  <c r="C2572" i="1"/>
  <c r="P2571" i="1"/>
  <c r="G2571" i="1"/>
  <c r="D2571" i="1"/>
  <c r="C2571" i="1"/>
  <c r="P2570" i="1"/>
  <c r="G2570" i="1"/>
  <c r="D2570" i="1"/>
  <c r="C2570" i="1"/>
  <c r="P2569" i="1"/>
  <c r="G2569" i="1"/>
  <c r="D2569" i="1"/>
  <c r="C2569" i="1"/>
  <c r="P2568" i="1"/>
  <c r="G2568" i="1"/>
  <c r="D2568" i="1"/>
  <c r="C2568" i="1"/>
  <c r="P2567" i="1"/>
  <c r="G2567" i="1"/>
  <c r="D2567" i="1"/>
  <c r="C2567" i="1"/>
  <c r="P2566" i="1"/>
  <c r="G2566" i="1"/>
  <c r="D2566" i="1"/>
  <c r="C2566" i="1"/>
  <c r="P2565" i="1"/>
  <c r="G2565" i="1"/>
  <c r="D2565" i="1"/>
  <c r="C2565" i="1"/>
  <c r="P2564" i="1"/>
  <c r="G2564" i="1"/>
  <c r="D2564" i="1"/>
  <c r="C2564" i="1" s="1"/>
  <c r="P2563" i="1"/>
  <c r="G2563" i="1"/>
  <c r="D2563" i="1"/>
  <c r="C2563" i="1"/>
  <c r="P2562" i="1"/>
  <c r="G2562" i="1"/>
  <c r="D2562" i="1"/>
  <c r="C2562" i="1" s="1"/>
  <c r="P2561" i="1"/>
  <c r="G2561" i="1"/>
  <c r="D2561" i="1"/>
  <c r="C2561" i="1" s="1"/>
  <c r="P2560" i="1"/>
  <c r="G2560" i="1"/>
  <c r="D2560" i="1"/>
  <c r="C2560" i="1" s="1"/>
  <c r="P2559" i="1"/>
  <c r="G2559" i="1"/>
  <c r="D2559" i="1"/>
  <c r="C2559" i="1" s="1"/>
  <c r="P2558" i="1"/>
  <c r="G2558" i="1"/>
  <c r="D2558" i="1"/>
  <c r="C2558" i="1" s="1"/>
  <c r="P2557" i="1"/>
  <c r="G2557" i="1"/>
  <c r="D2557" i="1"/>
  <c r="C2557" i="1" s="1"/>
  <c r="P2556" i="1"/>
  <c r="D2556" i="1"/>
  <c r="C2556" i="1"/>
  <c r="P2555" i="1"/>
  <c r="G2555" i="1"/>
  <c r="D2555" i="1"/>
  <c r="C2555" i="1"/>
  <c r="P2554" i="1"/>
  <c r="G2554" i="1"/>
  <c r="D2554" i="1"/>
  <c r="C2554" i="1"/>
  <c r="P2553" i="1"/>
  <c r="G2553" i="1"/>
  <c r="D2553" i="1"/>
  <c r="C2553" i="1"/>
  <c r="P2552" i="1"/>
  <c r="D2552" i="1"/>
  <c r="C2552" i="1" s="1"/>
  <c r="P2551" i="1"/>
  <c r="G2551" i="1"/>
  <c r="D2551" i="1"/>
  <c r="C2551" i="1" s="1"/>
  <c r="P2550" i="1"/>
  <c r="G2550" i="1"/>
  <c r="D2550" i="1"/>
  <c r="C2550" i="1" s="1"/>
  <c r="P2549" i="1"/>
  <c r="G2549" i="1"/>
  <c r="D2549" i="1"/>
  <c r="C2549" i="1" s="1"/>
  <c r="P2548" i="1"/>
  <c r="D2548" i="1"/>
  <c r="C2548" i="1"/>
  <c r="P2547" i="1"/>
  <c r="G2547" i="1"/>
  <c r="D2547" i="1"/>
  <c r="C2547" i="1"/>
  <c r="P2546" i="1"/>
  <c r="G2546" i="1"/>
  <c r="D2546" i="1"/>
  <c r="C2546" i="1"/>
  <c r="P2545" i="1"/>
  <c r="G2545" i="1"/>
  <c r="D2545" i="1"/>
  <c r="C2545" i="1"/>
  <c r="P2544" i="1"/>
  <c r="G2544" i="1"/>
  <c r="D2544" i="1"/>
  <c r="C2544" i="1"/>
  <c r="P2543" i="1"/>
  <c r="G2543" i="1"/>
  <c r="D2543" i="1"/>
  <c r="C2543" i="1"/>
  <c r="P2542" i="1"/>
  <c r="G2542" i="1"/>
  <c r="D2542" i="1"/>
  <c r="C2542" i="1" s="1"/>
  <c r="P2541" i="1"/>
  <c r="G2541" i="1"/>
  <c r="D2541" i="1"/>
  <c r="C2541" i="1"/>
  <c r="P2540" i="1"/>
  <c r="G2540" i="1"/>
  <c r="D2540" i="1"/>
  <c r="C2540" i="1" s="1"/>
  <c r="P2539" i="1"/>
  <c r="G2539" i="1"/>
  <c r="D2539" i="1"/>
  <c r="C2539" i="1"/>
  <c r="P2538" i="1"/>
  <c r="G2538" i="1"/>
  <c r="D2538" i="1"/>
  <c r="C2538" i="1" s="1"/>
  <c r="P2537" i="1"/>
  <c r="G2537" i="1"/>
  <c r="D2537" i="1"/>
  <c r="C2537" i="1"/>
  <c r="P2536" i="1"/>
  <c r="D2536" i="1"/>
  <c r="C2536" i="1" s="1"/>
  <c r="P2535" i="1"/>
  <c r="M2535" i="1"/>
  <c r="D2535" i="1"/>
  <c r="C2535" i="1"/>
  <c r="P2534" i="1"/>
  <c r="L2534" i="1"/>
  <c r="D2534" i="1"/>
  <c r="C2534" i="1" s="1"/>
  <c r="P2533" i="1"/>
  <c r="M2533" i="1"/>
  <c r="D2533" i="1"/>
  <c r="C2533" i="1" s="1"/>
  <c r="P2532" i="1"/>
  <c r="L2532" i="1"/>
  <c r="D2532" i="1"/>
  <c r="C2532" i="1" s="1"/>
  <c r="P2531" i="1"/>
  <c r="M2531" i="1"/>
  <c r="D2531" i="1"/>
  <c r="C2531" i="1" s="1"/>
  <c r="P2530" i="1"/>
  <c r="L2530" i="1"/>
  <c r="D2530" i="1"/>
  <c r="C2530" i="1" s="1"/>
  <c r="P2529" i="1"/>
  <c r="M2529" i="1"/>
  <c r="D2529" i="1"/>
  <c r="C2529" i="1" s="1"/>
  <c r="P2528" i="1"/>
  <c r="L2528" i="1"/>
  <c r="D2528" i="1"/>
  <c r="C2528" i="1" s="1"/>
  <c r="P2527" i="1"/>
  <c r="M2527" i="1"/>
  <c r="D2527" i="1"/>
  <c r="C2527" i="1" s="1"/>
  <c r="P2526" i="1"/>
  <c r="L2526" i="1"/>
  <c r="D2526" i="1"/>
  <c r="C2526" i="1" s="1"/>
  <c r="P2525" i="1"/>
  <c r="M2525" i="1"/>
  <c r="D2525" i="1"/>
  <c r="C2525" i="1" s="1"/>
  <c r="P2524" i="1"/>
  <c r="L2524" i="1"/>
  <c r="D2524" i="1"/>
  <c r="C2524" i="1" s="1"/>
  <c r="P2523" i="1"/>
  <c r="M2523" i="1"/>
  <c r="D2523" i="1"/>
  <c r="C2523" i="1" s="1"/>
  <c r="P2522" i="1"/>
  <c r="L2522" i="1"/>
  <c r="D2522" i="1"/>
  <c r="C2522" i="1" s="1"/>
  <c r="P2521" i="1"/>
  <c r="M2521" i="1"/>
  <c r="D2521" i="1"/>
  <c r="C2521" i="1" s="1"/>
  <c r="P2520" i="1"/>
  <c r="L2520" i="1"/>
  <c r="D2520" i="1"/>
  <c r="C2520" i="1" s="1"/>
  <c r="P2519" i="1"/>
  <c r="M2519" i="1"/>
  <c r="L2518" i="1" s="1"/>
  <c r="D2519" i="1"/>
  <c r="C2519" i="1" s="1"/>
  <c r="P2518" i="1"/>
  <c r="D2518" i="1"/>
  <c r="C2518" i="1" s="1"/>
  <c r="P2517" i="1"/>
  <c r="D2517" i="1"/>
  <c r="C2517" i="1"/>
  <c r="P2516" i="1"/>
  <c r="D2516" i="1"/>
  <c r="C2516" i="1" s="1"/>
  <c r="P2515" i="1"/>
  <c r="D2515" i="1"/>
  <c r="C2515" i="1"/>
  <c r="P2514" i="1"/>
  <c r="D2514" i="1"/>
  <c r="C2514" i="1" s="1"/>
  <c r="P2513" i="1"/>
  <c r="D2513" i="1"/>
  <c r="C2513" i="1"/>
  <c r="P2512" i="1"/>
  <c r="D2512" i="1"/>
  <c r="C2512" i="1" s="1"/>
  <c r="P2511" i="1"/>
  <c r="D2511" i="1"/>
  <c r="C2511" i="1"/>
  <c r="P2510" i="1"/>
  <c r="D2510" i="1"/>
  <c r="C2510" i="1" s="1"/>
  <c r="P2509" i="1"/>
  <c r="D2509" i="1"/>
  <c r="C2509" i="1"/>
  <c r="P2508" i="1"/>
  <c r="D2508" i="1"/>
  <c r="C2508" i="1" s="1"/>
  <c r="P2507" i="1"/>
  <c r="D2507" i="1"/>
  <c r="C2507" i="1"/>
  <c r="P2506" i="1"/>
  <c r="D2506" i="1"/>
  <c r="C2506" i="1" s="1"/>
  <c r="P2505" i="1"/>
  <c r="D2505" i="1"/>
  <c r="C2505" i="1"/>
  <c r="P2504" i="1"/>
  <c r="D2504" i="1"/>
  <c r="C2504" i="1" s="1"/>
  <c r="P2503" i="1"/>
  <c r="D2503" i="1"/>
  <c r="C2503" i="1"/>
  <c r="P2502" i="1"/>
  <c r="D2502" i="1"/>
  <c r="C2502" i="1" s="1"/>
  <c r="P2501" i="1"/>
  <c r="D2501" i="1"/>
  <c r="C2501" i="1"/>
  <c r="P2500" i="1"/>
  <c r="D2500" i="1"/>
  <c r="C2500" i="1" s="1"/>
  <c r="P2499" i="1"/>
  <c r="D2499" i="1"/>
  <c r="C2499" i="1"/>
  <c r="P2498" i="1"/>
  <c r="D2498" i="1"/>
  <c r="C2498" i="1" s="1"/>
  <c r="P2497" i="1"/>
  <c r="D2497" i="1"/>
  <c r="C2497" i="1"/>
  <c r="P2496" i="1"/>
  <c r="D2496" i="1"/>
  <c r="C2496" i="1" s="1"/>
  <c r="P2495" i="1"/>
  <c r="D2495" i="1"/>
  <c r="C2495" i="1"/>
  <c r="P2494" i="1"/>
  <c r="O2494" i="1"/>
  <c r="D2494" i="1"/>
  <c r="C2494" i="1"/>
  <c r="P2493" i="1"/>
  <c r="D2493" i="1"/>
  <c r="C2493" i="1" s="1"/>
  <c r="P2492" i="1"/>
  <c r="D2492" i="1"/>
  <c r="C2492" i="1"/>
  <c r="P2491" i="1"/>
  <c r="D2491" i="1"/>
  <c r="C2491" i="1" s="1"/>
  <c r="P2490" i="1"/>
  <c r="D2490" i="1"/>
  <c r="C2490" i="1"/>
  <c r="P2489" i="1"/>
  <c r="D2489" i="1"/>
  <c r="C2489" i="1" s="1"/>
  <c r="P2488" i="1"/>
  <c r="D2488" i="1"/>
  <c r="C2488" i="1"/>
  <c r="P2487" i="1"/>
  <c r="D2487" i="1"/>
  <c r="C2487" i="1" s="1"/>
  <c r="P2486" i="1"/>
  <c r="D2486" i="1"/>
  <c r="C2486" i="1"/>
  <c r="P2485" i="1"/>
  <c r="D2485" i="1"/>
  <c r="C2485" i="1" s="1"/>
  <c r="P2484" i="1"/>
  <c r="D2484" i="1"/>
  <c r="C2484" i="1"/>
  <c r="P2483" i="1"/>
  <c r="D2483" i="1"/>
  <c r="C2483" i="1" s="1"/>
  <c r="P2482" i="1"/>
  <c r="D2482" i="1"/>
  <c r="C2482" i="1"/>
  <c r="P2481" i="1"/>
  <c r="D2481" i="1"/>
  <c r="C2481" i="1" s="1"/>
  <c r="P2480" i="1"/>
  <c r="D2480" i="1"/>
  <c r="C2480" i="1"/>
  <c r="P2479" i="1"/>
  <c r="D2479" i="1"/>
  <c r="C2479" i="1" s="1"/>
  <c r="P2478" i="1"/>
  <c r="D2478" i="1"/>
  <c r="C2478" i="1"/>
  <c r="P2477" i="1"/>
  <c r="D2477" i="1"/>
  <c r="C2477" i="1" s="1"/>
  <c r="P2476" i="1"/>
  <c r="D2476" i="1"/>
  <c r="C2476" i="1"/>
  <c r="P2475" i="1"/>
  <c r="O2475" i="1"/>
  <c r="D2475" i="1"/>
  <c r="C2475" i="1"/>
  <c r="P2474" i="1"/>
  <c r="D2474" i="1"/>
  <c r="C2474" i="1" s="1"/>
  <c r="P2473" i="1"/>
  <c r="D2473" i="1"/>
  <c r="C2473" i="1"/>
  <c r="P2472" i="1"/>
  <c r="D2472" i="1"/>
  <c r="C2472" i="1" s="1"/>
  <c r="P2471" i="1"/>
  <c r="D2471" i="1"/>
  <c r="C2471" i="1"/>
  <c r="P2470" i="1"/>
  <c r="D2470" i="1"/>
  <c r="C2470" i="1" s="1"/>
  <c r="P2469" i="1"/>
  <c r="D2469" i="1"/>
  <c r="C2469" i="1"/>
  <c r="P2468" i="1"/>
  <c r="D2468" i="1"/>
  <c r="C2468" i="1" s="1"/>
  <c r="P2467" i="1"/>
  <c r="D2467" i="1"/>
  <c r="C2467" i="1"/>
  <c r="P2466" i="1"/>
  <c r="D2466" i="1"/>
  <c r="C2466" i="1" s="1"/>
  <c r="P2465" i="1"/>
  <c r="D2465" i="1"/>
  <c r="C2465" i="1"/>
  <c r="P2464" i="1"/>
  <c r="D2464" i="1"/>
  <c r="C2464" i="1" s="1"/>
  <c r="P2463" i="1"/>
  <c r="D2463" i="1"/>
  <c r="C2463" i="1"/>
  <c r="P2462" i="1"/>
  <c r="D2462" i="1"/>
  <c r="C2462" i="1" s="1"/>
  <c r="P2461" i="1"/>
  <c r="D2461" i="1"/>
  <c r="C2461" i="1"/>
  <c r="P2460" i="1"/>
  <c r="D2460" i="1"/>
  <c r="C2460" i="1" s="1"/>
  <c r="P2459" i="1"/>
  <c r="D2459" i="1"/>
  <c r="C2459" i="1"/>
  <c r="P2458" i="1"/>
  <c r="D2458" i="1"/>
  <c r="C2458" i="1" s="1"/>
  <c r="P2457" i="1"/>
  <c r="D2457" i="1"/>
  <c r="C2457" i="1"/>
  <c r="P2456" i="1"/>
  <c r="D2456" i="1"/>
  <c r="C2456" i="1" s="1"/>
  <c r="P2455" i="1"/>
  <c r="D2455" i="1"/>
  <c r="C2455" i="1"/>
  <c r="P2454" i="1"/>
  <c r="D2454" i="1"/>
  <c r="C2454" i="1" s="1"/>
  <c r="P2453" i="1"/>
  <c r="D2453" i="1"/>
  <c r="C2453" i="1"/>
  <c r="P2452" i="1"/>
  <c r="D2452" i="1"/>
  <c r="C2452" i="1" s="1"/>
  <c r="P2451" i="1"/>
  <c r="D2451" i="1"/>
  <c r="C2451" i="1"/>
  <c r="P2450" i="1"/>
  <c r="D2450" i="1"/>
  <c r="C2450" i="1" s="1"/>
  <c r="P2449" i="1"/>
  <c r="D2449" i="1"/>
  <c r="C2449" i="1"/>
  <c r="P2448" i="1"/>
  <c r="D2448" i="1"/>
  <c r="C2448" i="1" s="1"/>
  <c r="P2447" i="1"/>
  <c r="D2447" i="1"/>
  <c r="C2447" i="1"/>
  <c r="P2446" i="1"/>
  <c r="D2446" i="1"/>
  <c r="C2446" i="1" s="1"/>
  <c r="P2445" i="1"/>
  <c r="D2445" i="1"/>
  <c r="C2445" i="1"/>
  <c r="P2444" i="1"/>
  <c r="D2444" i="1"/>
  <c r="C2444" i="1" s="1"/>
  <c r="P2443" i="1"/>
  <c r="D2443" i="1"/>
  <c r="C2443" i="1"/>
  <c r="P2442" i="1"/>
  <c r="D2442" i="1"/>
  <c r="C2442" i="1" s="1"/>
  <c r="P2441" i="1"/>
  <c r="D2441" i="1"/>
  <c r="C2441" i="1"/>
  <c r="P2440" i="1"/>
  <c r="D2440" i="1"/>
  <c r="C2440" i="1" s="1"/>
  <c r="P2439" i="1"/>
  <c r="D2439" i="1"/>
  <c r="C2439" i="1"/>
  <c r="P2438" i="1"/>
  <c r="D2438" i="1"/>
  <c r="C2438" i="1" s="1"/>
  <c r="P2437" i="1"/>
  <c r="D2437" i="1"/>
  <c r="C2437" i="1"/>
  <c r="P2436" i="1"/>
  <c r="D2436" i="1"/>
  <c r="C2436" i="1" s="1"/>
  <c r="P2435" i="1"/>
  <c r="D2435" i="1"/>
  <c r="C2435" i="1"/>
  <c r="P2434" i="1"/>
  <c r="D2434" i="1"/>
  <c r="C2434" i="1" s="1"/>
  <c r="P2433" i="1"/>
  <c r="O2433" i="1"/>
  <c r="D2433" i="1"/>
  <c r="C2433" i="1" s="1"/>
  <c r="P2432" i="1"/>
  <c r="D2432" i="1"/>
  <c r="C2432" i="1"/>
  <c r="P2431" i="1"/>
  <c r="D2431" i="1"/>
  <c r="C2431" i="1" s="1"/>
  <c r="P2430" i="1"/>
  <c r="D2430" i="1"/>
  <c r="C2430" i="1"/>
  <c r="P2429" i="1"/>
  <c r="D2429" i="1"/>
  <c r="C2429" i="1" s="1"/>
  <c r="P2428" i="1"/>
  <c r="D2428" i="1"/>
  <c r="C2428" i="1"/>
  <c r="P2427" i="1"/>
  <c r="D2427" i="1"/>
  <c r="C2427" i="1" s="1"/>
  <c r="P2426" i="1"/>
  <c r="D2426" i="1"/>
  <c r="C2426" i="1"/>
  <c r="P2425" i="1"/>
  <c r="D2425" i="1"/>
  <c r="C2425" i="1" s="1"/>
  <c r="P2424" i="1"/>
  <c r="D2424" i="1"/>
  <c r="C2424" i="1"/>
  <c r="P2423" i="1"/>
  <c r="D2423" i="1"/>
  <c r="C2423" i="1" s="1"/>
  <c r="P2422" i="1"/>
  <c r="D2422" i="1"/>
  <c r="C2422" i="1"/>
  <c r="P2421" i="1"/>
  <c r="D2421" i="1"/>
  <c r="C2421" i="1" s="1"/>
  <c r="P2420" i="1"/>
  <c r="D2420" i="1"/>
  <c r="C2420" i="1"/>
  <c r="P2419" i="1"/>
  <c r="D2419" i="1"/>
  <c r="C2419" i="1" s="1"/>
  <c r="P2418" i="1"/>
  <c r="D2418" i="1"/>
  <c r="C2418" i="1"/>
  <c r="P2417" i="1"/>
  <c r="D2417" i="1"/>
  <c r="C2417" i="1" s="1"/>
  <c r="P2416" i="1"/>
  <c r="D2416" i="1"/>
  <c r="C2416" i="1"/>
  <c r="P2415" i="1"/>
  <c r="D2415" i="1"/>
  <c r="C2415" i="1" s="1"/>
  <c r="P2414" i="1"/>
  <c r="D2414" i="1"/>
  <c r="C2414" i="1"/>
  <c r="P2413" i="1"/>
  <c r="O2413" i="1"/>
  <c r="D2413" i="1"/>
  <c r="C2413" i="1"/>
  <c r="P2412" i="1"/>
  <c r="D2412" i="1"/>
  <c r="C2412" i="1" s="1"/>
  <c r="P2411" i="1"/>
  <c r="D2411" i="1"/>
  <c r="C2411" i="1"/>
  <c r="P2410" i="1"/>
  <c r="D2410" i="1"/>
  <c r="C2410" i="1" s="1"/>
  <c r="P2409" i="1"/>
  <c r="D2409" i="1"/>
  <c r="C2409" i="1"/>
  <c r="P2408" i="1"/>
  <c r="D2408" i="1"/>
  <c r="C2408" i="1" s="1"/>
  <c r="P2407" i="1"/>
  <c r="D2407" i="1"/>
  <c r="C2407" i="1"/>
  <c r="P2406" i="1"/>
  <c r="D2406" i="1"/>
  <c r="C2406" i="1" s="1"/>
  <c r="P2405" i="1"/>
  <c r="D2405" i="1"/>
  <c r="C2405" i="1"/>
  <c r="P2404" i="1"/>
  <c r="D2404" i="1"/>
  <c r="C2404" i="1" s="1"/>
  <c r="P2403" i="1"/>
  <c r="D2403" i="1"/>
  <c r="C2403" i="1"/>
  <c r="P2402" i="1"/>
  <c r="D2402" i="1"/>
  <c r="C2402" i="1" s="1"/>
  <c r="P2401" i="1"/>
  <c r="D2401" i="1"/>
  <c r="C2401" i="1"/>
  <c r="P2400" i="1"/>
  <c r="D2400" i="1"/>
  <c r="C2400" i="1" s="1"/>
  <c r="P2399" i="1"/>
  <c r="D2399" i="1"/>
  <c r="C2399" i="1"/>
  <c r="P2398" i="1"/>
  <c r="D2398" i="1"/>
  <c r="C2398" i="1" s="1"/>
  <c r="P2397" i="1"/>
  <c r="D2397" i="1"/>
  <c r="C2397" i="1"/>
  <c r="P2396" i="1"/>
  <c r="D2396" i="1"/>
  <c r="C2396" i="1" s="1"/>
  <c r="P2395" i="1"/>
  <c r="D2395" i="1"/>
  <c r="C2395" i="1"/>
  <c r="P2394" i="1"/>
  <c r="D2394" i="1"/>
  <c r="C2394" i="1" s="1"/>
  <c r="P2393" i="1"/>
  <c r="D2393" i="1"/>
  <c r="C2393" i="1"/>
  <c r="P2392" i="1"/>
  <c r="D2392" i="1"/>
  <c r="C2392" i="1" s="1"/>
  <c r="P2391" i="1"/>
  <c r="D2391" i="1"/>
  <c r="C2391" i="1"/>
  <c r="P2390" i="1"/>
  <c r="D2390" i="1"/>
  <c r="C2390" i="1" s="1"/>
  <c r="P2389" i="1"/>
  <c r="D2389" i="1"/>
  <c r="C2389" i="1"/>
  <c r="P2388" i="1"/>
  <c r="D2388" i="1"/>
  <c r="C2388" i="1" s="1"/>
  <c r="P2387" i="1"/>
  <c r="D2387" i="1"/>
  <c r="C2387" i="1"/>
  <c r="P2386" i="1"/>
  <c r="D2386" i="1"/>
  <c r="C2386" i="1" s="1"/>
  <c r="P2385" i="1"/>
  <c r="D2385" i="1"/>
  <c r="C2385" i="1"/>
  <c r="P2384" i="1"/>
  <c r="D2384" i="1"/>
  <c r="C2384" i="1" s="1"/>
  <c r="P2383" i="1"/>
  <c r="D2383" i="1"/>
  <c r="C2383" i="1"/>
  <c r="P2382" i="1"/>
  <c r="D2382" i="1"/>
  <c r="C2382" i="1" s="1"/>
  <c r="P2381" i="1"/>
  <c r="O2381" i="1"/>
  <c r="D2381" i="1"/>
  <c r="C2381" i="1" s="1"/>
  <c r="P2380" i="1"/>
  <c r="D2380" i="1"/>
  <c r="C2380" i="1"/>
  <c r="P2379" i="1"/>
  <c r="D2379" i="1"/>
  <c r="C2379" i="1" s="1"/>
  <c r="P2378" i="1"/>
  <c r="D2378" i="1"/>
  <c r="C2378" i="1"/>
  <c r="P2377" i="1"/>
  <c r="D2377" i="1"/>
  <c r="C2377" i="1" s="1"/>
  <c r="P2376" i="1"/>
  <c r="D2376" i="1"/>
  <c r="C2376" i="1"/>
  <c r="P2375" i="1"/>
  <c r="D2375" i="1"/>
  <c r="C2375" i="1" s="1"/>
  <c r="P2374" i="1"/>
  <c r="D2374" i="1"/>
  <c r="C2374" i="1"/>
  <c r="P2373" i="1"/>
  <c r="D2373" i="1"/>
  <c r="C2373" i="1" s="1"/>
  <c r="P2372" i="1"/>
  <c r="O2372" i="1"/>
  <c r="D2372" i="1"/>
  <c r="C2372" i="1" s="1"/>
  <c r="P2371" i="1"/>
  <c r="D2371" i="1"/>
  <c r="C2371" i="1"/>
  <c r="P2370" i="1"/>
  <c r="D2370" i="1"/>
  <c r="C2370" i="1" s="1"/>
  <c r="P2369" i="1"/>
  <c r="D2369" i="1"/>
  <c r="C2369" i="1"/>
  <c r="P2368" i="1"/>
  <c r="D2368" i="1"/>
  <c r="C2368" i="1" s="1"/>
  <c r="P2367" i="1"/>
  <c r="D2367" i="1"/>
  <c r="C2367" i="1"/>
  <c r="P2366" i="1"/>
  <c r="D2366" i="1"/>
  <c r="C2366" i="1" s="1"/>
  <c r="P2365" i="1"/>
  <c r="D2365" i="1"/>
  <c r="C2365" i="1"/>
  <c r="P2364" i="1"/>
  <c r="D2364" i="1"/>
  <c r="C2364" i="1"/>
  <c r="P2363" i="1"/>
  <c r="O2363" i="1"/>
  <c r="D2363" i="1"/>
  <c r="C2363" i="1" s="1"/>
  <c r="P2362" i="1"/>
  <c r="D2362" i="1"/>
  <c r="C2362" i="1"/>
  <c r="P2361" i="1"/>
  <c r="D2361" i="1"/>
  <c r="C2361" i="1" s="1"/>
  <c r="P2360" i="1"/>
  <c r="D2360" i="1"/>
  <c r="C2360" i="1" s="1"/>
  <c r="P2359" i="1"/>
  <c r="D2359" i="1"/>
  <c r="C2359" i="1" s="1"/>
  <c r="P2358" i="1"/>
  <c r="D2358" i="1"/>
  <c r="C2358" i="1"/>
  <c r="P2357" i="1"/>
  <c r="D2357" i="1"/>
  <c r="C2357" i="1" s="1"/>
  <c r="P2356" i="1"/>
  <c r="D2356" i="1"/>
  <c r="C2356" i="1" s="1"/>
  <c r="P2355" i="1"/>
  <c r="D2355" i="1"/>
  <c r="C2355" i="1" s="1"/>
  <c r="P2354" i="1"/>
  <c r="D2354" i="1"/>
  <c r="C2354" i="1" s="1"/>
  <c r="P2353" i="1"/>
  <c r="D2353" i="1"/>
  <c r="C2353" i="1"/>
  <c r="P2352" i="1"/>
  <c r="M2352" i="1"/>
  <c r="D2352" i="1"/>
  <c r="C2352" i="1" s="1"/>
  <c r="P2351" i="1"/>
  <c r="D2351" i="1"/>
  <c r="C2351" i="1" s="1"/>
  <c r="P2350" i="1"/>
  <c r="D2350" i="1"/>
  <c r="C2350" i="1"/>
  <c r="P2349" i="1"/>
  <c r="D2349" i="1"/>
  <c r="C2349" i="1"/>
  <c r="P2348" i="1"/>
  <c r="L2348" i="1"/>
  <c r="D2348" i="1"/>
  <c r="C2348" i="1" s="1"/>
  <c r="P2347" i="1"/>
  <c r="D2347" i="1"/>
  <c r="C2347" i="1"/>
  <c r="P2346" i="1"/>
  <c r="D2346" i="1"/>
  <c r="C2346" i="1"/>
  <c r="P2345" i="1"/>
  <c r="D2345" i="1"/>
  <c r="C2345" i="1" s="1"/>
  <c r="P2344" i="1"/>
  <c r="D2344" i="1"/>
  <c r="C2344" i="1" s="1"/>
  <c r="P2343" i="1"/>
  <c r="L2343" i="1"/>
  <c r="D2343" i="1"/>
  <c r="C2343" i="1"/>
  <c r="P2342" i="1"/>
  <c r="D2342" i="1"/>
  <c r="C2342" i="1" s="1"/>
  <c r="P2341" i="1"/>
  <c r="D2341" i="1"/>
  <c r="C2341" i="1" s="1"/>
  <c r="P2340" i="1"/>
  <c r="D2340" i="1"/>
  <c r="C2340" i="1"/>
  <c r="P2339" i="1"/>
  <c r="D2339" i="1"/>
  <c r="C2339" i="1" s="1"/>
  <c r="P2338" i="1"/>
  <c r="O2338" i="1"/>
  <c r="L2338" i="1" s="1"/>
  <c r="M2339" i="1" s="1"/>
  <c r="D2338" i="1"/>
  <c r="C2338" i="1"/>
  <c r="P2337" i="1"/>
  <c r="D2337" i="1"/>
  <c r="C2337" i="1" s="1"/>
  <c r="P2336" i="1"/>
  <c r="D2336" i="1"/>
  <c r="C2336" i="1" s="1"/>
  <c r="P2335" i="1"/>
  <c r="D2335" i="1"/>
  <c r="C2335" i="1"/>
  <c r="P2334" i="1"/>
  <c r="D2334" i="1"/>
  <c r="C2334" i="1"/>
  <c r="P2333" i="1"/>
  <c r="D2333" i="1"/>
  <c r="C2333" i="1" s="1"/>
  <c r="P2332" i="1"/>
  <c r="D2332" i="1"/>
  <c r="C2332" i="1" s="1"/>
  <c r="P2331" i="1"/>
  <c r="D2331" i="1"/>
  <c r="C2331" i="1"/>
  <c r="P2330" i="1"/>
  <c r="D2330" i="1"/>
  <c r="C2330" i="1"/>
  <c r="P2329" i="1"/>
  <c r="D2329" i="1"/>
  <c r="C2329" i="1" s="1"/>
  <c r="P2328" i="1"/>
  <c r="D2328" i="1"/>
  <c r="C2328" i="1" s="1"/>
  <c r="P2327" i="1"/>
  <c r="D2327" i="1"/>
  <c r="C2327" i="1"/>
  <c r="P2326" i="1"/>
  <c r="D2326" i="1"/>
  <c r="C2326" i="1"/>
  <c r="P2325" i="1"/>
  <c r="D2325" i="1"/>
  <c r="C2325" i="1" s="1"/>
  <c r="P2324" i="1"/>
  <c r="D2324" i="1"/>
  <c r="C2324" i="1" s="1"/>
  <c r="P2323" i="1"/>
  <c r="D2323" i="1"/>
  <c r="C2323" i="1"/>
  <c r="P2322" i="1"/>
  <c r="D2322" i="1"/>
  <c r="C2322" i="1"/>
  <c r="P2321" i="1"/>
  <c r="D2321" i="1"/>
  <c r="C2321" i="1" s="1"/>
  <c r="P2320" i="1"/>
  <c r="D2320" i="1"/>
  <c r="C2320" i="1" s="1"/>
  <c r="P2319" i="1"/>
  <c r="D2319" i="1"/>
  <c r="C2319" i="1"/>
  <c r="P2318" i="1"/>
  <c r="D2318" i="1"/>
  <c r="C2318" i="1"/>
  <c r="P2317" i="1"/>
  <c r="D2317" i="1"/>
  <c r="C2317" i="1" s="1"/>
  <c r="P2316" i="1"/>
  <c r="D2316" i="1"/>
  <c r="C2316" i="1" s="1"/>
  <c r="P2315" i="1"/>
  <c r="D2315" i="1"/>
  <c r="C2315" i="1"/>
  <c r="P2314" i="1"/>
  <c r="D2314" i="1"/>
  <c r="C2314" i="1"/>
  <c r="P2313" i="1"/>
  <c r="D2313" i="1"/>
  <c r="C2313" i="1" s="1"/>
  <c r="P2312" i="1"/>
  <c r="D2312" i="1"/>
  <c r="C2312" i="1" s="1"/>
  <c r="P2311" i="1"/>
  <c r="D2311" i="1"/>
  <c r="C2311" i="1"/>
  <c r="P2310" i="1"/>
  <c r="D2310" i="1"/>
  <c r="C2310" i="1"/>
  <c r="P2309" i="1"/>
  <c r="D2309" i="1"/>
  <c r="C2309" i="1" s="1"/>
  <c r="P2308" i="1"/>
  <c r="L2308" i="1"/>
  <c r="D2308" i="1"/>
  <c r="C2308" i="1" s="1"/>
  <c r="P2307" i="1"/>
  <c r="D2307" i="1"/>
  <c r="C2307" i="1"/>
  <c r="P2306" i="1"/>
  <c r="D2306" i="1"/>
  <c r="C2306" i="1" s="1"/>
  <c r="P2305" i="1"/>
  <c r="D2305" i="1"/>
  <c r="C2305" i="1" s="1"/>
  <c r="P2304" i="1"/>
  <c r="D2304" i="1"/>
  <c r="C2304" i="1" s="1"/>
  <c r="P2303" i="1"/>
  <c r="D2303" i="1"/>
  <c r="C2303" i="1"/>
  <c r="P2302" i="1"/>
  <c r="D2302" i="1"/>
  <c r="C2302" i="1" s="1"/>
  <c r="P2301" i="1"/>
  <c r="D2301" i="1"/>
  <c r="C2301" i="1" s="1"/>
  <c r="P2300" i="1"/>
  <c r="D2300" i="1"/>
  <c r="C2300" i="1" s="1"/>
  <c r="P2299" i="1"/>
  <c r="D2299" i="1"/>
  <c r="C2299" i="1"/>
  <c r="P2298" i="1"/>
  <c r="D2298" i="1"/>
  <c r="C2298" i="1" s="1"/>
  <c r="P2297" i="1"/>
  <c r="D2297" i="1"/>
  <c r="C2297" i="1" s="1"/>
  <c r="P2296" i="1"/>
  <c r="D2296" i="1"/>
  <c r="C2296" i="1" s="1"/>
  <c r="P2295" i="1"/>
  <c r="D2295" i="1"/>
  <c r="C2295" i="1"/>
  <c r="P2294" i="1"/>
  <c r="D2294" i="1"/>
  <c r="C2294" i="1" s="1"/>
  <c r="P2293" i="1"/>
  <c r="D2293" i="1"/>
  <c r="C2293" i="1" s="1"/>
  <c r="P2292" i="1"/>
  <c r="D2292" i="1"/>
  <c r="C2292" i="1" s="1"/>
  <c r="P2291" i="1"/>
  <c r="D2291" i="1"/>
  <c r="C2291" i="1"/>
  <c r="P2290" i="1"/>
  <c r="D2290" i="1"/>
  <c r="C2290" i="1" s="1"/>
  <c r="P2289" i="1"/>
  <c r="D2289" i="1"/>
  <c r="C2289" i="1" s="1"/>
  <c r="P2288" i="1"/>
  <c r="D2288" i="1"/>
  <c r="C2288" i="1"/>
  <c r="P2287" i="1"/>
  <c r="D2287" i="1"/>
  <c r="C2287" i="1"/>
  <c r="P2286" i="1"/>
  <c r="D2286" i="1"/>
  <c r="C2286" i="1" s="1"/>
  <c r="P2285" i="1"/>
  <c r="D2285" i="1"/>
  <c r="C2285" i="1" s="1"/>
  <c r="P2284" i="1"/>
  <c r="D2284" i="1"/>
  <c r="C2284" i="1"/>
  <c r="P2283" i="1"/>
  <c r="D2283" i="1"/>
  <c r="C2283" i="1"/>
  <c r="P2282" i="1"/>
  <c r="D2282" i="1"/>
  <c r="C2282" i="1" s="1"/>
  <c r="P2281" i="1"/>
  <c r="D2281" i="1"/>
  <c r="C2281" i="1" s="1"/>
  <c r="P2280" i="1"/>
  <c r="D2280" i="1"/>
  <c r="C2280" i="1"/>
  <c r="P2279" i="1"/>
  <c r="D2279" i="1"/>
  <c r="C2279" i="1"/>
  <c r="P2278" i="1"/>
  <c r="D2278" i="1"/>
  <c r="C2278" i="1" s="1"/>
  <c r="P2277" i="1"/>
  <c r="D2277" i="1"/>
  <c r="C2277" i="1" s="1"/>
  <c r="P2276" i="1"/>
  <c r="D2276" i="1"/>
  <c r="C2276" i="1"/>
  <c r="P2275" i="1"/>
  <c r="D2275" i="1"/>
  <c r="C2275" i="1"/>
  <c r="P2274" i="1"/>
  <c r="D2274" i="1"/>
  <c r="C2274" i="1" s="1"/>
  <c r="P2273" i="1"/>
  <c r="D2273" i="1"/>
  <c r="C2273" i="1" s="1"/>
  <c r="P2272" i="1"/>
  <c r="D2272" i="1"/>
  <c r="C2272" i="1"/>
  <c r="P2271" i="1"/>
  <c r="D2271" i="1"/>
  <c r="C2271" i="1"/>
  <c r="P2270" i="1"/>
  <c r="D2270" i="1"/>
  <c r="C2270" i="1" s="1"/>
  <c r="P2269" i="1"/>
  <c r="D2269" i="1"/>
  <c r="C2269" i="1" s="1"/>
  <c r="P2268" i="1"/>
  <c r="D2268" i="1"/>
  <c r="C2268" i="1"/>
  <c r="P2267" i="1"/>
  <c r="D2267" i="1"/>
  <c r="C2267" i="1"/>
  <c r="P2266" i="1"/>
  <c r="D2266" i="1"/>
  <c r="C2266" i="1" s="1"/>
  <c r="P2265" i="1"/>
  <c r="D2265" i="1"/>
  <c r="C2265" i="1" s="1"/>
  <c r="P2264" i="1"/>
  <c r="D2264" i="1"/>
  <c r="C2264" i="1"/>
  <c r="P2263" i="1"/>
  <c r="D2263" i="1"/>
  <c r="C2263" i="1"/>
  <c r="P2262" i="1"/>
  <c r="D2262" i="1"/>
  <c r="C2262" i="1" s="1"/>
  <c r="P2261" i="1"/>
  <c r="D2261" i="1"/>
  <c r="C2261" i="1" s="1"/>
  <c r="P2260" i="1"/>
  <c r="D2260" i="1"/>
  <c r="C2260" i="1"/>
  <c r="P2259" i="1"/>
  <c r="D2259" i="1"/>
  <c r="C2259" i="1"/>
  <c r="P2258" i="1"/>
  <c r="D2258" i="1"/>
  <c r="C2258" i="1" s="1"/>
  <c r="P2257" i="1"/>
  <c r="D2257" i="1"/>
  <c r="C2257" i="1" s="1"/>
  <c r="P2256" i="1"/>
  <c r="D2256" i="1"/>
  <c r="C2256" i="1"/>
  <c r="P2255" i="1"/>
  <c r="D2255" i="1"/>
  <c r="C2255" i="1"/>
  <c r="P2254" i="1"/>
  <c r="D2254" i="1"/>
  <c r="C2254" i="1" s="1"/>
  <c r="P2253" i="1"/>
  <c r="D2253" i="1"/>
  <c r="C2253" i="1" s="1"/>
  <c r="P2252" i="1"/>
  <c r="D2252" i="1"/>
  <c r="C2252" i="1"/>
  <c r="P2251" i="1"/>
  <c r="D2251" i="1"/>
  <c r="C2251" i="1"/>
  <c r="P2250" i="1"/>
  <c r="D2250" i="1"/>
  <c r="C2250" i="1" s="1"/>
  <c r="P2249" i="1"/>
  <c r="D2249" i="1"/>
  <c r="C2249" i="1" s="1"/>
  <c r="P2248" i="1"/>
  <c r="D2248" i="1"/>
  <c r="C2248" i="1"/>
  <c r="P2247" i="1"/>
  <c r="D2247" i="1"/>
  <c r="C2247" i="1"/>
  <c r="P2246" i="1"/>
  <c r="D2246" i="1"/>
  <c r="C2246" i="1" s="1"/>
  <c r="P2245" i="1"/>
  <c r="D2245" i="1"/>
  <c r="C2245" i="1"/>
  <c r="P2244" i="1"/>
  <c r="D2244" i="1"/>
  <c r="C2244" i="1" s="1"/>
  <c r="P2243" i="1"/>
  <c r="D2243" i="1"/>
  <c r="C2243" i="1"/>
  <c r="P2242" i="1"/>
  <c r="D2242" i="1"/>
  <c r="C2242" i="1" s="1"/>
  <c r="P2241" i="1"/>
  <c r="D2241" i="1"/>
  <c r="C2241" i="1"/>
  <c r="P2240" i="1"/>
  <c r="D2240" i="1"/>
  <c r="C2240" i="1" s="1"/>
  <c r="P2239" i="1"/>
  <c r="D2239" i="1"/>
  <c r="C2239" i="1"/>
  <c r="P2238" i="1"/>
  <c r="D2238" i="1"/>
  <c r="C2238" i="1" s="1"/>
  <c r="P2237" i="1"/>
  <c r="D2237" i="1"/>
  <c r="C2237" i="1"/>
  <c r="P2236" i="1"/>
  <c r="D2236" i="1"/>
  <c r="C2236" i="1" s="1"/>
  <c r="P2235" i="1"/>
  <c r="D2235" i="1"/>
  <c r="C2235" i="1"/>
  <c r="P2234" i="1"/>
  <c r="D2234" i="1"/>
  <c r="C2234" i="1" s="1"/>
  <c r="P2233" i="1"/>
  <c r="D2233" i="1"/>
  <c r="C2233" i="1"/>
  <c r="P2232" i="1"/>
  <c r="D2232" i="1"/>
  <c r="C2232" i="1" s="1"/>
  <c r="P2231" i="1"/>
  <c r="D2231" i="1"/>
  <c r="C2231" i="1"/>
  <c r="P2230" i="1"/>
  <c r="D2230" i="1"/>
  <c r="C2230" i="1" s="1"/>
  <c r="P2229" i="1"/>
  <c r="D2229" i="1"/>
  <c r="C2229" i="1"/>
  <c r="P2228" i="1"/>
  <c r="D2228" i="1"/>
  <c r="C2228" i="1" s="1"/>
  <c r="P2227" i="1"/>
  <c r="D2227" i="1"/>
  <c r="C2227" i="1"/>
  <c r="P2226" i="1"/>
  <c r="D2226" i="1"/>
  <c r="C2226" i="1" s="1"/>
  <c r="P2225" i="1"/>
  <c r="D2225" i="1"/>
  <c r="C2225" i="1"/>
  <c r="P2224" i="1"/>
  <c r="D2224" i="1"/>
  <c r="C2224" i="1" s="1"/>
  <c r="P2223" i="1"/>
  <c r="M2223" i="1"/>
  <c r="D2223" i="1"/>
  <c r="C2223" i="1" s="1"/>
  <c r="P2222" i="1"/>
  <c r="D2222" i="1"/>
  <c r="C2222" i="1"/>
  <c r="P2221" i="1"/>
  <c r="D2221" i="1"/>
  <c r="C2221" i="1" s="1"/>
  <c r="P2220" i="1"/>
  <c r="D2220" i="1"/>
  <c r="C2220" i="1"/>
  <c r="P2219" i="1"/>
  <c r="D2219" i="1"/>
  <c r="C2219" i="1" s="1"/>
  <c r="P2218" i="1"/>
  <c r="D2218" i="1"/>
  <c r="C2218" i="1"/>
  <c r="P2217" i="1"/>
  <c r="D2217" i="1"/>
  <c r="C2217" i="1" s="1"/>
  <c r="P2216" i="1"/>
  <c r="D2216" i="1"/>
  <c r="C2216" i="1"/>
  <c r="P2215" i="1"/>
  <c r="D2215" i="1"/>
  <c r="C2215" i="1" s="1"/>
  <c r="P2214" i="1"/>
  <c r="D2214" i="1"/>
  <c r="C2214" i="1"/>
  <c r="P2213" i="1"/>
  <c r="D2213" i="1"/>
  <c r="C2213" i="1" s="1"/>
  <c r="P2212" i="1"/>
  <c r="D2212" i="1"/>
  <c r="C2212" i="1"/>
  <c r="P2211" i="1"/>
  <c r="D2211" i="1"/>
  <c r="C2211" i="1" s="1"/>
  <c r="P2210" i="1"/>
  <c r="D2210" i="1"/>
  <c r="C2210" i="1"/>
  <c r="P2209" i="1"/>
  <c r="D2209" i="1"/>
  <c r="C2209" i="1" s="1"/>
  <c r="P2208" i="1"/>
  <c r="D2208" i="1"/>
  <c r="C2208" i="1"/>
  <c r="P2207" i="1"/>
  <c r="D2207" i="1"/>
  <c r="C2207" i="1"/>
  <c r="P2206" i="1"/>
  <c r="L2206" i="1"/>
  <c r="M2207" i="1" s="1"/>
  <c r="D2206" i="1"/>
  <c r="C2206" i="1"/>
  <c r="P2205" i="1"/>
  <c r="D2205" i="1"/>
  <c r="C2205" i="1"/>
  <c r="P2204" i="1"/>
  <c r="M2204" i="1"/>
  <c r="D2204" i="1"/>
  <c r="C2204" i="1"/>
  <c r="P2203" i="1"/>
  <c r="D2203" i="1"/>
  <c r="C2203" i="1"/>
  <c r="P2202" i="1"/>
  <c r="L2202" i="1"/>
  <c r="M2205" i="1" s="1"/>
  <c r="D2202" i="1"/>
  <c r="C2202" i="1"/>
  <c r="P2201" i="1"/>
  <c r="L2201" i="1"/>
  <c r="D2201" i="1"/>
  <c r="C2201" i="1"/>
  <c r="P2200" i="1"/>
  <c r="L2200" i="1"/>
  <c r="M2203" i="1" s="1"/>
  <c r="D2200" i="1"/>
  <c r="C2200" i="1"/>
  <c r="P2199" i="1"/>
  <c r="D2199" i="1"/>
  <c r="C2199" i="1" s="1"/>
  <c r="P2198" i="1"/>
  <c r="D2198" i="1"/>
  <c r="C2198" i="1"/>
  <c r="P2197" i="1"/>
  <c r="D2197" i="1"/>
  <c r="C2197" i="1" s="1"/>
  <c r="P2196" i="1"/>
  <c r="D2196" i="1"/>
  <c r="C2196" i="1"/>
  <c r="P2195" i="1"/>
  <c r="D2195" i="1"/>
  <c r="C2195" i="1" s="1"/>
  <c r="P2194" i="1"/>
  <c r="D2194" i="1"/>
  <c r="C2194" i="1"/>
  <c r="P2193" i="1"/>
  <c r="D2193" i="1"/>
  <c r="C2193" i="1" s="1"/>
  <c r="P2192" i="1"/>
  <c r="D2192" i="1"/>
  <c r="C2192" i="1"/>
  <c r="P2191" i="1"/>
  <c r="D2191" i="1"/>
  <c r="C2191" i="1" s="1"/>
  <c r="P2190" i="1"/>
  <c r="D2190" i="1"/>
  <c r="C2190" i="1"/>
  <c r="P2189" i="1"/>
  <c r="D2189" i="1"/>
  <c r="C2189" i="1" s="1"/>
  <c r="P2188" i="1"/>
  <c r="D2188" i="1"/>
  <c r="C2188" i="1"/>
  <c r="P2187" i="1"/>
  <c r="D2187" i="1"/>
  <c r="C2187" i="1" s="1"/>
  <c r="P2186" i="1"/>
  <c r="D2186" i="1"/>
  <c r="C2186" i="1"/>
  <c r="P2185" i="1"/>
  <c r="D2185" i="1"/>
  <c r="C2185" i="1" s="1"/>
  <c r="P2184" i="1"/>
  <c r="D2184" i="1"/>
  <c r="C2184" i="1"/>
  <c r="P2183" i="1"/>
  <c r="D2183" i="1"/>
  <c r="C2183" i="1" s="1"/>
  <c r="P2182" i="1"/>
  <c r="D2182" i="1"/>
  <c r="C2182" i="1"/>
  <c r="P2181" i="1"/>
  <c r="D2181" i="1"/>
  <c r="C2181" i="1" s="1"/>
  <c r="P2180" i="1"/>
  <c r="D2180" i="1"/>
  <c r="C2180" i="1"/>
  <c r="P2179" i="1"/>
  <c r="D2179" i="1"/>
  <c r="C2179" i="1" s="1"/>
  <c r="P2178" i="1"/>
  <c r="D2178" i="1"/>
  <c r="C2178" i="1"/>
  <c r="P2177" i="1"/>
  <c r="D2177" i="1"/>
  <c r="C2177" i="1" s="1"/>
  <c r="P2176" i="1"/>
  <c r="D2176" i="1"/>
  <c r="C2176" i="1"/>
  <c r="P2175" i="1"/>
  <c r="D2175" i="1"/>
  <c r="C2175" i="1" s="1"/>
  <c r="P2174" i="1"/>
  <c r="D2174" i="1"/>
  <c r="C2174" i="1"/>
  <c r="P2173" i="1"/>
  <c r="D2173" i="1"/>
  <c r="C2173" i="1" s="1"/>
  <c r="P2172" i="1"/>
  <c r="L2172" i="1"/>
  <c r="D2172" i="1"/>
  <c r="C2172" i="1" s="1"/>
  <c r="P2171" i="1"/>
  <c r="D2171" i="1"/>
  <c r="C2171" i="1"/>
  <c r="P2170" i="1"/>
  <c r="D2170" i="1"/>
  <c r="C2170" i="1" s="1"/>
  <c r="P2169" i="1"/>
  <c r="D2169" i="1"/>
  <c r="C2169" i="1"/>
  <c r="P2168" i="1"/>
  <c r="D2168" i="1"/>
  <c r="C2168" i="1" s="1"/>
  <c r="P2167" i="1"/>
  <c r="D2167" i="1"/>
  <c r="C2167" i="1"/>
  <c r="P2166" i="1"/>
  <c r="D2166" i="1"/>
  <c r="C2166" i="1" s="1"/>
  <c r="P2165" i="1"/>
  <c r="D2165" i="1"/>
  <c r="C2165" i="1"/>
  <c r="P2164" i="1"/>
  <c r="D2164" i="1"/>
  <c r="C2164" i="1" s="1"/>
  <c r="P2163" i="1"/>
  <c r="D2163" i="1"/>
  <c r="C2163" i="1"/>
  <c r="P2162" i="1"/>
  <c r="D2162" i="1"/>
  <c r="C2162" i="1" s="1"/>
  <c r="P2161" i="1"/>
  <c r="D2161" i="1"/>
  <c r="C2161" i="1"/>
  <c r="P2160" i="1"/>
  <c r="D2160" i="1"/>
  <c r="C2160" i="1" s="1"/>
  <c r="P2159" i="1"/>
  <c r="D2159" i="1"/>
  <c r="C2159" i="1"/>
  <c r="P2158" i="1"/>
  <c r="D2158" i="1"/>
  <c r="C2158" i="1" s="1"/>
  <c r="P2157" i="1"/>
  <c r="D2157" i="1"/>
  <c r="C2157" i="1"/>
  <c r="P2156" i="1"/>
  <c r="D2156" i="1"/>
  <c r="C2156" i="1" s="1"/>
  <c r="P2155" i="1"/>
  <c r="D2155" i="1"/>
  <c r="C2155" i="1"/>
  <c r="P2154" i="1"/>
  <c r="D2154" i="1"/>
  <c r="C2154" i="1" s="1"/>
  <c r="P2153" i="1"/>
  <c r="D2153" i="1"/>
  <c r="C2153" i="1"/>
  <c r="P2152" i="1"/>
  <c r="D2152" i="1"/>
  <c r="C2152" i="1" s="1"/>
  <c r="P2151" i="1"/>
  <c r="D2151" i="1"/>
  <c r="C2151" i="1"/>
  <c r="P2150" i="1"/>
  <c r="D2150" i="1"/>
  <c r="C2150" i="1" s="1"/>
  <c r="P2149" i="1"/>
  <c r="D2149" i="1"/>
  <c r="C2149" i="1"/>
  <c r="P2148" i="1"/>
  <c r="D2148" i="1"/>
  <c r="C2148" i="1" s="1"/>
  <c r="P2147" i="1"/>
  <c r="D2147" i="1"/>
  <c r="C2147" i="1"/>
  <c r="P2146" i="1"/>
  <c r="D2146" i="1"/>
  <c r="C2146" i="1" s="1"/>
  <c r="P2145" i="1"/>
  <c r="D2145" i="1"/>
  <c r="C2145" i="1"/>
  <c r="P2144" i="1"/>
  <c r="D2144" i="1"/>
  <c r="C2144" i="1" s="1"/>
  <c r="P2143" i="1"/>
  <c r="D2143" i="1"/>
  <c r="C2143" i="1"/>
  <c r="P2142" i="1"/>
  <c r="D2142" i="1"/>
  <c r="C2142" i="1" s="1"/>
  <c r="P2141" i="1"/>
  <c r="D2141" i="1"/>
  <c r="C2141" i="1"/>
  <c r="P2140" i="1"/>
  <c r="D2140" i="1"/>
  <c r="C2140" i="1" s="1"/>
  <c r="P2139" i="1"/>
  <c r="D2139" i="1"/>
  <c r="C2139" i="1"/>
  <c r="P2138" i="1"/>
  <c r="D2138" i="1"/>
  <c r="C2138" i="1" s="1"/>
  <c r="P2137" i="1"/>
  <c r="D2137" i="1"/>
  <c r="C2137" i="1"/>
  <c r="P2136" i="1"/>
  <c r="D2136" i="1"/>
  <c r="C2136" i="1" s="1"/>
  <c r="P2135" i="1"/>
  <c r="D2135" i="1"/>
  <c r="C2135" i="1"/>
  <c r="P2134" i="1"/>
  <c r="D2134" i="1"/>
  <c r="C2134" i="1" s="1"/>
  <c r="P2133" i="1"/>
  <c r="D2133" i="1"/>
  <c r="C2133" i="1"/>
  <c r="P2132" i="1"/>
  <c r="D2132" i="1"/>
  <c r="C2132" i="1" s="1"/>
  <c r="P2131" i="1"/>
  <c r="D2131" i="1"/>
  <c r="C2131" i="1"/>
  <c r="P2130" i="1"/>
  <c r="D2130" i="1"/>
  <c r="C2130" i="1" s="1"/>
  <c r="P2129" i="1"/>
  <c r="D2129" i="1"/>
  <c r="C2129" i="1"/>
  <c r="P2128" i="1"/>
  <c r="D2128" i="1"/>
  <c r="C2128" i="1" s="1"/>
  <c r="P2127" i="1"/>
  <c r="D2127" i="1"/>
  <c r="C2127" i="1"/>
  <c r="P2126" i="1"/>
  <c r="D2126" i="1"/>
  <c r="C2126" i="1" s="1"/>
  <c r="P2125" i="1"/>
  <c r="D2125" i="1"/>
  <c r="C2125" i="1"/>
  <c r="P2124" i="1"/>
  <c r="D2124" i="1"/>
  <c r="C2124" i="1" s="1"/>
  <c r="P2123" i="1"/>
  <c r="D2123" i="1"/>
  <c r="C2123" i="1"/>
  <c r="P2122" i="1"/>
  <c r="D2122" i="1"/>
  <c r="C2122" i="1" s="1"/>
  <c r="P2121" i="1"/>
  <c r="D2121" i="1"/>
  <c r="C2121" i="1"/>
  <c r="P2120" i="1"/>
  <c r="D2120" i="1"/>
  <c r="C2120" i="1" s="1"/>
  <c r="P2119" i="1"/>
  <c r="D2119" i="1"/>
  <c r="C2119" i="1" s="1"/>
  <c r="P2118" i="1"/>
  <c r="D2118" i="1"/>
  <c r="C2118" i="1"/>
  <c r="P2117" i="1"/>
  <c r="D2117" i="1"/>
  <c r="C2117" i="1" s="1"/>
  <c r="P2116" i="1"/>
  <c r="L2116" i="1"/>
  <c r="M2119" i="1" s="1"/>
  <c r="D2116" i="1"/>
  <c r="C2116" i="1" s="1"/>
  <c r="P2115" i="1"/>
  <c r="D2115" i="1"/>
  <c r="C2115" i="1"/>
  <c r="P2114" i="1"/>
  <c r="D2114" i="1"/>
  <c r="C2114" i="1" s="1"/>
  <c r="P2113" i="1"/>
  <c r="L2113" i="1"/>
  <c r="D2113" i="1"/>
  <c r="C2113" i="1" s="1"/>
  <c r="P2112" i="1"/>
  <c r="D2112" i="1"/>
  <c r="C2112" i="1"/>
  <c r="P2111" i="1"/>
  <c r="D2111" i="1"/>
  <c r="C2111" i="1" s="1"/>
  <c r="P2110" i="1"/>
  <c r="D2110" i="1"/>
  <c r="C2110" i="1"/>
  <c r="P2109" i="1"/>
  <c r="D2109" i="1"/>
  <c r="C2109" i="1" s="1"/>
  <c r="P2108" i="1"/>
  <c r="D2108" i="1"/>
  <c r="C2108" i="1"/>
  <c r="P2107" i="1"/>
  <c r="D2107" i="1"/>
  <c r="C2107" i="1" s="1"/>
  <c r="P2106" i="1"/>
  <c r="D2106" i="1"/>
  <c r="C2106" i="1"/>
  <c r="P2105" i="1"/>
  <c r="D2105" i="1"/>
  <c r="C2105" i="1" s="1"/>
  <c r="P2104" i="1"/>
  <c r="D2104" i="1"/>
  <c r="C2104" i="1"/>
  <c r="P2103" i="1"/>
  <c r="D2103" i="1"/>
  <c r="C2103" i="1" s="1"/>
  <c r="P2102" i="1"/>
  <c r="D2102" i="1"/>
  <c r="C2102" i="1"/>
  <c r="P2101" i="1"/>
  <c r="D2101" i="1"/>
  <c r="C2101" i="1" s="1"/>
  <c r="P2100" i="1"/>
  <c r="D2100" i="1"/>
  <c r="C2100" i="1"/>
  <c r="P2099" i="1"/>
  <c r="D2099" i="1"/>
  <c r="C2099" i="1" s="1"/>
  <c r="P2098" i="1"/>
  <c r="D2098" i="1"/>
  <c r="C2098" i="1"/>
  <c r="P2097" i="1"/>
  <c r="D2097" i="1"/>
  <c r="C2097" i="1" s="1"/>
  <c r="P2096" i="1"/>
  <c r="D2096" i="1"/>
  <c r="C2096" i="1"/>
  <c r="P2095" i="1"/>
  <c r="D2095" i="1"/>
  <c r="C2095" i="1" s="1"/>
  <c r="P2094" i="1"/>
  <c r="D2094" i="1"/>
  <c r="C2094" i="1"/>
  <c r="P2093" i="1"/>
  <c r="D2093" i="1"/>
  <c r="C2093" i="1" s="1"/>
  <c r="P2092" i="1"/>
  <c r="D2092" i="1"/>
  <c r="C2092" i="1"/>
  <c r="P2091" i="1"/>
  <c r="D2091" i="1"/>
  <c r="C2091" i="1" s="1"/>
  <c r="P2090" i="1"/>
  <c r="D2090" i="1"/>
  <c r="C2090" i="1"/>
  <c r="P2089" i="1"/>
  <c r="D2089" i="1"/>
  <c r="C2089" i="1" s="1"/>
  <c r="P2088" i="1"/>
  <c r="D2088" i="1"/>
  <c r="C2088" i="1"/>
  <c r="P2087" i="1"/>
  <c r="D2087" i="1"/>
  <c r="C2087" i="1" s="1"/>
  <c r="P2086" i="1"/>
  <c r="D2086" i="1"/>
  <c r="C2086" i="1"/>
  <c r="P2085" i="1"/>
  <c r="D2085" i="1"/>
  <c r="C2085" i="1" s="1"/>
  <c r="P2084" i="1"/>
  <c r="D2084" i="1"/>
  <c r="C2084" i="1"/>
  <c r="P2083" i="1"/>
  <c r="D2083" i="1"/>
  <c r="C2083" i="1" s="1"/>
  <c r="P2082" i="1"/>
  <c r="D2082" i="1"/>
  <c r="C2082" i="1"/>
  <c r="P2081" i="1"/>
  <c r="D2081" i="1"/>
  <c r="C2081" i="1" s="1"/>
  <c r="P2080" i="1"/>
  <c r="D2080" i="1"/>
  <c r="C2080" i="1"/>
  <c r="P2079" i="1"/>
  <c r="D2079" i="1"/>
  <c r="C2079" i="1" s="1"/>
  <c r="P2078" i="1"/>
  <c r="D2078" i="1"/>
  <c r="C2078" i="1"/>
  <c r="P2077" i="1"/>
  <c r="D2077" i="1"/>
  <c r="C2077" i="1" s="1"/>
  <c r="P2076" i="1"/>
  <c r="D2076" i="1"/>
  <c r="C2076" i="1"/>
  <c r="P2075" i="1"/>
  <c r="D2075" i="1"/>
  <c r="C2075" i="1" s="1"/>
  <c r="P2074" i="1"/>
  <c r="D2074" i="1"/>
  <c r="C2074" i="1"/>
  <c r="P2073" i="1"/>
  <c r="D2073" i="1"/>
  <c r="C2073" i="1" s="1"/>
  <c r="P2072" i="1"/>
  <c r="D2072" i="1"/>
  <c r="C2072" i="1"/>
  <c r="P2071" i="1"/>
  <c r="D2071" i="1"/>
  <c r="C2071" i="1" s="1"/>
  <c r="P2070" i="1"/>
  <c r="D2070" i="1"/>
  <c r="C2070" i="1"/>
  <c r="P2069" i="1"/>
  <c r="D2069" i="1"/>
  <c r="C2069" i="1" s="1"/>
  <c r="P2068" i="1"/>
  <c r="D2068" i="1"/>
  <c r="C2068" i="1"/>
  <c r="P2067" i="1"/>
  <c r="D2067" i="1"/>
  <c r="C2067" i="1" s="1"/>
  <c r="P2066" i="1"/>
  <c r="D2066" i="1"/>
  <c r="C2066" i="1"/>
  <c r="P2065" i="1"/>
  <c r="D2065" i="1"/>
  <c r="C2065" i="1" s="1"/>
  <c r="P2064" i="1"/>
  <c r="D2064" i="1"/>
  <c r="C2064" i="1"/>
  <c r="P2063" i="1"/>
  <c r="D2063" i="1"/>
  <c r="C2063" i="1" s="1"/>
  <c r="P2062" i="1"/>
  <c r="D2062" i="1"/>
  <c r="C2062" i="1"/>
  <c r="P2061" i="1"/>
  <c r="D2061" i="1"/>
  <c r="C2061" i="1" s="1"/>
  <c r="P2060" i="1"/>
  <c r="D2060" i="1"/>
  <c r="C2060" i="1"/>
  <c r="P2059" i="1"/>
  <c r="D2059" i="1"/>
  <c r="C2059" i="1" s="1"/>
  <c r="P2058" i="1"/>
  <c r="D2058" i="1"/>
  <c r="C2058" i="1"/>
  <c r="P2057" i="1"/>
  <c r="D2057" i="1"/>
  <c r="C2057" i="1" s="1"/>
  <c r="P2056" i="1"/>
  <c r="D2056" i="1"/>
  <c r="C2056" i="1"/>
  <c r="P2055" i="1"/>
  <c r="D2055" i="1"/>
  <c r="C2055" i="1" s="1"/>
  <c r="P2054" i="1"/>
  <c r="D2054" i="1"/>
  <c r="C2054" i="1"/>
  <c r="P2053" i="1"/>
  <c r="D2053" i="1"/>
  <c r="C2053" i="1" s="1"/>
  <c r="P2052" i="1"/>
  <c r="D2052" i="1"/>
  <c r="C2052" i="1"/>
  <c r="P2051" i="1"/>
  <c r="D2051" i="1"/>
  <c r="C2051" i="1" s="1"/>
  <c r="P2050" i="1"/>
  <c r="D2050" i="1"/>
  <c r="C2050" i="1"/>
  <c r="P2049" i="1"/>
  <c r="D2049" i="1"/>
  <c r="C2049" i="1" s="1"/>
  <c r="P2048" i="1"/>
  <c r="D2048" i="1"/>
  <c r="C2048" i="1"/>
  <c r="P2047" i="1"/>
  <c r="L2047" i="1"/>
  <c r="D2047" i="1"/>
  <c r="C2047" i="1"/>
  <c r="P2046" i="1"/>
  <c r="L2046" i="1"/>
  <c r="D2046" i="1"/>
  <c r="C2046" i="1"/>
  <c r="P2045" i="1"/>
  <c r="D2045" i="1"/>
  <c r="C2045" i="1" s="1"/>
  <c r="P2044" i="1"/>
  <c r="D2044" i="1"/>
  <c r="C2044" i="1"/>
  <c r="P2043" i="1"/>
  <c r="D2043" i="1"/>
  <c r="C2043" i="1" s="1"/>
  <c r="P2042" i="1"/>
  <c r="D2042" i="1"/>
  <c r="C2042" i="1"/>
  <c r="P2041" i="1"/>
  <c r="D2041" i="1"/>
  <c r="C2041" i="1" s="1"/>
  <c r="P2040" i="1"/>
  <c r="D2040" i="1"/>
  <c r="C2040" i="1"/>
  <c r="P2039" i="1"/>
  <c r="D2039" i="1"/>
  <c r="C2039" i="1" s="1"/>
  <c r="P2038" i="1"/>
  <c r="D2038" i="1"/>
  <c r="C2038" i="1"/>
  <c r="P2037" i="1"/>
  <c r="D2037" i="1"/>
  <c r="C2037" i="1" s="1"/>
  <c r="P2036" i="1"/>
  <c r="D2036" i="1"/>
  <c r="C2036" i="1"/>
  <c r="P2035" i="1"/>
  <c r="D2035" i="1"/>
  <c r="C2035" i="1" s="1"/>
  <c r="P2034" i="1"/>
  <c r="D2034" i="1"/>
  <c r="C2034" i="1"/>
  <c r="P2033" i="1"/>
  <c r="D2033" i="1"/>
  <c r="C2033" i="1" s="1"/>
  <c r="P2032" i="1"/>
  <c r="D2032" i="1"/>
  <c r="C2032" i="1"/>
  <c r="P2031" i="1"/>
  <c r="D2031" i="1"/>
  <c r="C2031" i="1" s="1"/>
  <c r="P2030" i="1"/>
  <c r="D2030" i="1"/>
  <c r="C2030" i="1"/>
  <c r="P2029" i="1"/>
  <c r="D2029" i="1"/>
  <c r="C2029" i="1" s="1"/>
  <c r="P2028" i="1"/>
  <c r="D2028" i="1"/>
  <c r="C2028" i="1"/>
  <c r="P2027" i="1"/>
  <c r="D2027" i="1"/>
  <c r="C2027" i="1" s="1"/>
  <c r="P2026" i="1"/>
  <c r="D2026" i="1"/>
  <c r="C2026" i="1"/>
  <c r="P2025" i="1"/>
  <c r="D2025" i="1"/>
  <c r="C2025" i="1" s="1"/>
  <c r="P2024" i="1"/>
  <c r="D2024" i="1"/>
  <c r="C2024" i="1"/>
  <c r="P2023" i="1"/>
  <c r="D2023" i="1"/>
  <c r="C2023" i="1" s="1"/>
  <c r="P2022" i="1"/>
  <c r="D2022" i="1"/>
  <c r="C2022" i="1"/>
  <c r="P2021" i="1"/>
  <c r="D2021" i="1"/>
  <c r="C2021" i="1" s="1"/>
  <c r="P2020" i="1"/>
  <c r="D2020" i="1"/>
  <c r="C2020" i="1"/>
  <c r="P2019" i="1"/>
  <c r="D2019" i="1"/>
  <c r="C2019" i="1" s="1"/>
  <c r="P2018" i="1"/>
  <c r="D2018" i="1"/>
  <c r="C2018" i="1"/>
  <c r="P2017" i="1"/>
  <c r="D2017" i="1"/>
  <c r="C2017" i="1" s="1"/>
  <c r="P2016" i="1"/>
  <c r="D2016" i="1"/>
  <c r="C2016" i="1"/>
  <c r="P2015" i="1"/>
  <c r="D2015" i="1"/>
  <c r="C2015" i="1" s="1"/>
  <c r="P2014" i="1"/>
  <c r="D2014" i="1"/>
  <c r="C2014" i="1"/>
  <c r="P2013" i="1"/>
  <c r="D2013" i="1"/>
  <c r="C2013" i="1" s="1"/>
  <c r="P2012" i="1"/>
  <c r="D2012" i="1"/>
  <c r="C2012" i="1"/>
  <c r="P2011" i="1"/>
  <c r="D2011" i="1"/>
  <c r="C2011" i="1" s="1"/>
  <c r="P2010" i="1"/>
  <c r="D2010" i="1"/>
  <c r="C2010" i="1"/>
  <c r="P2009" i="1"/>
  <c r="D2009" i="1"/>
  <c r="C2009" i="1" s="1"/>
  <c r="P2008" i="1"/>
  <c r="D2008" i="1"/>
  <c r="C2008" i="1"/>
  <c r="P2007" i="1"/>
  <c r="D2007" i="1"/>
  <c r="C2007" i="1" s="1"/>
  <c r="P2006" i="1"/>
  <c r="D2006" i="1"/>
  <c r="C2006" i="1"/>
  <c r="P2005" i="1"/>
  <c r="D2005" i="1"/>
  <c r="C2005" i="1" s="1"/>
  <c r="P2004" i="1"/>
  <c r="L2004" i="1"/>
  <c r="D2004" i="1"/>
  <c r="C2004" i="1" s="1"/>
  <c r="P2003" i="1"/>
  <c r="D2003" i="1"/>
  <c r="C2003" i="1"/>
  <c r="P2002" i="1"/>
  <c r="D2002" i="1"/>
  <c r="C2002" i="1" s="1"/>
  <c r="P2001" i="1"/>
  <c r="D2001" i="1"/>
  <c r="C2001" i="1"/>
  <c r="P2000" i="1"/>
  <c r="D2000" i="1"/>
  <c r="C2000" i="1" s="1"/>
  <c r="P1999" i="1"/>
  <c r="D1999" i="1"/>
  <c r="C1999" i="1"/>
  <c r="P1998" i="1"/>
  <c r="D1998" i="1"/>
  <c r="C1998" i="1" s="1"/>
  <c r="P1997" i="1"/>
  <c r="D1997" i="1"/>
  <c r="C1997" i="1"/>
  <c r="P1996" i="1"/>
  <c r="D1996" i="1"/>
  <c r="C1996" i="1" s="1"/>
  <c r="P1995" i="1"/>
  <c r="D1995" i="1"/>
  <c r="C1995" i="1"/>
  <c r="P1994" i="1"/>
  <c r="D1994" i="1"/>
  <c r="C1994" i="1" s="1"/>
  <c r="P1993" i="1"/>
  <c r="D1993" i="1"/>
  <c r="C1993" i="1"/>
  <c r="P1992" i="1"/>
  <c r="D1992" i="1"/>
  <c r="C1992" i="1" s="1"/>
  <c r="P1991" i="1"/>
  <c r="D1991" i="1"/>
  <c r="C1991" i="1"/>
  <c r="P1990" i="1"/>
  <c r="D1990" i="1"/>
  <c r="C1990" i="1" s="1"/>
  <c r="P1989" i="1"/>
  <c r="D1989" i="1"/>
  <c r="C1989" i="1"/>
  <c r="P1988" i="1"/>
  <c r="D1988" i="1"/>
  <c r="C1988" i="1" s="1"/>
  <c r="P1987" i="1"/>
  <c r="D1987" i="1"/>
  <c r="C1987" i="1"/>
  <c r="P1986" i="1"/>
  <c r="D1986" i="1"/>
  <c r="C1986" i="1" s="1"/>
  <c r="P1985" i="1"/>
  <c r="D1985" i="1"/>
  <c r="C1985" i="1"/>
  <c r="P1984" i="1"/>
  <c r="D1984" i="1"/>
  <c r="C1984" i="1" s="1"/>
  <c r="P1983" i="1"/>
  <c r="D1983" i="1"/>
  <c r="C1983" i="1"/>
  <c r="P1982" i="1"/>
  <c r="D1982" i="1"/>
  <c r="C1982" i="1" s="1"/>
  <c r="P1981" i="1"/>
  <c r="D1981" i="1"/>
  <c r="C1981" i="1"/>
  <c r="P1980" i="1"/>
  <c r="D1980" i="1"/>
  <c r="C1980" i="1" s="1"/>
  <c r="P1979" i="1"/>
  <c r="D1979" i="1"/>
  <c r="C1979" i="1"/>
  <c r="P1978" i="1"/>
  <c r="D1978" i="1"/>
  <c r="C1978" i="1" s="1"/>
  <c r="P1977" i="1"/>
  <c r="D1977" i="1"/>
  <c r="C1977" i="1"/>
  <c r="P1976" i="1"/>
  <c r="D1976" i="1"/>
  <c r="C1976" i="1" s="1"/>
  <c r="P1975" i="1"/>
  <c r="D1975" i="1"/>
  <c r="C1975" i="1"/>
  <c r="P1974" i="1"/>
  <c r="D1974" i="1"/>
  <c r="C1974" i="1" s="1"/>
  <c r="P1973" i="1"/>
  <c r="D1973" i="1"/>
  <c r="C1973" i="1"/>
  <c r="P1972" i="1"/>
  <c r="D1972" i="1"/>
  <c r="C1972" i="1" s="1"/>
  <c r="P1971" i="1"/>
  <c r="D1971" i="1"/>
  <c r="C1971" i="1"/>
  <c r="P1970" i="1"/>
  <c r="D1970" i="1"/>
  <c r="C1970" i="1" s="1"/>
  <c r="P1969" i="1"/>
  <c r="D1969" i="1"/>
  <c r="C1969" i="1"/>
  <c r="P1968" i="1"/>
  <c r="D1968" i="1"/>
  <c r="C1968" i="1" s="1"/>
  <c r="P1967" i="1"/>
  <c r="D1967" i="1"/>
  <c r="C1967" i="1"/>
  <c r="P1966" i="1"/>
  <c r="D1966" i="1"/>
  <c r="C1966" i="1" s="1"/>
  <c r="P1965" i="1"/>
  <c r="D1965" i="1"/>
  <c r="C1965" i="1"/>
  <c r="P1964" i="1"/>
  <c r="D1964" i="1"/>
  <c r="C1964" i="1" s="1"/>
  <c r="P1963" i="1"/>
  <c r="D1963" i="1"/>
  <c r="C1963" i="1"/>
  <c r="P1962" i="1"/>
  <c r="D1962" i="1"/>
  <c r="C1962" i="1" s="1"/>
  <c r="P1961" i="1"/>
  <c r="D1961" i="1"/>
  <c r="C1961" i="1" s="1"/>
  <c r="P1960" i="1"/>
  <c r="D1960" i="1"/>
  <c r="C1960" i="1" s="1"/>
  <c r="P1959" i="1"/>
  <c r="D1959" i="1"/>
  <c r="C1959" i="1"/>
  <c r="P1958" i="1"/>
  <c r="D1958" i="1"/>
  <c r="C1958" i="1" s="1"/>
  <c r="P1957" i="1"/>
  <c r="D1957" i="1"/>
  <c r="C1957" i="1" s="1"/>
  <c r="P1956" i="1"/>
  <c r="D1956" i="1"/>
  <c r="C1956" i="1" s="1"/>
  <c r="P1955" i="1"/>
  <c r="D1955" i="1"/>
  <c r="C1955" i="1"/>
  <c r="P1954" i="1"/>
  <c r="D1954" i="1"/>
  <c r="C1954" i="1"/>
  <c r="P1953" i="1"/>
  <c r="L1953" i="1"/>
  <c r="D1953" i="1"/>
  <c r="C1953" i="1" s="1"/>
  <c r="P1952" i="1"/>
  <c r="D1952" i="1"/>
  <c r="C1952" i="1"/>
  <c r="P1951" i="1"/>
  <c r="D1951" i="1"/>
  <c r="C1951" i="1" s="1"/>
  <c r="P1950" i="1"/>
  <c r="D1950" i="1"/>
  <c r="C1950" i="1" s="1"/>
  <c r="P1949" i="1"/>
  <c r="D1949" i="1"/>
  <c r="C1949" i="1" s="1"/>
  <c r="P1948" i="1"/>
  <c r="D1948" i="1"/>
  <c r="C1948" i="1"/>
  <c r="P1947" i="1"/>
  <c r="D1947" i="1"/>
  <c r="C1947" i="1" s="1"/>
  <c r="P1946" i="1"/>
  <c r="D1946" i="1"/>
  <c r="C1946" i="1" s="1"/>
  <c r="P1945" i="1"/>
  <c r="D1945" i="1"/>
  <c r="C1945" i="1" s="1"/>
  <c r="P1944" i="1"/>
  <c r="D1944" i="1"/>
  <c r="C1944" i="1"/>
  <c r="P1943" i="1"/>
  <c r="D1943" i="1"/>
  <c r="C1943" i="1" s="1"/>
  <c r="P1942" i="1"/>
  <c r="D1942" i="1"/>
  <c r="C1942" i="1" s="1"/>
  <c r="P1941" i="1"/>
  <c r="D1941" i="1"/>
  <c r="C1941" i="1" s="1"/>
  <c r="P1940" i="1"/>
  <c r="D1940" i="1"/>
  <c r="C1940" i="1"/>
  <c r="P1939" i="1"/>
  <c r="D1939" i="1"/>
  <c r="C1939" i="1" s="1"/>
  <c r="P1938" i="1"/>
  <c r="D1938" i="1"/>
  <c r="C1938" i="1" s="1"/>
  <c r="P1937" i="1"/>
  <c r="D1937" i="1"/>
  <c r="C1937" i="1" s="1"/>
  <c r="P1936" i="1"/>
  <c r="D1936" i="1"/>
  <c r="C1936" i="1"/>
  <c r="P1935" i="1"/>
  <c r="D1935" i="1"/>
  <c r="C1935" i="1" s="1"/>
  <c r="P1934" i="1"/>
  <c r="D1934" i="1"/>
  <c r="C1934" i="1" s="1"/>
  <c r="P1933" i="1"/>
  <c r="D1933" i="1"/>
  <c r="C1933" i="1" s="1"/>
  <c r="P1932" i="1"/>
  <c r="D1932" i="1"/>
  <c r="C1932" i="1"/>
  <c r="P1931" i="1"/>
  <c r="D1931" i="1"/>
  <c r="C1931" i="1" s="1"/>
  <c r="P1930" i="1"/>
  <c r="D1930" i="1"/>
  <c r="C1930" i="1" s="1"/>
  <c r="P1929" i="1"/>
  <c r="D1929" i="1"/>
  <c r="C1929" i="1" s="1"/>
  <c r="P1928" i="1"/>
  <c r="D1928" i="1"/>
  <c r="C1928" i="1"/>
  <c r="P1927" i="1"/>
  <c r="D1927" i="1"/>
  <c r="C1927" i="1" s="1"/>
  <c r="P1926" i="1"/>
  <c r="D1926" i="1"/>
  <c r="C1926" i="1" s="1"/>
  <c r="P1925" i="1"/>
  <c r="D1925" i="1"/>
  <c r="C1925" i="1" s="1"/>
  <c r="P1924" i="1"/>
  <c r="D1924" i="1"/>
  <c r="C1924" i="1"/>
  <c r="P1923" i="1"/>
  <c r="D1923" i="1"/>
  <c r="C1923" i="1" s="1"/>
  <c r="P1922" i="1"/>
  <c r="D1922" i="1"/>
  <c r="C1922" i="1" s="1"/>
  <c r="P1921" i="1"/>
  <c r="D1921" i="1"/>
  <c r="C1921" i="1" s="1"/>
  <c r="P1920" i="1"/>
  <c r="D1920" i="1"/>
  <c r="C1920" i="1"/>
  <c r="P1919" i="1"/>
  <c r="D1919" i="1"/>
  <c r="C1919" i="1" s="1"/>
  <c r="P1918" i="1"/>
  <c r="D1918" i="1"/>
  <c r="C1918" i="1" s="1"/>
  <c r="P1917" i="1"/>
  <c r="D1917" i="1"/>
  <c r="C1917" i="1" s="1"/>
  <c r="P1916" i="1"/>
  <c r="D1916" i="1"/>
  <c r="C1916" i="1" s="1"/>
  <c r="P1915" i="1"/>
  <c r="D1915" i="1"/>
  <c r="C1915" i="1" s="1"/>
  <c r="P1914" i="1"/>
  <c r="D1914" i="1"/>
  <c r="C1914" i="1"/>
  <c r="P1913" i="1"/>
  <c r="D1913" i="1"/>
  <c r="C1913" i="1" s="1"/>
  <c r="P1912" i="1"/>
  <c r="D1912" i="1"/>
  <c r="C1912" i="1"/>
  <c r="P1911" i="1"/>
  <c r="D1911" i="1"/>
  <c r="C1911" i="1" s="1"/>
  <c r="P1910" i="1"/>
  <c r="D1910" i="1"/>
  <c r="C1910" i="1"/>
  <c r="P1909" i="1"/>
  <c r="D1909" i="1"/>
  <c r="C1909" i="1" s="1"/>
  <c r="P1908" i="1"/>
  <c r="D1908" i="1"/>
  <c r="C1908" i="1"/>
  <c r="P1907" i="1"/>
  <c r="D1907" i="1"/>
  <c r="C1907" i="1" s="1"/>
  <c r="P1906" i="1"/>
  <c r="D1906" i="1"/>
  <c r="C1906" i="1" s="1"/>
  <c r="P1905" i="1"/>
  <c r="M1905" i="1"/>
  <c r="D1905" i="1"/>
  <c r="C1905" i="1" s="1"/>
  <c r="P1904" i="1"/>
  <c r="D1904" i="1"/>
  <c r="C1904" i="1"/>
  <c r="P1903" i="1"/>
  <c r="D1903" i="1"/>
  <c r="C1903" i="1" s="1"/>
  <c r="P1902" i="1"/>
  <c r="M1902" i="1"/>
  <c r="D1902" i="1"/>
  <c r="C1902" i="1" s="1"/>
  <c r="P1901" i="1"/>
  <c r="D1901" i="1"/>
  <c r="C1901" i="1"/>
  <c r="P1900" i="1"/>
  <c r="M1900" i="1"/>
  <c r="D1900" i="1"/>
  <c r="C1900" i="1" s="1"/>
  <c r="P1899" i="1"/>
  <c r="D1899" i="1"/>
  <c r="C1899" i="1" s="1"/>
  <c r="P1898" i="1"/>
  <c r="D1898" i="1"/>
  <c r="C1898" i="1"/>
  <c r="P1897" i="1"/>
  <c r="D1897" i="1"/>
  <c r="C1897" i="1" s="1"/>
  <c r="P1896" i="1"/>
  <c r="D1896" i="1"/>
  <c r="C1896" i="1" s="1"/>
  <c r="P1895" i="1"/>
  <c r="D1895" i="1"/>
  <c r="C1895" i="1"/>
  <c r="P1894" i="1"/>
  <c r="L1894" i="1"/>
  <c r="M1896" i="1" s="1"/>
  <c r="D1894" i="1"/>
  <c r="C1894" i="1" s="1"/>
  <c r="P1893" i="1"/>
  <c r="D1893" i="1"/>
  <c r="C1893" i="1" s="1"/>
  <c r="P1892" i="1"/>
  <c r="M1892" i="1"/>
  <c r="D1892" i="1"/>
  <c r="C1892" i="1" s="1"/>
  <c r="P1891" i="1"/>
  <c r="D1891" i="1"/>
  <c r="C1891" i="1"/>
  <c r="P1890" i="1"/>
  <c r="D1890" i="1"/>
  <c r="C1890" i="1"/>
  <c r="P1889" i="1"/>
  <c r="M1889" i="1"/>
  <c r="D1889" i="1"/>
  <c r="C1889" i="1" s="1"/>
  <c r="P1888" i="1"/>
  <c r="M1888" i="1"/>
  <c r="D1888" i="1"/>
  <c r="C1888" i="1"/>
  <c r="P1887" i="1"/>
  <c r="D1887" i="1"/>
  <c r="C1887" i="1"/>
  <c r="P1886" i="1"/>
  <c r="D1886" i="1"/>
  <c r="C1886" i="1" s="1"/>
  <c r="P1885" i="1"/>
  <c r="L1885" i="1"/>
  <c r="M1890" i="1" s="1"/>
  <c r="D1885" i="1"/>
  <c r="C1885" i="1" s="1"/>
  <c r="P1884" i="1"/>
  <c r="M1884" i="1"/>
  <c r="D1884" i="1"/>
  <c r="C1884" i="1" s="1"/>
  <c r="P1883" i="1"/>
  <c r="D1883" i="1"/>
  <c r="C1883" i="1"/>
  <c r="P1882" i="1"/>
  <c r="D1882" i="1"/>
  <c r="C1882" i="1" s="1"/>
  <c r="P1881" i="1"/>
  <c r="D1881" i="1"/>
  <c r="C1881" i="1"/>
  <c r="P1880" i="1"/>
  <c r="D1880" i="1"/>
  <c r="C1880" i="1" s="1"/>
  <c r="P1879" i="1"/>
  <c r="D1879" i="1"/>
  <c r="C1879" i="1"/>
  <c r="P1878" i="1"/>
  <c r="D1878" i="1"/>
  <c r="C1878" i="1" s="1"/>
  <c r="P1877" i="1"/>
  <c r="D1877" i="1"/>
  <c r="C1877" i="1"/>
  <c r="P1876" i="1"/>
  <c r="D1876" i="1"/>
  <c r="C1876" i="1"/>
  <c r="P1875" i="1"/>
  <c r="D1875" i="1"/>
  <c r="C1875" i="1" s="1"/>
  <c r="P1874" i="1"/>
  <c r="D1874" i="1"/>
  <c r="C1874" i="1"/>
  <c r="P1873" i="1"/>
  <c r="L1873" i="1"/>
  <c r="M1876" i="1" s="1"/>
  <c r="D1873" i="1"/>
  <c r="C1873" i="1"/>
  <c r="P1872" i="1"/>
  <c r="D1872" i="1"/>
  <c r="C1872" i="1"/>
  <c r="P1871" i="1"/>
  <c r="D1871" i="1"/>
  <c r="C1871" i="1"/>
  <c r="P1870" i="1"/>
  <c r="D1870" i="1"/>
  <c r="C1870" i="1" s="1"/>
  <c r="P1869" i="1"/>
  <c r="D1869" i="1"/>
  <c r="C1869" i="1"/>
  <c r="P1868" i="1"/>
  <c r="M1868" i="1"/>
  <c r="D1868" i="1"/>
  <c r="C1868" i="1" s="1"/>
  <c r="P1867" i="1"/>
  <c r="D1867" i="1"/>
  <c r="C1867" i="1" s="1"/>
  <c r="P1866" i="1"/>
  <c r="D1866" i="1"/>
  <c r="C1866" i="1"/>
  <c r="P1865" i="1"/>
  <c r="D1865" i="1"/>
  <c r="C1865" i="1"/>
  <c r="P1864" i="1"/>
  <c r="D1864" i="1"/>
  <c r="C1864" i="1"/>
  <c r="P1863" i="1"/>
  <c r="D1863" i="1"/>
  <c r="C1863" i="1" s="1"/>
  <c r="P1862" i="1"/>
  <c r="D1862" i="1"/>
  <c r="C1862" i="1"/>
  <c r="P1861" i="1"/>
  <c r="D1861" i="1"/>
  <c r="C1861" i="1"/>
  <c r="P1860" i="1"/>
  <c r="D1860" i="1"/>
  <c r="C1860" i="1"/>
  <c r="P1859" i="1"/>
  <c r="D1859" i="1"/>
  <c r="C1859" i="1" s="1"/>
  <c r="P1858" i="1"/>
  <c r="D1858" i="1"/>
  <c r="C1858" i="1"/>
  <c r="P1857" i="1"/>
  <c r="D1857" i="1"/>
  <c r="C1857" i="1"/>
  <c r="P1856" i="1"/>
  <c r="D1856" i="1"/>
  <c r="C1856" i="1"/>
  <c r="P1855" i="1"/>
  <c r="D1855" i="1"/>
  <c r="C1855" i="1" s="1"/>
  <c r="P1854" i="1"/>
  <c r="D1854" i="1"/>
  <c r="C1854" i="1"/>
  <c r="P1853" i="1"/>
  <c r="D1853" i="1"/>
  <c r="C1853" i="1"/>
  <c r="P1852" i="1"/>
  <c r="D1852" i="1"/>
  <c r="C1852" i="1"/>
  <c r="P1851" i="1"/>
  <c r="D1851" i="1"/>
  <c r="C1851" i="1" s="1"/>
  <c r="P1850" i="1"/>
  <c r="D1850" i="1"/>
  <c r="C1850" i="1"/>
  <c r="P1849" i="1"/>
  <c r="D1849" i="1"/>
  <c r="C1849" i="1"/>
  <c r="P1848" i="1"/>
  <c r="D1848" i="1"/>
  <c r="C1848" i="1"/>
  <c r="P1847" i="1"/>
  <c r="D1847" i="1"/>
  <c r="C1847" i="1" s="1"/>
  <c r="P1846" i="1"/>
  <c r="D1846" i="1"/>
  <c r="C1846" i="1"/>
  <c r="P1845" i="1"/>
  <c r="D1845" i="1"/>
  <c r="C1845" i="1"/>
  <c r="P1844" i="1"/>
  <c r="D1844" i="1"/>
  <c r="C1844" i="1"/>
  <c r="P1843" i="1"/>
  <c r="D1843" i="1"/>
  <c r="C1843" i="1" s="1"/>
  <c r="P1842" i="1"/>
  <c r="D1842" i="1"/>
  <c r="C1842" i="1"/>
  <c r="P1841" i="1"/>
  <c r="D1841" i="1"/>
  <c r="C1841" i="1"/>
  <c r="P1840" i="1"/>
  <c r="D1840" i="1"/>
  <c r="C1840" i="1"/>
  <c r="P1839" i="1"/>
  <c r="D1839" i="1"/>
  <c r="C1839" i="1" s="1"/>
  <c r="P1838" i="1"/>
  <c r="D1838" i="1"/>
  <c r="C1838" i="1"/>
  <c r="P1837" i="1"/>
  <c r="D1837" i="1"/>
  <c r="C1837" i="1"/>
  <c r="P1836" i="1"/>
  <c r="D1836" i="1"/>
  <c r="C1836" i="1"/>
  <c r="P1835" i="1"/>
  <c r="D1835" i="1"/>
  <c r="C1835" i="1" s="1"/>
  <c r="P1834" i="1"/>
  <c r="D1834" i="1"/>
  <c r="C1834" i="1"/>
  <c r="P1833" i="1"/>
  <c r="D1833" i="1"/>
  <c r="C1833" i="1"/>
  <c r="P1832" i="1"/>
  <c r="D1832" i="1"/>
  <c r="C1832" i="1"/>
  <c r="P1831" i="1"/>
  <c r="D1831" i="1"/>
  <c r="C1831" i="1" s="1"/>
  <c r="P1830" i="1"/>
  <c r="D1830" i="1"/>
  <c r="C1830" i="1"/>
  <c r="P1829" i="1"/>
  <c r="D1829" i="1"/>
  <c r="C1829" i="1"/>
  <c r="P1828" i="1"/>
  <c r="D1828" i="1"/>
  <c r="C1828" i="1"/>
  <c r="P1827" i="1"/>
  <c r="D1827" i="1"/>
  <c r="C1827" i="1" s="1"/>
  <c r="P1826" i="1"/>
  <c r="D1826" i="1"/>
  <c r="C1826" i="1"/>
  <c r="P1825" i="1"/>
  <c r="D1825" i="1"/>
  <c r="C1825" i="1"/>
  <c r="P1824" i="1"/>
  <c r="D1824" i="1"/>
  <c r="C1824" i="1"/>
  <c r="P1823" i="1"/>
  <c r="D1823" i="1"/>
  <c r="C1823" i="1" s="1"/>
  <c r="P1822" i="1"/>
  <c r="D1822" i="1"/>
  <c r="C1822" i="1"/>
  <c r="P1821" i="1"/>
  <c r="D1821" i="1"/>
  <c r="C1821" i="1"/>
  <c r="P1820" i="1"/>
  <c r="D1820" i="1"/>
  <c r="C1820" i="1"/>
  <c r="P1819" i="1"/>
  <c r="D1819" i="1"/>
  <c r="C1819" i="1" s="1"/>
  <c r="P1818" i="1"/>
  <c r="D1818" i="1"/>
  <c r="C1818" i="1"/>
  <c r="P1817" i="1"/>
  <c r="D1817" i="1"/>
  <c r="C1817" i="1"/>
  <c r="P1816" i="1"/>
  <c r="D1816" i="1"/>
  <c r="C1816" i="1"/>
  <c r="P1815" i="1"/>
  <c r="D1815" i="1"/>
  <c r="C1815" i="1" s="1"/>
  <c r="P1814" i="1"/>
  <c r="D1814" i="1"/>
  <c r="C1814" i="1"/>
  <c r="P1813" i="1"/>
  <c r="D1813" i="1"/>
  <c r="C1813" i="1"/>
  <c r="P1812" i="1"/>
  <c r="D1812" i="1"/>
  <c r="C1812" i="1"/>
  <c r="P1811" i="1"/>
  <c r="D1811" i="1"/>
  <c r="C1811" i="1" s="1"/>
  <c r="P1810" i="1"/>
  <c r="D1810" i="1"/>
  <c r="C1810" i="1"/>
  <c r="P1809" i="1"/>
  <c r="D1809" i="1"/>
  <c r="C1809" i="1"/>
  <c r="P1808" i="1"/>
  <c r="D1808" i="1"/>
  <c r="C1808" i="1"/>
  <c r="P1807" i="1"/>
  <c r="D1807" i="1"/>
  <c r="C1807" i="1" s="1"/>
  <c r="P1806" i="1"/>
  <c r="D1806" i="1"/>
  <c r="C1806" i="1"/>
  <c r="P1805" i="1"/>
  <c r="D1805" i="1"/>
  <c r="C1805" i="1"/>
  <c r="P1804" i="1"/>
  <c r="D1804" i="1"/>
  <c r="C1804" i="1"/>
  <c r="P1803" i="1"/>
  <c r="D1803" i="1"/>
  <c r="C1803" i="1" s="1"/>
  <c r="P1802" i="1"/>
  <c r="D1802" i="1"/>
  <c r="C1802" i="1"/>
  <c r="P1801" i="1"/>
  <c r="D1801" i="1"/>
  <c r="C1801" i="1"/>
  <c r="P1800" i="1"/>
  <c r="D1800" i="1"/>
  <c r="C1800" i="1"/>
  <c r="P1799" i="1"/>
  <c r="D1799" i="1"/>
  <c r="C1799" i="1" s="1"/>
  <c r="P1798" i="1"/>
  <c r="D1798" i="1"/>
  <c r="C1798" i="1"/>
  <c r="P1797" i="1"/>
  <c r="D1797" i="1"/>
  <c r="C1797" i="1"/>
  <c r="P1796" i="1"/>
  <c r="D1796" i="1"/>
  <c r="C1796" i="1"/>
  <c r="P1795" i="1"/>
  <c r="D1795" i="1"/>
  <c r="C1795" i="1" s="1"/>
  <c r="P1794" i="1"/>
  <c r="D1794" i="1"/>
  <c r="C1794" i="1"/>
  <c r="P1793" i="1"/>
  <c r="D1793" i="1"/>
  <c r="C1793" i="1"/>
  <c r="P1792" i="1"/>
  <c r="D1792" i="1"/>
  <c r="C1792" i="1"/>
  <c r="P1791" i="1"/>
  <c r="D1791" i="1"/>
  <c r="C1791" i="1" s="1"/>
  <c r="P1790" i="1"/>
  <c r="D1790" i="1"/>
  <c r="C1790" i="1"/>
  <c r="P1789" i="1"/>
  <c r="D1789" i="1"/>
  <c r="C1789" i="1"/>
  <c r="P1788" i="1"/>
  <c r="D1788" i="1"/>
  <c r="C1788" i="1"/>
  <c r="P1787" i="1"/>
  <c r="D1787" i="1"/>
  <c r="C1787" i="1" s="1"/>
  <c r="P1786" i="1"/>
  <c r="D1786" i="1"/>
  <c r="C1786" i="1"/>
  <c r="P1785" i="1"/>
  <c r="D1785" i="1"/>
  <c r="C1785" i="1"/>
  <c r="P1784" i="1"/>
  <c r="D1784" i="1"/>
  <c r="C1784" i="1"/>
  <c r="P1783" i="1"/>
  <c r="D1783" i="1"/>
  <c r="C1783" i="1" s="1"/>
  <c r="P1782" i="1"/>
  <c r="D1782" i="1"/>
  <c r="C1782" i="1"/>
  <c r="P1781" i="1"/>
  <c r="D1781" i="1"/>
  <c r="C1781" i="1"/>
  <c r="P1780" i="1"/>
  <c r="D1780" i="1"/>
  <c r="C1780" i="1"/>
  <c r="P1779" i="1"/>
  <c r="D1779" i="1"/>
  <c r="C1779" i="1" s="1"/>
  <c r="P1778" i="1"/>
  <c r="D1778" i="1"/>
  <c r="C1778" i="1"/>
  <c r="P1777" i="1"/>
  <c r="D1777" i="1"/>
  <c r="C1777" i="1"/>
  <c r="P1776" i="1"/>
  <c r="D1776" i="1"/>
  <c r="C1776" i="1"/>
  <c r="P1775" i="1"/>
  <c r="D1775" i="1"/>
  <c r="C1775" i="1" s="1"/>
  <c r="P1774" i="1"/>
  <c r="D1774" i="1"/>
  <c r="C1774" i="1"/>
  <c r="P1773" i="1"/>
  <c r="D1773" i="1"/>
  <c r="C1773" i="1"/>
  <c r="P1772" i="1"/>
  <c r="D1772" i="1"/>
  <c r="C1772" i="1"/>
  <c r="P1771" i="1"/>
  <c r="D1771" i="1"/>
  <c r="C1771" i="1" s="1"/>
  <c r="P1770" i="1"/>
  <c r="D1770" i="1"/>
  <c r="C1770" i="1"/>
  <c r="P1769" i="1"/>
  <c r="D1769" i="1"/>
  <c r="C1769" i="1"/>
  <c r="P1768" i="1"/>
  <c r="D1768" i="1"/>
  <c r="C1768" i="1"/>
  <c r="P1767" i="1"/>
  <c r="D1767" i="1"/>
  <c r="C1767" i="1" s="1"/>
  <c r="P1766" i="1"/>
  <c r="D1766" i="1"/>
  <c r="C1766" i="1"/>
  <c r="P1765" i="1"/>
  <c r="D1765" i="1"/>
  <c r="C1765" i="1"/>
  <c r="P1764" i="1"/>
  <c r="D1764" i="1"/>
  <c r="C1764" i="1"/>
  <c r="P1763" i="1"/>
  <c r="D1763" i="1"/>
  <c r="C1763" i="1" s="1"/>
  <c r="P1762" i="1"/>
  <c r="D1762" i="1"/>
  <c r="C1762" i="1"/>
  <c r="P1761" i="1"/>
  <c r="D1761" i="1"/>
  <c r="C1761" i="1"/>
  <c r="P1760" i="1"/>
  <c r="D1760" i="1"/>
  <c r="C1760" i="1"/>
  <c r="P1759" i="1"/>
  <c r="D1759" i="1"/>
  <c r="C1759" i="1" s="1"/>
  <c r="P1758" i="1"/>
  <c r="D1758" i="1"/>
  <c r="C1758" i="1"/>
  <c r="P1757" i="1"/>
  <c r="D1757" i="1"/>
  <c r="C1757" i="1"/>
  <c r="P1756" i="1"/>
  <c r="D1756" i="1"/>
  <c r="C1756" i="1"/>
  <c r="P1755" i="1"/>
  <c r="D1755" i="1"/>
  <c r="C1755" i="1" s="1"/>
  <c r="P1754" i="1"/>
  <c r="D1754" i="1"/>
  <c r="C1754" i="1"/>
  <c r="P1753" i="1"/>
  <c r="D1753" i="1"/>
  <c r="C1753" i="1"/>
  <c r="P1752" i="1"/>
  <c r="D1752" i="1"/>
  <c r="C1752" i="1"/>
  <c r="P1751" i="1"/>
  <c r="D1751" i="1"/>
  <c r="C1751" i="1" s="1"/>
  <c r="P1750" i="1"/>
  <c r="D1750" i="1"/>
  <c r="C1750" i="1"/>
  <c r="P1749" i="1"/>
  <c r="D1749" i="1"/>
  <c r="C1749" i="1"/>
  <c r="P1748" i="1"/>
  <c r="D1748" i="1"/>
  <c r="C1748" i="1"/>
  <c r="P1747" i="1"/>
  <c r="D1747" i="1"/>
  <c r="C1747" i="1" s="1"/>
  <c r="P1746" i="1"/>
  <c r="D1746" i="1"/>
  <c r="C1746" i="1"/>
  <c r="P1745" i="1"/>
  <c r="D1745" i="1"/>
  <c r="C1745" i="1"/>
  <c r="P1744" i="1"/>
  <c r="D1744" i="1"/>
  <c r="C1744" i="1"/>
  <c r="P1743" i="1"/>
  <c r="D1743" i="1"/>
  <c r="C1743" i="1" s="1"/>
  <c r="P1742" i="1"/>
  <c r="D1742" i="1"/>
  <c r="C1742" i="1"/>
  <c r="P1741" i="1"/>
  <c r="D1741" i="1"/>
  <c r="C1741" i="1"/>
  <c r="P1740" i="1"/>
  <c r="D1740" i="1"/>
  <c r="C1740" i="1"/>
  <c r="P1739" i="1"/>
  <c r="D1739" i="1"/>
  <c r="C1739" i="1" s="1"/>
  <c r="P1738" i="1"/>
  <c r="D1738" i="1"/>
  <c r="C1738" i="1"/>
  <c r="P1737" i="1"/>
  <c r="D1737" i="1"/>
  <c r="C1737" i="1"/>
  <c r="P1736" i="1"/>
  <c r="D1736" i="1"/>
  <c r="C1736" i="1"/>
  <c r="P1735" i="1"/>
  <c r="D1735" i="1"/>
  <c r="C1735" i="1" s="1"/>
  <c r="P1734" i="1"/>
  <c r="D1734" i="1"/>
  <c r="C1734" i="1"/>
  <c r="P1733" i="1"/>
  <c r="D1733" i="1"/>
  <c r="C1733" i="1"/>
  <c r="P1732" i="1"/>
  <c r="D1732" i="1"/>
  <c r="C1732" i="1"/>
  <c r="P1731" i="1"/>
  <c r="D1731" i="1"/>
  <c r="C1731" i="1" s="1"/>
  <c r="P1730" i="1"/>
  <c r="D1730" i="1"/>
  <c r="C1730" i="1"/>
  <c r="P1729" i="1"/>
  <c r="D1729" i="1"/>
  <c r="C1729" i="1" s="1"/>
  <c r="P1728" i="1"/>
  <c r="D1728" i="1"/>
  <c r="C1728" i="1"/>
  <c r="P1727" i="1"/>
  <c r="D1727" i="1"/>
  <c r="C1727" i="1" s="1"/>
  <c r="P1726" i="1"/>
  <c r="D1726" i="1"/>
  <c r="C1726" i="1"/>
  <c r="P1725" i="1"/>
  <c r="D1725" i="1"/>
  <c r="C1725" i="1" s="1"/>
  <c r="P1724" i="1"/>
  <c r="D1724" i="1"/>
  <c r="C1724" i="1"/>
  <c r="P1723" i="1"/>
  <c r="D1723" i="1"/>
  <c r="C1723" i="1" s="1"/>
  <c r="P1722" i="1"/>
  <c r="D1722" i="1"/>
  <c r="C1722" i="1"/>
  <c r="P1721" i="1"/>
  <c r="D1721" i="1"/>
  <c r="C1721" i="1" s="1"/>
  <c r="P1720" i="1"/>
  <c r="D1720" i="1"/>
  <c r="C1720" i="1"/>
  <c r="P1719" i="1"/>
  <c r="D1719" i="1"/>
  <c r="C1719" i="1" s="1"/>
  <c r="P1718" i="1"/>
  <c r="D1718" i="1"/>
  <c r="C1718" i="1"/>
  <c r="P1717" i="1"/>
  <c r="D1717" i="1"/>
  <c r="C1717" i="1" s="1"/>
  <c r="P1716" i="1"/>
  <c r="D1716" i="1"/>
  <c r="C1716" i="1"/>
  <c r="P1715" i="1"/>
  <c r="D1715" i="1"/>
  <c r="C1715" i="1" s="1"/>
  <c r="P1714" i="1"/>
  <c r="D1714" i="1"/>
  <c r="C1714" i="1"/>
  <c r="P1713" i="1"/>
  <c r="D1713" i="1"/>
  <c r="C1713" i="1" s="1"/>
  <c r="P1712" i="1"/>
  <c r="D1712" i="1"/>
  <c r="C1712" i="1" s="1"/>
  <c r="P1711" i="1"/>
  <c r="D1711" i="1"/>
  <c r="C1711" i="1" s="1"/>
  <c r="P1710" i="1"/>
  <c r="D1710" i="1"/>
  <c r="C1710" i="1"/>
  <c r="P1709" i="1"/>
  <c r="D1709" i="1"/>
  <c r="C1709" i="1" s="1"/>
  <c r="P1708" i="1"/>
  <c r="D1708" i="1"/>
  <c r="C1708" i="1" s="1"/>
  <c r="P1707" i="1"/>
  <c r="D1707" i="1"/>
  <c r="C1707" i="1" s="1"/>
  <c r="P1706" i="1"/>
  <c r="D1706" i="1"/>
  <c r="C1706" i="1"/>
  <c r="P1705" i="1"/>
  <c r="D1705" i="1"/>
  <c r="C1705" i="1" s="1"/>
  <c r="P1704" i="1"/>
  <c r="D1704" i="1"/>
  <c r="C1704" i="1" s="1"/>
  <c r="P1703" i="1"/>
  <c r="D1703" i="1"/>
  <c r="C1703" i="1" s="1"/>
  <c r="P1702" i="1"/>
  <c r="D1702" i="1"/>
  <c r="C1702" i="1"/>
  <c r="P1701" i="1"/>
  <c r="D1701" i="1"/>
  <c r="C1701" i="1" s="1"/>
  <c r="P1700" i="1"/>
  <c r="D1700" i="1"/>
  <c r="C1700" i="1"/>
  <c r="P1699" i="1"/>
  <c r="D1699" i="1"/>
  <c r="C1699" i="1" s="1"/>
  <c r="P1698" i="1"/>
  <c r="D1698" i="1"/>
  <c r="C1698" i="1"/>
  <c r="P1697" i="1"/>
  <c r="D1697" i="1"/>
  <c r="C1697" i="1" s="1"/>
  <c r="P1696" i="1"/>
  <c r="D1696" i="1"/>
  <c r="C1696" i="1"/>
  <c r="P1695" i="1"/>
  <c r="D1695" i="1"/>
  <c r="C1695" i="1" s="1"/>
  <c r="P1694" i="1"/>
  <c r="D1694" i="1"/>
  <c r="C1694" i="1"/>
  <c r="P1693" i="1"/>
  <c r="D1693" i="1"/>
  <c r="C1693" i="1" s="1"/>
  <c r="P1692" i="1"/>
  <c r="D1692" i="1"/>
  <c r="C1692" i="1"/>
  <c r="P1691" i="1"/>
  <c r="D1691" i="1"/>
  <c r="C1691" i="1" s="1"/>
  <c r="P1690" i="1"/>
  <c r="D1690" i="1"/>
  <c r="C1690" i="1"/>
  <c r="P1689" i="1"/>
  <c r="D1689" i="1"/>
  <c r="C1689" i="1" s="1"/>
  <c r="P1688" i="1"/>
  <c r="D1688" i="1"/>
  <c r="C1688" i="1"/>
  <c r="P1687" i="1"/>
  <c r="D1687" i="1"/>
  <c r="C1687" i="1" s="1"/>
  <c r="P1686" i="1"/>
  <c r="D1686" i="1"/>
  <c r="C1686" i="1"/>
  <c r="P1685" i="1"/>
  <c r="D1685" i="1"/>
  <c r="C1685" i="1" s="1"/>
  <c r="P1684" i="1"/>
  <c r="D1684" i="1"/>
  <c r="C1684" i="1"/>
  <c r="P1683" i="1"/>
  <c r="D1683" i="1"/>
  <c r="C1683" i="1" s="1"/>
  <c r="P1682" i="1"/>
  <c r="D1682" i="1"/>
  <c r="C1682" i="1"/>
  <c r="P1681" i="1"/>
  <c r="D1681" i="1"/>
  <c r="C1681" i="1" s="1"/>
  <c r="P1680" i="1"/>
  <c r="D1680" i="1"/>
  <c r="C1680" i="1"/>
  <c r="P1679" i="1"/>
  <c r="D1679" i="1"/>
  <c r="C1679" i="1" s="1"/>
  <c r="P1678" i="1"/>
  <c r="D1678" i="1"/>
  <c r="C1678" i="1"/>
  <c r="P1677" i="1"/>
  <c r="D1677" i="1"/>
  <c r="C1677" i="1" s="1"/>
  <c r="P1676" i="1"/>
  <c r="D1676" i="1"/>
  <c r="C1676" i="1"/>
  <c r="P1675" i="1"/>
  <c r="D1675" i="1"/>
  <c r="C1675" i="1" s="1"/>
  <c r="P1674" i="1"/>
  <c r="D1674" i="1"/>
  <c r="C1674" i="1"/>
  <c r="P1673" i="1"/>
  <c r="D1673" i="1"/>
  <c r="C1673" i="1" s="1"/>
  <c r="P1672" i="1"/>
  <c r="D1672" i="1"/>
  <c r="C1672" i="1"/>
  <c r="P1671" i="1"/>
  <c r="D1671" i="1"/>
  <c r="C1671" i="1" s="1"/>
  <c r="P1670" i="1"/>
  <c r="D1670" i="1"/>
  <c r="C1670" i="1"/>
  <c r="P1669" i="1"/>
  <c r="D1669" i="1"/>
  <c r="C1669" i="1" s="1"/>
  <c r="P1668" i="1"/>
  <c r="D1668" i="1"/>
  <c r="C1668" i="1"/>
  <c r="P1667" i="1"/>
  <c r="D1667" i="1"/>
  <c r="C1667" i="1" s="1"/>
  <c r="P1666" i="1"/>
  <c r="D1666" i="1"/>
  <c r="C1666" i="1"/>
  <c r="P1665" i="1"/>
  <c r="D1665" i="1"/>
  <c r="C1665" i="1" s="1"/>
  <c r="P1664" i="1"/>
  <c r="D1664" i="1"/>
  <c r="C1664" i="1"/>
  <c r="P1663" i="1"/>
  <c r="D1663" i="1"/>
  <c r="C1663" i="1" s="1"/>
  <c r="P1662" i="1"/>
  <c r="D1662" i="1"/>
  <c r="C1662" i="1"/>
  <c r="P1661" i="1"/>
  <c r="D1661" i="1"/>
  <c r="C1661" i="1" s="1"/>
  <c r="P1660" i="1"/>
  <c r="D1660" i="1"/>
  <c r="C1660" i="1"/>
  <c r="P1659" i="1"/>
  <c r="D1659" i="1"/>
  <c r="C1659" i="1" s="1"/>
  <c r="P1658" i="1"/>
  <c r="D1658" i="1"/>
  <c r="C1658" i="1"/>
  <c r="P1657" i="1"/>
  <c r="D1657" i="1"/>
  <c r="C1657" i="1" s="1"/>
  <c r="P1656" i="1"/>
  <c r="D1656" i="1"/>
  <c r="C1656" i="1"/>
  <c r="P1655" i="1"/>
  <c r="D1655" i="1"/>
  <c r="C1655" i="1" s="1"/>
  <c r="P1654" i="1"/>
  <c r="D1654" i="1"/>
  <c r="C1654" i="1"/>
  <c r="P1653" i="1"/>
  <c r="D1653" i="1"/>
  <c r="C1653" i="1" s="1"/>
  <c r="P1652" i="1"/>
  <c r="D1652" i="1"/>
  <c r="C1652" i="1"/>
  <c r="P1651" i="1"/>
  <c r="D1651" i="1"/>
  <c r="C1651" i="1" s="1"/>
  <c r="P1650" i="1"/>
  <c r="D1650" i="1"/>
  <c r="C1650" i="1"/>
  <c r="P1649" i="1"/>
  <c r="D1649" i="1"/>
  <c r="C1649" i="1" s="1"/>
  <c r="P1648" i="1"/>
  <c r="D1648" i="1"/>
  <c r="C1648" i="1"/>
  <c r="P1647" i="1"/>
  <c r="D1647" i="1"/>
  <c r="C1647" i="1" s="1"/>
  <c r="P1646" i="1"/>
  <c r="D1646" i="1"/>
  <c r="C1646" i="1"/>
  <c r="P1645" i="1"/>
  <c r="D1645" i="1"/>
  <c r="C1645" i="1" s="1"/>
  <c r="P1644" i="1"/>
  <c r="D1644" i="1"/>
  <c r="C1644" i="1"/>
  <c r="P1643" i="1"/>
  <c r="D1643" i="1"/>
  <c r="C1643" i="1" s="1"/>
  <c r="P1642" i="1"/>
  <c r="D1642" i="1"/>
  <c r="C1642" i="1"/>
  <c r="P1641" i="1"/>
  <c r="D1641" i="1"/>
  <c r="C1641" i="1" s="1"/>
  <c r="P1640" i="1"/>
  <c r="D1640" i="1"/>
  <c r="C1640" i="1"/>
  <c r="P1639" i="1"/>
  <c r="D1639" i="1"/>
  <c r="C1639" i="1" s="1"/>
  <c r="P1638" i="1"/>
  <c r="D1638" i="1"/>
  <c r="C1638" i="1"/>
  <c r="P1637" i="1"/>
  <c r="D1637" i="1"/>
  <c r="C1637" i="1" s="1"/>
  <c r="P1636" i="1"/>
  <c r="D1636" i="1"/>
  <c r="C1636" i="1"/>
  <c r="P1635" i="1"/>
  <c r="D1635" i="1"/>
  <c r="C1635" i="1" s="1"/>
  <c r="P1634" i="1"/>
  <c r="D1634" i="1"/>
  <c r="C1634" i="1"/>
  <c r="P1633" i="1"/>
  <c r="D1633" i="1"/>
  <c r="C1633" i="1" s="1"/>
  <c r="P1632" i="1"/>
  <c r="D1632" i="1"/>
  <c r="C1632" i="1"/>
  <c r="P1631" i="1"/>
  <c r="D1631" i="1"/>
  <c r="C1631" i="1" s="1"/>
  <c r="P1630" i="1"/>
  <c r="D1630" i="1"/>
  <c r="C1630" i="1"/>
  <c r="P1629" i="1"/>
  <c r="D1629" i="1"/>
  <c r="C1629" i="1" s="1"/>
  <c r="P1628" i="1"/>
  <c r="D1628" i="1"/>
  <c r="C1628" i="1"/>
  <c r="P1627" i="1"/>
  <c r="D1627" i="1"/>
  <c r="C1627" i="1" s="1"/>
  <c r="P1626" i="1"/>
  <c r="D1626" i="1"/>
  <c r="C1626" i="1"/>
  <c r="P1625" i="1"/>
  <c r="D1625" i="1"/>
  <c r="C1625" i="1" s="1"/>
  <c r="P1624" i="1"/>
  <c r="D1624" i="1"/>
  <c r="C1624" i="1"/>
  <c r="P1623" i="1"/>
  <c r="D1623" i="1"/>
  <c r="C1623" i="1" s="1"/>
  <c r="P1622" i="1"/>
  <c r="D1622" i="1"/>
  <c r="C1622" i="1"/>
  <c r="P1621" i="1"/>
  <c r="D1621" i="1"/>
  <c r="C1621" i="1" s="1"/>
  <c r="P1620" i="1"/>
  <c r="D1620" i="1"/>
  <c r="C1620" i="1"/>
  <c r="P1619" i="1"/>
  <c r="D1619" i="1"/>
  <c r="C1619" i="1" s="1"/>
  <c r="P1618" i="1"/>
  <c r="D1618" i="1"/>
  <c r="C1618" i="1"/>
  <c r="P1617" i="1"/>
  <c r="D1617" i="1"/>
  <c r="C1617" i="1" s="1"/>
  <c r="P1616" i="1"/>
  <c r="D1616" i="1"/>
  <c r="C1616" i="1"/>
  <c r="P1615" i="1"/>
  <c r="D1615" i="1"/>
  <c r="C1615" i="1" s="1"/>
  <c r="P1614" i="1"/>
  <c r="D1614" i="1"/>
  <c r="C1614" i="1"/>
  <c r="P1613" i="1"/>
  <c r="D1613" i="1"/>
  <c r="C1613" i="1" s="1"/>
  <c r="P1612" i="1"/>
  <c r="D1612" i="1"/>
  <c r="C1612" i="1"/>
  <c r="P1611" i="1"/>
  <c r="D1611" i="1"/>
  <c r="C1611" i="1" s="1"/>
  <c r="P1610" i="1"/>
  <c r="D1610" i="1"/>
  <c r="C1610" i="1"/>
  <c r="P1609" i="1"/>
  <c r="D1609" i="1"/>
  <c r="C1609" i="1" s="1"/>
  <c r="P1608" i="1"/>
  <c r="D1608" i="1"/>
  <c r="C1608" i="1"/>
  <c r="P1607" i="1"/>
  <c r="D1607" i="1"/>
  <c r="C1607" i="1" s="1"/>
  <c r="P1606" i="1"/>
  <c r="D1606" i="1"/>
  <c r="C1606" i="1"/>
  <c r="P1605" i="1"/>
  <c r="D1605" i="1"/>
  <c r="C1605" i="1" s="1"/>
  <c r="P1604" i="1"/>
  <c r="D1604" i="1"/>
  <c r="C1604" i="1"/>
  <c r="P1603" i="1"/>
  <c r="D1603" i="1"/>
  <c r="C1603" i="1" s="1"/>
  <c r="P1602" i="1"/>
  <c r="D1602" i="1"/>
  <c r="C1602" i="1"/>
  <c r="P1601" i="1"/>
  <c r="D1601" i="1"/>
  <c r="C1601" i="1" s="1"/>
  <c r="P1600" i="1"/>
  <c r="D1600" i="1"/>
  <c r="C1600" i="1"/>
  <c r="P1599" i="1"/>
  <c r="D1599" i="1"/>
  <c r="C1599" i="1" s="1"/>
  <c r="P1598" i="1"/>
  <c r="D1598" i="1"/>
  <c r="C1598" i="1"/>
  <c r="P1597" i="1"/>
  <c r="D1597" i="1"/>
  <c r="C1597" i="1" s="1"/>
  <c r="P1596" i="1"/>
  <c r="D1596" i="1"/>
  <c r="C1596" i="1"/>
  <c r="P1595" i="1"/>
  <c r="D1595" i="1"/>
  <c r="C1595" i="1" s="1"/>
  <c r="P1594" i="1"/>
  <c r="D1594" i="1"/>
  <c r="C1594" i="1"/>
  <c r="P1593" i="1"/>
  <c r="D1593" i="1"/>
  <c r="C1593" i="1" s="1"/>
  <c r="P1592" i="1"/>
  <c r="D1592" i="1"/>
  <c r="C1592" i="1"/>
  <c r="P1591" i="1"/>
  <c r="D1591" i="1"/>
  <c r="C1591" i="1" s="1"/>
  <c r="P1590" i="1"/>
  <c r="D1590" i="1"/>
  <c r="C1590" i="1"/>
  <c r="P1589" i="1"/>
  <c r="D1589" i="1"/>
  <c r="C1589" i="1" s="1"/>
  <c r="P1588" i="1"/>
  <c r="D1588" i="1"/>
  <c r="C1588" i="1"/>
  <c r="P1587" i="1"/>
  <c r="D1587" i="1"/>
  <c r="C1587" i="1" s="1"/>
  <c r="P1586" i="1"/>
  <c r="D1586" i="1"/>
  <c r="C1586" i="1"/>
  <c r="P1585" i="1"/>
  <c r="D1585" i="1"/>
  <c r="C1585" i="1" s="1"/>
  <c r="P1584" i="1"/>
  <c r="D1584" i="1"/>
  <c r="C1584" i="1"/>
  <c r="P1583" i="1"/>
  <c r="D1583" i="1"/>
  <c r="C1583" i="1" s="1"/>
  <c r="P1582" i="1"/>
  <c r="D1582" i="1"/>
  <c r="C1582" i="1"/>
  <c r="P1581" i="1"/>
  <c r="D1581" i="1"/>
  <c r="C1581" i="1" s="1"/>
  <c r="P1580" i="1"/>
  <c r="D1580" i="1"/>
  <c r="C1580" i="1"/>
  <c r="P1579" i="1"/>
  <c r="D1579" i="1"/>
  <c r="C1579" i="1" s="1"/>
  <c r="P1578" i="1"/>
  <c r="D1578" i="1"/>
  <c r="C1578" i="1"/>
  <c r="P1577" i="1"/>
  <c r="D1577" i="1"/>
  <c r="C1577" i="1" s="1"/>
  <c r="P1576" i="1"/>
  <c r="D1576" i="1"/>
  <c r="C1576" i="1"/>
  <c r="P1575" i="1"/>
  <c r="D1575" i="1"/>
  <c r="C1575" i="1" s="1"/>
  <c r="P1574" i="1"/>
  <c r="D1574" i="1"/>
  <c r="C1574" i="1"/>
  <c r="P1573" i="1"/>
  <c r="D1573" i="1"/>
  <c r="C1573" i="1" s="1"/>
  <c r="P1572" i="1"/>
  <c r="D1572" i="1"/>
  <c r="C1572" i="1"/>
  <c r="P1571" i="1"/>
  <c r="D1571" i="1"/>
  <c r="C1571" i="1" s="1"/>
  <c r="P1570" i="1"/>
  <c r="D1570" i="1"/>
  <c r="C1570" i="1"/>
  <c r="P1569" i="1"/>
  <c r="D1569" i="1"/>
  <c r="C1569" i="1" s="1"/>
  <c r="P1568" i="1"/>
  <c r="D1568" i="1"/>
  <c r="C1568" i="1"/>
  <c r="P1567" i="1"/>
  <c r="D1567" i="1"/>
  <c r="C1567" i="1" s="1"/>
  <c r="P1566" i="1"/>
  <c r="D1566" i="1"/>
  <c r="C1566" i="1"/>
  <c r="P1565" i="1"/>
  <c r="D1565" i="1"/>
  <c r="C1565" i="1" s="1"/>
  <c r="P1564" i="1"/>
  <c r="D1564" i="1"/>
  <c r="C1564" i="1"/>
  <c r="P1563" i="1"/>
  <c r="D1563" i="1"/>
  <c r="C1563" i="1" s="1"/>
  <c r="P1562" i="1"/>
  <c r="D1562" i="1"/>
  <c r="C1562" i="1"/>
  <c r="P1561" i="1"/>
  <c r="D1561" i="1"/>
  <c r="C1561" i="1" s="1"/>
  <c r="P1560" i="1"/>
  <c r="D1560" i="1"/>
  <c r="C1560" i="1"/>
  <c r="P1559" i="1"/>
  <c r="D1559" i="1"/>
  <c r="C1559" i="1" s="1"/>
  <c r="P1558" i="1"/>
  <c r="D1558" i="1"/>
  <c r="C1558" i="1"/>
  <c r="P1557" i="1"/>
  <c r="D1557" i="1"/>
  <c r="C1557" i="1" s="1"/>
  <c r="P1556" i="1"/>
  <c r="D1556" i="1"/>
  <c r="C1556" i="1"/>
  <c r="P1555" i="1"/>
  <c r="D1555" i="1"/>
  <c r="C1555" i="1" s="1"/>
  <c r="P1554" i="1"/>
  <c r="D1554" i="1"/>
  <c r="C1554" i="1"/>
  <c r="P1553" i="1"/>
  <c r="D1553" i="1"/>
  <c r="C1553" i="1" s="1"/>
  <c r="P1552" i="1"/>
  <c r="D1552" i="1"/>
  <c r="C1552" i="1"/>
  <c r="P1551" i="1"/>
  <c r="D1551" i="1"/>
  <c r="C1551" i="1" s="1"/>
  <c r="P1550" i="1"/>
  <c r="D1550" i="1"/>
  <c r="C1550" i="1"/>
  <c r="P1549" i="1"/>
  <c r="D1549" i="1"/>
  <c r="C1549" i="1" s="1"/>
  <c r="P1548" i="1"/>
  <c r="D1548" i="1"/>
  <c r="C1548" i="1"/>
  <c r="P1547" i="1"/>
  <c r="D1547" i="1"/>
  <c r="C1547" i="1" s="1"/>
  <c r="P1546" i="1"/>
  <c r="D1546" i="1"/>
  <c r="C1546" i="1"/>
  <c r="P1545" i="1"/>
  <c r="D1545" i="1"/>
  <c r="C1545" i="1" s="1"/>
  <c r="P1544" i="1"/>
  <c r="D1544" i="1"/>
  <c r="C1544" i="1"/>
  <c r="P1543" i="1"/>
  <c r="D1543" i="1"/>
  <c r="C1543" i="1" s="1"/>
  <c r="P1542" i="1"/>
  <c r="D1542" i="1"/>
  <c r="C1542" i="1"/>
  <c r="P1541" i="1"/>
  <c r="D1541" i="1"/>
  <c r="C1541" i="1" s="1"/>
  <c r="P1540" i="1"/>
  <c r="D1540" i="1"/>
  <c r="C1540" i="1"/>
  <c r="P1539" i="1"/>
  <c r="D1539" i="1"/>
  <c r="C1539" i="1" s="1"/>
  <c r="P1538" i="1"/>
  <c r="D1538" i="1"/>
  <c r="C1538" i="1"/>
  <c r="P1537" i="1"/>
  <c r="D1537" i="1"/>
  <c r="C1537" i="1" s="1"/>
  <c r="P1536" i="1"/>
  <c r="D1536" i="1"/>
  <c r="C1536" i="1"/>
  <c r="P1535" i="1"/>
  <c r="D1535" i="1"/>
  <c r="C1535" i="1" s="1"/>
  <c r="P1534" i="1"/>
  <c r="D1534" i="1"/>
  <c r="C1534" i="1"/>
  <c r="P1533" i="1"/>
  <c r="D1533" i="1"/>
  <c r="C1533" i="1" s="1"/>
  <c r="P1532" i="1"/>
  <c r="D1532" i="1"/>
  <c r="C1532" i="1"/>
  <c r="P1531" i="1"/>
  <c r="D1531" i="1"/>
  <c r="C1531" i="1" s="1"/>
  <c r="P1530" i="1"/>
  <c r="D1530" i="1"/>
  <c r="C1530" i="1"/>
  <c r="P1529" i="1"/>
  <c r="D1529" i="1"/>
  <c r="C1529" i="1" s="1"/>
  <c r="P1528" i="1"/>
  <c r="D1528" i="1"/>
  <c r="C1528" i="1"/>
  <c r="P1527" i="1"/>
  <c r="D1527" i="1"/>
  <c r="C1527" i="1" s="1"/>
  <c r="P1526" i="1"/>
  <c r="D1526" i="1"/>
  <c r="C1526" i="1"/>
  <c r="P1525" i="1"/>
  <c r="D1525" i="1"/>
  <c r="C1525" i="1" s="1"/>
  <c r="P1524" i="1"/>
  <c r="D1524" i="1"/>
  <c r="C1524" i="1"/>
  <c r="P1523" i="1"/>
  <c r="D1523" i="1"/>
  <c r="C1523" i="1" s="1"/>
  <c r="P1522" i="1"/>
  <c r="D1522" i="1"/>
  <c r="C1522" i="1"/>
  <c r="P1521" i="1"/>
  <c r="D1521" i="1"/>
  <c r="C1521" i="1" s="1"/>
  <c r="P1520" i="1"/>
  <c r="D1520" i="1"/>
  <c r="C1520" i="1"/>
  <c r="P1519" i="1"/>
  <c r="D1519" i="1"/>
  <c r="C1519" i="1" s="1"/>
  <c r="P1518" i="1"/>
  <c r="D1518" i="1"/>
  <c r="C1518" i="1"/>
  <c r="P1517" i="1"/>
  <c r="D1517" i="1"/>
  <c r="C1517" i="1" s="1"/>
  <c r="P1516" i="1"/>
  <c r="D1516" i="1"/>
  <c r="C1516" i="1"/>
  <c r="P1515" i="1"/>
  <c r="D1515" i="1"/>
  <c r="C1515" i="1" s="1"/>
  <c r="P1514" i="1"/>
  <c r="D1514" i="1"/>
  <c r="C1514" i="1"/>
  <c r="P1513" i="1"/>
  <c r="D1513" i="1"/>
  <c r="C1513" i="1" s="1"/>
  <c r="P1512" i="1"/>
  <c r="D1512" i="1"/>
  <c r="C1512" i="1"/>
  <c r="P1511" i="1"/>
  <c r="D1511" i="1"/>
  <c r="C1511" i="1" s="1"/>
  <c r="P1510" i="1"/>
  <c r="D1510" i="1"/>
  <c r="C1510" i="1" s="1"/>
  <c r="P1509" i="1"/>
  <c r="D1509" i="1"/>
  <c r="C1509" i="1" s="1"/>
  <c r="P1508" i="1"/>
  <c r="D1508" i="1"/>
  <c r="C1508" i="1"/>
  <c r="P1507" i="1"/>
  <c r="D1507" i="1"/>
  <c r="C1507" i="1"/>
  <c r="P1506" i="1"/>
  <c r="D1506" i="1"/>
  <c r="C1506" i="1"/>
  <c r="P1505" i="1"/>
  <c r="D1505" i="1"/>
  <c r="C1505" i="1" s="1"/>
  <c r="P1504" i="1"/>
  <c r="D1504" i="1"/>
  <c r="C1504" i="1"/>
  <c r="P1503" i="1"/>
  <c r="D1503" i="1"/>
  <c r="C1503" i="1" s="1"/>
  <c r="P1502" i="1"/>
  <c r="D1502" i="1"/>
  <c r="C1502" i="1" s="1"/>
  <c r="P1501" i="1"/>
  <c r="D1501" i="1"/>
  <c r="C1501" i="1"/>
  <c r="P1500" i="1"/>
  <c r="D1500" i="1"/>
  <c r="C1500" i="1"/>
  <c r="P1499" i="1"/>
  <c r="D1499" i="1"/>
  <c r="C1499" i="1" s="1"/>
  <c r="P1498" i="1"/>
  <c r="D1498" i="1"/>
  <c r="C1498" i="1" s="1"/>
  <c r="P1497" i="1"/>
  <c r="D1497" i="1"/>
  <c r="C1497" i="1"/>
  <c r="P1496" i="1"/>
  <c r="D1496" i="1"/>
  <c r="C1496" i="1"/>
  <c r="P1495" i="1"/>
  <c r="D1495" i="1"/>
  <c r="C1495" i="1" s="1"/>
  <c r="P1494" i="1"/>
  <c r="D1494" i="1"/>
  <c r="C1494" i="1" s="1"/>
  <c r="P1493" i="1"/>
  <c r="D1493" i="1"/>
  <c r="C1493" i="1"/>
  <c r="P1492" i="1"/>
  <c r="D1492" i="1"/>
  <c r="C1492" i="1"/>
  <c r="P1491" i="1"/>
  <c r="D1491" i="1"/>
  <c r="C1491" i="1" s="1"/>
  <c r="P1490" i="1"/>
  <c r="D1490" i="1"/>
  <c r="C1490" i="1" s="1"/>
  <c r="P1489" i="1"/>
  <c r="D1489" i="1"/>
  <c r="C1489" i="1"/>
  <c r="P1488" i="1"/>
  <c r="D1488" i="1"/>
  <c r="C1488" i="1"/>
  <c r="P1487" i="1"/>
  <c r="D1487" i="1"/>
  <c r="C1487" i="1" s="1"/>
  <c r="P1486" i="1"/>
  <c r="D1486" i="1"/>
  <c r="C1486" i="1" s="1"/>
  <c r="P1485" i="1"/>
  <c r="D1485" i="1"/>
  <c r="C1485" i="1"/>
  <c r="P1484" i="1"/>
  <c r="D1484" i="1"/>
  <c r="C1484" i="1"/>
  <c r="P1483" i="1"/>
  <c r="D1483" i="1"/>
  <c r="C1483" i="1" s="1"/>
  <c r="P1482" i="1"/>
  <c r="D1482" i="1"/>
  <c r="C1482" i="1" s="1"/>
  <c r="P1481" i="1"/>
  <c r="D1481" i="1"/>
  <c r="C1481" i="1"/>
  <c r="P1480" i="1"/>
  <c r="D1480" i="1"/>
  <c r="C1480" i="1"/>
  <c r="P1479" i="1"/>
  <c r="D1479" i="1"/>
  <c r="C1479" i="1" s="1"/>
  <c r="P1478" i="1"/>
  <c r="D1478" i="1"/>
  <c r="C1478" i="1" s="1"/>
  <c r="P1477" i="1"/>
  <c r="D1477" i="1"/>
  <c r="C1477" i="1"/>
  <c r="P1476" i="1"/>
  <c r="D1476" i="1"/>
  <c r="C1476" i="1"/>
  <c r="P1475" i="1"/>
  <c r="D1475" i="1"/>
  <c r="C1475" i="1" s="1"/>
  <c r="P1474" i="1"/>
  <c r="D1474" i="1"/>
  <c r="C1474" i="1" s="1"/>
  <c r="P1473" i="1"/>
  <c r="D1473" i="1"/>
  <c r="C1473" i="1"/>
  <c r="P1472" i="1"/>
  <c r="D1472" i="1"/>
  <c r="C1472" i="1"/>
  <c r="P1471" i="1"/>
  <c r="D1471" i="1"/>
  <c r="C1471" i="1" s="1"/>
  <c r="P1470" i="1"/>
  <c r="D1470" i="1"/>
  <c r="C1470" i="1" s="1"/>
  <c r="P1469" i="1"/>
  <c r="D1469" i="1"/>
  <c r="C1469" i="1"/>
  <c r="P1468" i="1"/>
  <c r="D1468" i="1"/>
  <c r="C1468" i="1"/>
  <c r="P1467" i="1"/>
  <c r="D1467" i="1"/>
  <c r="C1467" i="1" s="1"/>
  <c r="P1466" i="1"/>
  <c r="D1466" i="1"/>
  <c r="C1466" i="1" s="1"/>
  <c r="P1465" i="1"/>
  <c r="D1465" i="1"/>
  <c r="C1465" i="1"/>
  <c r="P1464" i="1"/>
  <c r="D1464" i="1"/>
  <c r="C1464" i="1"/>
  <c r="P1463" i="1"/>
  <c r="D1463" i="1"/>
  <c r="C1463" i="1" s="1"/>
  <c r="P1462" i="1"/>
  <c r="D1462" i="1"/>
  <c r="C1462" i="1" s="1"/>
  <c r="P1461" i="1"/>
  <c r="D1461" i="1"/>
  <c r="C1461" i="1"/>
  <c r="P1460" i="1"/>
  <c r="D1460" i="1"/>
  <c r="C1460" i="1"/>
  <c r="P1459" i="1"/>
  <c r="D1459" i="1"/>
  <c r="C1459" i="1" s="1"/>
  <c r="P1458" i="1"/>
  <c r="D1458" i="1"/>
  <c r="C1458" i="1" s="1"/>
  <c r="P1457" i="1"/>
  <c r="D1457" i="1"/>
  <c r="C1457" i="1"/>
  <c r="P1456" i="1"/>
  <c r="D1456" i="1"/>
  <c r="C1456" i="1"/>
  <c r="P1455" i="1"/>
  <c r="D1455" i="1"/>
  <c r="C1455" i="1" s="1"/>
  <c r="P1454" i="1"/>
  <c r="D1454" i="1"/>
  <c r="C1454" i="1" s="1"/>
  <c r="P1453" i="1"/>
  <c r="D1453" i="1"/>
  <c r="C1453" i="1"/>
  <c r="P1452" i="1"/>
  <c r="D1452" i="1"/>
  <c r="C1452" i="1"/>
  <c r="P1451" i="1"/>
  <c r="D1451" i="1"/>
  <c r="C1451" i="1" s="1"/>
  <c r="P1450" i="1"/>
  <c r="D1450" i="1"/>
  <c r="C1450" i="1" s="1"/>
  <c r="P1449" i="1"/>
  <c r="D1449" i="1"/>
  <c r="C1449" i="1"/>
  <c r="P1448" i="1"/>
  <c r="D1448" i="1"/>
  <c r="C1448" i="1"/>
  <c r="P1447" i="1"/>
  <c r="D1447" i="1"/>
  <c r="C1447" i="1" s="1"/>
  <c r="P1446" i="1"/>
  <c r="D1446" i="1"/>
  <c r="C1446" i="1" s="1"/>
  <c r="P1445" i="1"/>
  <c r="D1445" i="1"/>
  <c r="C1445" i="1"/>
  <c r="P1444" i="1"/>
  <c r="D1444" i="1"/>
  <c r="C1444" i="1"/>
  <c r="P1443" i="1"/>
  <c r="D1443" i="1"/>
  <c r="C1443" i="1" s="1"/>
  <c r="P1442" i="1"/>
  <c r="D1442" i="1"/>
  <c r="C1442" i="1" s="1"/>
  <c r="P1441" i="1"/>
  <c r="D1441" i="1"/>
  <c r="C1441" i="1"/>
  <c r="P1440" i="1"/>
  <c r="D1440" i="1"/>
  <c r="C1440" i="1"/>
  <c r="P1439" i="1"/>
  <c r="D1439" i="1"/>
  <c r="C1439" i="1" s="1"/>
  <c r="P1438" i="1"/>
  <c r="D1438" i="1"/>
  <c r="C1438" i="1" s="1"/>
  <c r="P1437" i="1"/>
  <c r="D1437" i="1"/>
  <c r="C1437" i="1"/>
  <c r="P1436" i="1"/>
  <c r="D1436" i="1"/>
  <c r="C1436" i="1"/>
  <c r="P1435" i="1"/>
  <c r="D1435" i="1"/>
  <c r="C1435" i="1" s="1"/>
  <c r="P1434" i="1"/>
  <c r="D1434" i="1"/>
  <c r="C1434" i="1" s="1"/>
  <c r="P1433" i="1"/>
  <c r="D1433" i="1"/>
  <c r="C1433" i="1"/>
  <c r="P1432" i="1"/>
  <c r="D1432" i="1"/>
  <c r="C1432" i="1"/>
  <c r="P1431" i="1"/>
  <c r="D1431" i="1"/>
  <c r="C1431" i="1" s="1"/>
  <c r="P1430" i="1"/>
  <c r="D1430" i="1"/>
  <c r="C1430" i="1" s="1"/>
  <c r="P1429" i="1"/>
  <c r="D1429" i="1"/>
  <c r="C1429" i="1"/>
  <c r="P1428" i="1"/>
  <c r="D1428" i="1"/>
  <c r="C1428" i="1"/>
  <c r="P1427" i="1"/>
  <c r="D1427" i="1"/>
  <c r="C1427" i="1" s="1"/>
  <c r="P1426" i="1"/>
  <c r="D1426" i="1"/>
  <c r="C1426" i="1" s="1"/>
  <c r="P1425" i="1"/>
  <c r="D1425" i="1"/>
  <c r="C1425" i="1"/>
  <c r="P1424" i="1"/>
  <c r="D1424" i="1"/>
  <c r="C1424" i="1"/>
  <c r="P1423" i="1"/>
  <c r="D1423" i="1"/>
  <c r="C1423" i="1" s="1"/>
  <c r="P1422" i="1"/>
  <c r="D1422" i="1"/>
  <c r="C1422" i="1" s="1"/>
  <c r="P1421" i="1"/>
  <c r="D1421" i="1"/>
  <c r="C1421" i="1"/>
  <c r="P1420" i="1"/>
  <c r="D1420" i="1"/>
  <c r="C1420" i="1"/>
  <c r="P1419" i="1"/>
  <c r="D1419" i="1"/>
  <c r="C1419" i="1" s="1"/>
  <c r="P1418" i="1"/>
  <c r="D1418" i="1"/>
  <c r="C1418" i="1" s="1"/>
  <c r="P1417" i="1"/>
  <c r="D1417" i="1"/>
  <c r="C1417" i="1"/>
  <c r="P1416" i="1"/>
  <c r="D1416" i="1"/>
  <c r="C1416" i="1"/>
  <c r="P1415" i="1"/>
  <c r="D1415" i="1"/>
  <c r="C1415" i="1" s="1"/>
  <c r="P1414" i="1"/>
  <c r="D1414" i="1"/>
  <c r="C1414" i="1" s="1"/>
  <c r="P1413" i="1"/>
  <c r="D1413" i="1"/>
  <c r="C1413" i="1"/>
  <c r="P1412" i="1"/>
  <c r="D1412" i="1"/>
  <c r="C1412" i="1"/>
  <c r="P1411" i="1"/>
  <c r="D1411" i="1"/>
  <c r="C1411" i="1" s="1"/>
  <c r="P1410" i="1"/>
  <c r="D1410" i="1"/>
  <c r="C1410" i="1" s="1"/>
  <c r="P1409" i="1"/>
  <c r="D1409" i="1"/>
  <c r="C1409" i="1"/>
  <c r="P1408" i="1"/>
  <c r="D1408" i="1"/>
  <c r="C1408" i="1"/>
  <c r="P1407" i="1"/>
  <c r="D1407" i="1"/>
  <c r="C1407" i="1" s="1"/>
  <c r="P1406" i="1"/>
  <c r="D1406" i="1"/>
  <c r="C1406" i="1" s="1"/>
  <c r="P1405" i="1"/>
  <c r="D1405" i="1"/>
  <c r="C1405" i="1"/>
  <c r="P1404" i="1"/>
  <c r="D1404" i="1"/>
  <c r="C1404" i="1"/>
  <c r="P1403" i="1"/>
  <c r="D1403" i="1"/>
  <c r="C1403" i="1" s="1"/>
  <c r="P1402" i="1"/>
  <c r="D1402" i="1"/>
  <c r="C1402" i="1" s="1"/>
  <c r="P1401" i="1"/>
  <c r="D1401" i="1"/>
  <c r="C1401" i="1"/>
  <c r="P1400" i="1"/>
  <c r="D1400" i="1"/>
  <c r="C1400" i="1"/>
  <c r="P1399" i="1"/>
  <c r="D1399" i="1"/>
  <c r="C1399" i="1" s="1"/>
  <c r="P1398" i="1"/>
  <c r="D1398" i="1"/>
  <c r="C1398" i="1" s="1"/>
  <c r="P1397" i="1"/>
  <c r="D1397" i="1"/>
  <c r="C1397" i="1"/>
  <c r="P1396" i="1"/>
  <c r="D1396" i="1"/>
  <c r="C1396" i="1"/>
  <c r="P1395" i="1"/>
  <c r="D1395" i="1"/>
  <c r="C1395" i="1" s="1"/>
  <c r="P1394" i="1"/>
  <c r="D1394" i="1"/>
  <c r="C1394" i="1" s="1"/>
  <c r="P1393" i="1"/>
  <c r="D1393" i="1"/>
  <c r="C1393" i="1"/>
  <c r="P1392" i="1"/>
  <c r="D1392" i="1"/>
  <c r="C1392" i="1"/>
  <c r="P1391" i="1"/>
  <c r="D1391" i="1"/>
  <c r="C1391" i="1" s="1"/>
  <c r="P1390" i="1"/>
  <c r="D1390" i="1"/>
  <c r="C1390" i="1" s="1"/>
  <c r="P1389" i="1"/>
  <c r="D1389" i="1"/>
  <c r="C1389" i="1"/>
  <c r="P1388" i="1"/>
  <c r="D1388" i="1"/>
  <c r="C1388" i="1"/>
  <c r="P1387" i="1"/>
  <c r="D1387" i="1"/>
  <c r="C1387" i="1" s="1"/>
  <c r="P1386" i="1"/>
  <c r="D1386" i="1"/>
  <c r="C1386" i="1" s="1"/>
  <c r="P1385" i="1"/>
  <c r="D1385" i="1"/>
  <c r="C1385" i="1"/>
  <c r="P1384" i="1"/>
  <c r="D1384" i="1"/>
  <c r="C1384" i="1"/>
  <c r="P1383" i="1"/>
  <c r="D1383" i="1"/>
  <c r="C1383" i="1" s="1"/>
  <c r="P1382" i="1"/>
  <c r="D1382" i="1"/>
  <c r="C1382" i="1" s="1"/>
  <c r="P1381" i="1"/>
  <c r="D1381" i="1"/>
  <c r="C1381" i="1" s="1"/>
  <c r="P1380" i="1"/>
  <c r="D1380" i="1"/>
  <c r="C1380" i="1"/>
  <c r="P1379" i="1"/>
  <c r="D1379" i="1"/>
  <c r="C1379" i="1" s="1"/>
  <c r="P1378" i="1"/>
  <c r="D1378" i="1"/>
  <c r="C1378" i="1" s="1"/>
  <c r="P1377" i="1"/>
  <c r="D1377" i="1"/>
  <c r="C1377" i="1" s="1"/>
  <c r="P1376" i="1"/>
  <c r="D1376" i="1"/>
  <c r="C1376" i="1"/>
  <c r="P1375" i="1"/>
  <c r="D1375" i="1"/>
  <c r="C1375" i="1" s="1"/>
  <c r="P1374" i="1"/>
  <c r="D1374" i="1"/>
  <c r="C1374" i="1" s="1"/>
  <c r="P1373" i="1"/>
  <c r="L1373" i="1"/>
  <c r="G1373" i="1"/>
  <c r="D1373" i="1"/>
  <c r="C1373" i="1" s="1"/>
  <c r="P1372" i="1"/>
  <c r="L1372" i="1"/>
  <c r="G1372" i="1"/>
  <c r="D1372" i="1"/>
  <c r="C1372" i="1"/>
  <c r="P1371" i="1"/>
  <c r="L1371" i="1"/>
  <c r="G1371" i="1"/>
  <c r="D1371" i="1"/>
  <c r="C1371" i="1" s="1"/>
  <c r="P1370" i="1"/>
  <c r="L1370" i="1"/>
  <c r="G1370" i="1"/>
  <c r="D1370" i="1"/>
  <c r="C1370" i="1" s="1"/>
  <c r="P1369" i="1"/>
  <c r="L1369" i="1"/>
  <c r="G1369" i="1"/>
  <c r="D1369" i="1"/>
  <c r="C1369" i="1" s="1"/>
  <c r="P1368" i="1"/>
  <c r="L1368" i="1"/>
  <c r="G1368" i="1"/>
  <c r="D1368" i="1"/>
  <c r="C1368" i="1"/>
  <c r="P1367" i="1"/>
  <c r="L1367" i="1"/>
  <c r="G1367" i="1"/>
  <c r="D1367" i="1"/>
  <c r="C1367" i="1" s="1"/>
  <c r="P1366" i="1"/>
  <c r="L1366" i="1"/>
  <c r="G1366" i="1"/>
  <c r="D1366" i="1"/>
  <c r="C1366" i="1" s="1"/>
  <c r="P1365" i="1"/>
  <c r="L1365" i="1"/>
  <c r="G1365" i="1"/>
  <c r="D1365" i="1"/>
  <c r="C1365" i="1" s="1"/>
  <c r="P1364" i="1"/>
  <c r="L1364" i="1"/>
  <c r="G1364" i="1"/>
  <c r="D1364" i="1"/>
  <c r="C1364" i="1"/>
  <c r="P1363" i="1"/>
  <c r="L1363" i="1"/>
  <c r="G1363" i="1"/>
  <c r="D1363" i="1"/>
  <c r="C1363" i="1" s="1"/>
  <c r="P1362" i="1"/>
  <c r="L1362" i="1"/>
  <c r="G1362" i="1"/>
  <c r="D1362" i="1"/>
  <c r="C1362" i="1" s="1"/>
  <c r="P1361" i="1"/>
  <c r="L1361" i="1"/>
  <c r="G1361" i="1"/>
  <c r="D1361" i="1"/>
  <c r="C1361" i="1" s="1"/>
  <c r="P1360" i="1"/>
  <c r="L1360" i="1"/>
  <c r="G1360" i="1"/>
  <c r="D1360" i="1"/>
  <c r="C1360" i="1"/>
  <c r="P1359" i="1"/>
  <c r="L1359" i="1"/>
  <c r="G1359" i="1"/>
  <c r="D1359" i="1"/>
  <c r="C1359" i="1" s="1"/>
  <c r="P1358" i="1"/>
  <c r="L1358" i="1"/>
  <c r="G1358" i="1"/>
  <c r="D1358" i="1"/>
  <c r="C1358" i="1" s="1"/>
  <c r="P1357" i="1"/>
  <c r="L1357" i="1"/>
  <c r="G1357" i="1"/>
  <c r="D1357" i="1"/>
  <c r="C1357" i="1" s="1"/>
  <c r="P1356" i="1"/>
  <c r="L1356" i="1"/>
  <c r="G1356" i="1"/>
  <c r="D1356" i="1"/>
  <c r="C1356" i="1"/>
  <c r="P1355" i="1"/>
  <c r="L1355" i="1"/>
  <c r="G1355" i="1"/>
  <c r="D1355" i="1"/>
  <c r="C1355" i="1" s="1"/>
  <c r="P1354" i="1"/>
  <c r="L1354" i="1"/>
  <c r="G1354" i="1"/>
  <c r="D1354" i="1"/>
  <c r="C1354" i="1" s="1"/>
  <c r="P1353" i="1"/>
  <c r="L1353" i="1"/>
  <c r="G1353" i="1"/>
  <c r="D1353" i="1"/>
  <c r="C1353" i="1" s="1"/>
  <c r="P1352" i="1"/>
  <c r="L1352" i="1"/>
  <c r="G1352" i="1"/>
  <c r="D1352" i="1"/>
  <c r="C1352" i="1"/>
  <c r="P1351" i="1"/>
  <c r="L1351" i="1"/>
  <c r="G1351" i="1"/>
  <c r="D1351" i="1"/>
  <c r="C1351" i="1" s="1"/>
  <c r="P1350" i="1"/>
  <c r="L1350" i="1"/>
  <c r="G1350" i="1"/>
  <c r="D1350" i="1"/>
  <c r="C1350" i="1" s="1"/>
  <c r="P1349" i="1"/>
  <c r="L1349" i="1"/>
  <c r="G1349" i="1"/>
  <c r="D1349" i="1"/>
  <c r="C1349" i="1" s="1"/>
  <c r="P1348" i="1"/>
  <c r="L1348" i="1"/>
  <c r="G1348" i="1"/>
  <c r="D1348" i="1"/>
  <c r="C1348" i="1"/>
  <c r="P1347" i="1"/>
  <c r="L1347" i="1"/>
  <c r="G1347" i="1"/>
  <c r="D1347" i="1"/>
  <c r="C1347" i="1" s="1"/>
  <c r="P1346" i="1"/>
  <c r="L1346" i="1"/>
  <c r="G1346" i="1"/>
  <c r="D1346" i="1"/>
  <c r="C1346" i="1" s="1"/>
  <c r="P1345" i="1"/>
  <c r="L1345" i="1"/>
  <c r="G1345" i="1"/>
  <c r="D1345" i="1"/>
  <c r="C1345" i="1" s="1"/>
  <c r="P1344" i="1"/>
  <c r="L1344" i="1"/>
  <c r="G1344" i="1"/>
  <c r="D1344" i="1"/>
  <c r="C1344" i="1"/>
  <c r="P1343" i="1"/>
  <c r="L1343" i="1"/>
  <c r="G1343" i="1"/>
  <c r="D1343" i="1"/>
  <c r="C1343" i="1" s="1"/>
  <c r="P1342" i="1"/>
  <c r="L1342" i="1"/>
  <c r="G1342" i="1"/>
  <c r="D1342" i="1"/>
  <c r="C1342" i="1" s="1"/>
  <c r="P1341" i="1"/>
  <c r="L1341" i="1"/>
  <c r="G1341" i="1"/>
  <c r="D1341" i="1"/>
  <c r="C1341" i="1" s="1"/>
  <c r="P1340" i="1"/>
  <c r="L1340" i="1"/>
  <c r="G1340" i="1"/>
  <c r="D1340" i="1"/>
  <c r="C1340" i="1"/>
  <c r="P1339" i="1"/>
  <c r="L1339" i="1"/>
  <c r="G1339" i="1"/>
  <c r="D1339" i="1"/>
  <c r="C1339" i="1" s="1"/>
  <c r="P1338" i="1"/>
  <c r="L1338" i="1"/>
  <c r="G1338" i="1"/>
  <c r="D1338" i="1"/>
  <c r="C1338" i="1" s="1"/>
  <c r="P1337" i="1"/>
  <c r="L1337" i="1"/>
  <c r="G1337" i="1"/>
  <c r="D1337" i="1"/>
  <c r="C1337" i="1" s="1"/>
  <c r="P1336" i="1"/>
  <c r="L1336" i="1"/>
  <c r="G1336" i="1"/>
  <c r="D1336" i="1"/>
  <c r="C1336" i="1"/>
  <c r="P1335" i="1"/>
  <c r="L1335" i="1"/>
  <c r="G1335" i="1"/>
  <c r="D1335" i="1"/>
  <c r="C1335" i="1" s="1"/>
  <c r="P1334" i="1"/>
  <c r="L1334" i="1"/>
  <c r="G1334" i="1"/>
  <c r="D1334" i="1"/>
  <c r="C1334" i="1" s="1"/>
  <c r="P1333" i="1"/>
  <c r="L1333" i="1"/>
  <c r="G1333" i="1"/>
  <c r="D1333" i="1"/>
  <c r="C1333" i="1" s="1"/>
  <c r="P1332" i="1"/>
  <c r="L1332" i="1"/>
  <c r="G1332" i="1"/>
  <c r="D1332" i="1"/>
  <c r="C1332" i="1"/>
  <c r="P1331" i="1"/>
  <c r="L1331" i="1"/>
  <c r="G1331" i="1"/>
  <c r="D1331" i="1"/>
  <c r="C1331" i="1" s="1"/>
  <c r="P1330" i="1"/>
  <c r="L1330" i="1"/>
  <c r="G1330" i="1"/>
  <c r="D1330" i="1"/>
  <c r="C1330" i="1" s="1"/>
  <c r="P1329" i="1"/>
  <c r="L1329" i="1"/>
  <c r="G1329" i="1"/>
  <c r="D1329" i="1"/>
  <c r="C1329" i="1" s="1"/>
  <c r="P1328" i="1"/>
  <c r="L1328" i="1"/>
  <c r="G1328" i="1"/>
  <c r="D1328" i="1"/>
  <c r="C1328" i="1"/>
  <c r="P1327" i="1"/>
  <c r="L1327" i="1"/>
  <c r="G1327" i="1"/>
  <c r="D1327" i="1"/>
  <c r="C1327" i="1" s="1"/>
  <c r="P1326" i="1"/>
  <c r="L1326" i="1"/>
  <c r="G1326" i="1"/>
  <c r="D1326" i="1"/>
  <c r="C1326" i="1" s="1"/>
  <c r="P1325" i="1"/>
  <c r="L1325" i="1"/>
  <c r="G1325" i="1"/>
  <c r="D1325" i="1"/>
  <c r="C1325" i="1" s="1"/>
  <c r="P1324" i="1"/>
  <c r="L1324" i="1"/>
  <c r="G1324" i="1"/>
  <c r="D1324" i="1"/>
  <c r="C1324" i="1"/>
  <c r="P1323" i="1"/>
  <c r="L1323" i="1"/>
  <c r="G1323" i="1"/>
  <c r="D1323" i="1"/>
  <c r="C1323" i="1" s="1"/>
  <c r="P1322" i="1"/>
  <c r="L1322" i="1"/>
  <c r="G1322" i="1"/>
  <c r="D1322" i="1"/>
  <c r="C1322" i="1" s="1"/>
  <c r="P1321" i="1"/>
  <c r="L1321" i="1"/>
  <c r="G1321" i="1"/>
  <c r="D1321" i="1"/>
  <c r="C1321" i="1" s="1"/>
  <c r="P1320" i="1"/>
  <c r="L1320" i="1"/>
  <c r="G1320" i="1"/>
  <c r="D1320" i="1"/>
  <c r="C1320" i="1"/>
  <c r="P1319" i="1"/>
  <c r="L1319" i="1"/>
  <c r="G1319" i="1"/>
  <c r="D1319" i="1"/>
  <c r="C1319" i="1" s="1"/>
  <c r="P1318" i="1"/>
  <c r="L1318" i="1"/>
  <c r="G1318" i="1"/>
  <c r="D1318" i="1"/>
  <c r="C1318" i="1" s="1"/>
  <c r="P1317" i="1"/>
  <c r="L1317" i="1"/>
  <c r="G1317" i="1"/>
  <c r="D1317" i="1"/>
  <c r="C1317" i="1" s="1"/>
  <c r="P1316" i="1"/>
  <c r="L1316" i="1"/>
  <c r="G1316" i="1"/>
  <c r="D1316" i="1"/>
  <c r="C1316" i="1"/>
  <c r="P1315" i="1"/>
  <c r="L1315" i="1"/>
  <c r="G1315" i="1"/>
  <c r="D1315" i="1"/>
  <c r="C1315" i="1" s="1"/>
  <c r="P1314" i="1"/>
  <c r="L1314" i="1"/>
  <c r="D1314" i="1"/>
  <c r="C1314" i="1" s="1"/>
  <c r="P1313" i="1"/>
  <c r="L1313" i="1"/>
  <c r="D1313" i="1"/>
  <c r="C1313" i="1" s="1"/>
  <c r="P1312" i="1"/>
  <c r="L1312" i="1"/>
  <c r="G1312" i="1"/>
  <c r="D1312" i="1"/>
  <c r="C1312" i="1"/>
  <c r="P1311" i="1"/>
  <c r="L1311" i="1"/>
  <c r="G1311" i="1"/>
  <c r="D1311" i="1"/>
  <c r="C1311" i="1" s="1"/>
  <c r="P1310" i="1"/>
  <c r="L1310" i="1"/>
  <c r="G1310" i="1"/>
  <c r="D1310" i="1"/>
  <c r="C1310" i="1"/>
  <c r="P1309" i="1"/>
  <c r="L1309" i="1"/>
  <c r="G1309" i="1"/>
  <c r="D1309" i="1"/>
  <c r="C1309" i="1" s="1"/>
  <c r="P1308" i="1"/>
  <c r="L1308" i="1"/>
  <c r="G1308" i="1"/>
  <c r="D1308" i="1"/>
  <c r="C1308" i="1"/>
  <c r="P1307" i="1"/>
  <c r="L1307" i="1"/>
  <c r="G1307" i="1"/>
  <c r="D1307" i="1"/>
  <c r="C1307" i="1" s="1"/>
  <c r="P1306" i="1"/>
  <c r="L1306" i="1"/>
  <c r="G1306" i="1"/>
  <c r="D1306" i="1"/>
  <c r="C1306" i="1"/>
  <c r="P1305" i="1"/>
  <c r="L1305" i="1"/>
  <c r="G1305" i="1"/>
  <c r="D1305" i="1"/>
  <c r="C1305" i="1" s="1"/>
  <c r="P1304" i="1"/>
  <c r="L1304" i="1"/>
  <c r="G1304" i="1"/>
  <c r="D1304" i="1"/>
  <c r="C1304" i="1"/>
  <c r="P1303" i="1"/>
  <c r="L1303" i="1"/>
  <c r="G1303" i="1"/>
  <c r="D1303" i="1"/>
  <c r="C1303" i="1" s="1"/>
  <c r="P1302" i="1"/>
  <c r="L1302" i="1"/>
  <c r="G1302" i="1"/>
  <c r="D1302" i="1"/>
  <c r="C1302" i="1"/>
  <c r="P1301" i="1"/>
  <c r="L1301" i="1"/>
  <c r="G1301" i="1"/>
  <c r="D1301" i="1"/>
  <c r="C1301" i="1" s="1"/>
  <c r="P1300" i="1"/>
  <c r="L1300" i="1"/>
  <c r="G1300" i="1"/>
  <c r="D1300" i="1"/>
  <c r="C1300" i="1"/>
  <c r="P1299" i="1"/>
  <c r="L1299" i="1"/>
  <c r="G1299" i="1"/>
  <c r="D1299" i="1"/>
  <c r="C1299" i="1" s="1"/>
  <c r="P1298" i="1"/>
  <c r="L1298" i="1"/>
  <c r="G1298" i="1"/>
  <c r="D1298" i="1"/>
  <c r="C1298" i="1"/>
  <c r="P1297" i="1"/>
  <c r="L1297" i="1"/>
  <c r="G1297" i="1"/>
  <c r="D1297" i="1"/>
  <c r="C1297" i="1" s="1"/>
  <c r="P1296" i="1"/>
  <c r="L1296" i="1"/>
  <c r="G1296" i="1"/>
  <c r="D1296" i="1"/>
  <c r="C1296" i="1"/>
  <c r="P1295" i="1"/>
  <c r="L1295" i="1"/>
  <c r="G1295" i="1"/>
  <c r="D1295" i="1"/>
  <c r="C1295" i="1" s="1"/>
  <c r="P1294" i="1"/>
  <c r="L1294" i="1"/>
  <c r="G1294" i="1"/>
  <c r="D1294" i="1"/>
  <c r="C1294" i="1"/>
  <c r="P1293" i="1"/>
  <c r="L1293" i="1"/>
  <c r="G1293" i="1"/>
  <c r="D1293" i="1"/>
  <c r="C1293" i="1" s="1"/>
  <c r="P1292" i="1"/>
  <c r="L1292" i="1"/>
  <c r="G1292" i="1"/>
  <c r="D1292" i="1"/>
  <c r="C1292" i="1"/>
  <c r="P1291" i="1"/>
  <c r="L1291" i="1"/>
  <c r="G1291" i="1"/>
  <c r="D1291" i="1"/>
  <c r="C1291" i="1" s="1"/>
  <c r="P1290" i="1"/>
  <c r="L1290" i="1"/>
  <c r="G1290" i="1"/>
  <c r="D1290" i="1"/>
  <c r="C1290" i="1"/>
  <c r="P1289" i="1"/>
  <c r="L1289" i="1"/>
  <c r="G1289" i="1"/>
  <c r="D1289" i="1"/>
  <c r="C1289" i="1" s="1"/>
  <c r="P1288" i="1"/>
  <c r="L1288" i="1"/>
  <c r="G1288" i="1"/>
  <c r="D1288" i="1"/>
  <c r="C1288" i="1"/>
  <c r="P1287" i="1"/>
  <c r="L1287" i="1"/>
  <c r="G1287" i="1"/>
  <c r="D1287" i="1"/>
  <c r="C1287" i="1" s="1"/>
  <c r="P1286" i="1"/>
  <c r="L1286" i="1"/>
  <c r="G1286" i="1"/>
  <c r="D1286" i="1"/>
  <c r="C1286" i="1"/>
  <c r="P1285" i="1"/>
  <c r="L1285" i="1"/>
  <c r="G1285" i="1"/>
  <c r="D1285" i="1"/>
  <c r="C1285" i="1" s="1"/>
  <c r="P1284" i="1"/>
  <c r="L1284" i="1"/>
  <c r="G1284" i="1"/>
  <c r="D1284" i="1"/>
  <c r="C1284" i="1"/>
  <c r="P1283" i="1"/>
  <c r="L1283" i="1"/>
  <c r="G1283" i="1"/>
  <c r="D1283" i="1"/>
  <c r="C1283" i="1" s="1"/>
  <c r="P1282" i="1"/>
  <c r="L1282" i="1"/>
  <c r="G1282" i="1"/>
  <c r="D1282" i="1"/>
  <c r="C1282" i="1"/>
  <c r="P1281" i="1"/>
  <c r="L1281" i="1"/>
  <c r="G1281" i="1"/>
  <c r="D1281" i="1"/>
  <c r="C1281" i="1" s="1"/>
  <c r="P1280" i="1"/>
  <c r="L1280" i="1"/>
  <c r="G1280" i="1"/>
  <c r="D1280" i="1"/>
  <c r="C1280" i="1"/>
  <c r="P1279" i="1"/>
  <c r="L1279" i="1"/>
  <c r="G1279" i="1"/>
  <c r="D1279" i="1"/>
  <c r="C1279" i="1" s="1"/>
  <c r="P1278" i="1"/>
  <c r="L1278" i="1"/>
  <c r="G1278" i="1"/>
  <c r="D1278" i="1"/>
  <c r="C1278" i="1"/>
  <c r="P1277" i="1"/>
  <c r="L1277" i="1"/>
  <c r="G1277" i="1"/>
  <c r="D1277" i="1"/>
  <c r="C1277" i="1" s="1"/>
  <c r="P1276" i="1"/>
  <c r="L1276" i="1"/>
  <c r="G1276" i="1"/>
  <c r="D1276" i="1"/>
  <c r="C1276" i="1"/>
  <c r="P1275" i="1"/>
  <c r="L1275" i="1"/>
  <c r="G1275" i="1"/>
  <c r="D1275" i="1"/>
  <c r="C1275" i="1" s="1"/>
  <c r="P1274" i="1"/>
  <c r="L1274" i="1"/>
  <c r="G1274" i="1"/>
  <c r="D1274" i="1"/>
  <c r="C1274" i="1"/>
  <c r="P1273" i="1"/>
  <c r="L1273" i="1"/>
  <c r="G1273" i="1"/>
  <c r="D1273" i="1"/>
  <c r="C1273" i="1" s="1"/>
  <c r="P1272" i="1"/>
  <c r="L1272" i="1"/>
  <c r="G1272" i="1"/>
  <c r="D1272" i="1"/>
  <c r="C1272" i="1"/>
  <c r="P1271" i="1"/>
  <c r="L1271" i="1"/>
  <c r="G1271" i="1"/>
  <c r="D1271" i="1"/>
  <c r="C1271" i="1" s="1"/>
  <c r="P1270" i="1"/>
  <c r="L1270" i="1"/>
  <c r="G1270" i="1"/>
  <c r="D1270" i="1"/>
  <c r="C1270" i="1"/>
  <c r="P1269" i="1"/>
  <c r="L1269" i="1"/>
  <c r="G1269" i="1"/>
  <c r="D1269" i="1"/>
  <c r="C1269" i="1" s="1"/>
  <c r="P1268" i="1"/>
  <c r="L1268" i="1"/>
  <c r="G1268" i="1"/>
  <c r="D1268" i="1"/>
  <c r="C1268" i="1"/>
  <c r="P1267" i="1"/>
  <c r="L1267" i="1"/>
  <c r="G1267" i="1"/>
  <c r="D1267" i="1"/>
  <c r="C1267" i="1" s="1"/>
  <c r="P1266" i="1"/>
  <c r="L1266" i="1"/>
  <c r="G1266" i="1"/>
  <c r="D1266" i="1"/>
  <c r="C1266" i="1"/>
  <c r="P1265" i="1"/>
  <c r="L1265" i="1"/>
  <c r="G1265" i="1"/>
  <c r="D1265" i="1"/>
  <c r="C1265" i="1" s="1"/>
  <c r="P1264" i="1"/>
  <c r="L1264" i="1"/>
  <c r="G1264" i="1"/>
  <c r="D1264" i="1"/>
  <c r="C1264" i="1"/>
  <c r="P1263" i="1"/>
  <c r="L1263" i="1"/>
  <c r="G1263" i="1"/>
  <c r="D1263" i="1"/>
  <c r="C1263" i="1" s="1"/>
  <c r="P1262" i="1"/>
  <c r="L1262" i="1"/>
  <c r="G1262" i="1"/>
  <c r="D1262" i="1"/>
  <c r="C1262" i="1"/>
  <c r="P1261" i="1"/>
  <c r="L1261" i="1"/>
  <c r="G1261" i="1"/>
  <c r="D1261" i="1"/>
  <c r="C1261" i="1" s="1"/>
  <c r="P1260" i="1"/>
  <c r="L1260" i="1"/>
  <c r="G1260" i="1"/>
  <c r="D1260" i="1"/>
  <c r="C1260" i="1"/>
  <c r="P1259" i="1"/>
  <c r="L1259" i="1"/>
  <c r="G1259" i="1"/>
  <c r="D1259" i="1"/>
  <c r="C1259" i="1" s="1"/>
  <c r="P1258" i="1"/>
  <c r="L1258" i="1"/>
  <c r="G1258" i="1"/>
  <c r="D1258" i="1"/>
  <c r="C1258" i="1"/>
  <c r="P1257" i="1"/>
  <c r="L1257" i="1"/>
  <c r="G1257" i="1"/>
  <c r="D1257" i="1"/>
  <c r="C1257" i="1" s="1"/>
  <c r="P1256" i="1"/>
  <c r="L1256" i="1"/>
  <c r="G1256" i="1"/>
  <c r="D1256" i="1"/>
  <c r="C1256" i="1"/>
  <c r="P1255" i="1"/>
  <c r="L1255" i="1"/>
  <c r="G1255" i="1"/>
  <c r="D1255" i="1"/>
  <c r="C1255" i="1" s="1"/>
  <c r="P1254" i="1"/>
  <c r="L1254" i="1"/>
  <c r="G1254" i="1"/>
  <c r="D1254" i="1"/>
  <c r="C1254" i="1"/>
  <c r="P1253" i="1"/>
  <c r="L1253" i="1"/>
  <c r="G1253" i="1"/>
  <c r="D1253" i="1"/>
  <c r="C1253" i="1" s="1"/>
  <c r="P1252" i="1"/>
  <c r="L1252" i="1"/>
  <c r="G1252" i="1"/>
  <c r="D1252" i="1"/>
  <c r="C1252" i="1"/>
  <c r="P1251" i="1"/>
  <c r="L1251" i="1"/>
  <c r="G1251" i="1"/>
  <c r="D1251" i="1"/>
  <c r="C1251" i="1" s="1"/>
  <c r="P1250" i="1"/>
  <c r="L1250" i="1"/>
  <c r="G1250" i="1"/>
  <c r="D1250" i="1"/>
  <c r="C1250" i="1"/>
  <c r="P1249" i="1"/>
  <c r="L1249" i="1"/>
  <c r="G1249" i="1"/>
  <c r="D1249" i="1"/>
  <c r="C1249" i="1" s="1"/>
  <c r="P1248" i="1"/>
  <c r="L1248" i="1"/>
  <c r="G1248" i="1"/>
  <c r="D1248" i="1"/>
  <c r="C1248" i="1"/>
  <c r="P1247" i="1"/>
  <c r="L1247" i="1"/>
  <c r="G1247" i="1"/>
  <c r="D1247" i="1"/>
  <c r="C1247" i="1" s="1"/>
  <c r="P1246" i="1"/>
  <c r="L1246" i="1"/>
  <c r="G1246" i="1"/>
  <c r="D1246" i="1"/>
  <c r="C1246" i="1"/>
  <c r="P1245" i="1"/>
  <c r="L1245" i="1"/>
  <c r="G1245" i="1"/>
  <c r="D1245" i="1"/>
  <c r="C1245" i="1" s="1"/>
  <c r="P1244" i="1"/>
  <c r="L1244" i="1"/>
  <c r="G1244" i="1"/>
  <c r="D1244" i="1"/>
  <c r="C1244" i="1"/>
  <c r="P1243" i="1"/>
  <c r="L1243" i="1"/>
  <c r="G1243" i="1"/>
  <c r="D1243" i="1"/>
  <c r="C1243" i="1" s="1"/>
  <c r="P1242" i="1"/>
  <c r="L1242" i="1"/>
  <c r="G1242" i="1"/>
  <c r="D1242" i="1"/>
  <c r="C1242" i="1"/>
  <c r="P1241" i="1"/>
  <c r="L1241" i="1"/>
  <c r="G1241" i="1"/>
  <c r="D1241" i="1"/>
  <c r="C1241" i="1" s="1"/>
  <c r="P1240" i="1"/>
  <c r="L1240" i="1"/>
  <c r="G1240" i="1"/>
  <c r="D1240" i="1"/>
  <c r="C1240" i="1"/>
  <c r="P1239" i="1"/>
  <c r="L1239" i="1"/>
  <c r="G1239" i="1"/>
  <c r="D1239" i="1"/>
  <c r="C1239" i="1" s="1"/>
  <c r="P1238" i="1"/>
  <c r="L1238" i="1"/>
  <c r="G1238" i="1"/>
  <c r="D1238" i="1"/>
  <c r="C1238" i="1"/>
  <c r="P1237" i="1"/>
  <c r="L1237" i="1"/>
  <c r="G1237" i="1"/>
  <c r="D1237" i="1"/>
  <c r="C1237" i="1" s="1"/>
  <c r="P1236" i="1"/>
  <c r="L1236" i="1"/>
  <c r="G1236" i="1"/>
  <c r="D1236" i="1"/>
  <c r="C1236" i="1"/>
  <c r="P1235" i="1"/>
  <c r="L1235" i="1"/>
  <c r="G1235" i="1"/>
  <c r="D1235" i="1"/>
  <c r="C1235" i="1" s="1"/>
  <c r="P1234" i="1"/>
  <c r="L1234" i="1"/>
  <c r="G1234" i="1"/>
  <c r="D1234" i="1"/>
  <c r="C1234" i="1"/>
  <c r="P1233" i="1"/>
  <c r="L1233" i="1"/>
  <c r="G1233" i="1"/>
  <c r="D1233" i="1"/>
  <c r="C1233" i="1" s="1"/>
  <c r="P1232" i="1"/>
  <c r="L1232" i="1"/>
  <c r="G1232" i="1"/>
  <c r="D1232" i="1"/>
  <c r="C1232" i="1"/>
  <c r="P1231" i="1"/>
  <c r="L1231" i="1"/>
  <c r="G1231" i="1"/>
  <c r="D1231" i="1"/>
  <c r="C1231" i="1" s="1"/>
  <c r="P1230" i="1"/>
  <c r="L1230" i="1"/>
  <c r="G1230" i="1"/>
  <c r="D1230" i="1"/>
  <c r="C1230" i="1"/>
  <c r="P1229" i="1"/>
  <c r="L1229" i="1"/>
  <c r="G1229" i="1"/>
  <c r="D1229" i="1"/>
  <c r="C1229" i="1" s="1"/>
  <c r="P1228" i="1"/>
  <c r="L1228" i="1"/>
  <c r="G1228" i="1"/>
  <c r="D1228" i="1"/>
  <c r="C1228" i="1"/>
  <c r="P1227" i="1"/>
  <c r="L1227" i="1"/>
  <c r="G1227" i="1"/>
  <c r="D1227" i="1"/>
  <c r="C1227" i="1" s="1"/>
  <c r="P1226" i="1"/>
  <c r="L1226" i="1"/>
  <c r="G1226" i="1"/>
  <c r="D1226" i="1"/>
  <c r="C1226" i="1"/>
  <c r="P1225" i="1"/>
  <c r="L1225" i="1"/>
  <c r="G1225" i="1"/>
  <c r="D1225" i="1"/>
  <c r="C1225" i="1" s="1"/>
  <c r="P1224" i="1"/>
  <c r="L1224" i="1"/>
  <c r="G1224" i="1"/>
  <c r="D1224" i="1"/>
  <c r="C1224" i="1"/>
  <c r="P1223" i="1"/>
  <c r="L1223" i="1"/>
  <c r="G1223" i="1"/>
  <c r="D1223" i="1"/>
  <c r="C1223" i="1" s="1"/>
  <c r="P1222" i="1"/>
  <c r="L1222" i="1"/>
  <c r="G1222" i="1"/>
  <c r="D1222" i="1"/>
  <c r="C1222" i="1"/>
  <c r="P1221" i="1"/>
  <c r="L1221" i="1"/>
  <c r="G1221" i="1"/>
  <c r="D1221" i="1"/>
  <c r="C1221" i="1" s="1"/>
  <c r="P1220" i="1"/>
  <c r="L1220" i="1"/>
  <c r="G1220" i="1"/>
  <c r="D1220" i="1"/>
  <c r="C1220" i="1"/>
  <c r="P1219" i="1"/>
  <c r="L1219" i="1"/>
  <c r="G1219" i="1"/>
  <c r="D1219" i="1"/>
  <c r="C1219" i="1" s="1"/>
  <c r="P1218" i="1"/>
  <c r="L1218" i="1"/>
  <c r="G1218" i="1"/>
  <c r="D1218" i="1"/>
  <c r="C1218" i="1"/>
  <c r="P1217" i="1"/>
  <c r="L1217" i="1"/>
  <c r="G1217" i="1"/>
  <c r="D1217" i="1"/>
  <c r="C1217" i="1" s="1"/>
  <c r="B1217" i="1"/>
  <c r="A1217" i="1" s="1"/>
  <c r="P1216" i="1"/>
  <c r="L1216" i="1"/>
  <c r="G1216" i="1"/>
  <c r="D1216" i="1"/>
  <c r="C1216" i="1"/>
  <c r="P1215" i="1"/>
  <c r="L1215" i="1"/>
  <c r="G1215" i="1"/>
  <c r="D1215" i="1"/>
  <c r="C1215" i="1" s="1"/>
  <c r="P1214" i="1"/>
  <c r="L1214" i="1"/>
  <c r="G1214" i="1"/>
  <c r="D1214" i="1"/>
  <c r="C1214" i="1"/>
  <c r="P1213" i="1"/>
  <c r="L1213" i="1"/>
  <c r="G1213" i="1"/>
  <c r="D1213" i="1"/>
  <c r="C1213" i="1" s="1"/>
  <c r="B1213" i="1"/>
  <c r="A1213" i="1" s="1"/>
  <c r="P1212" i="1"/>
  <c r="L1212" i="1"/>
  <c r="G1212" i="1"/>
  <c r="D1212" i="1"/>
  <c r="C1212" i="1"/>
  <c r="P1211" i="1"/>
  <c r="L1211" i="1"/>
  <c r="G1211" i="1"/>
  <c r="D1211" i="1"/>
  <c r="C1211" i="1" s="1"/>
  <c r="P1210" i="1"/>
  <c r="L1210" i="1"/>
  <c r="G1210" i="1"/>
  <c r="D1210" i="1"/>
  <c r="C1210" i="1"/>
  <c r="P1209" i="1"/>
  <c r="L1209" i="1"/>
  <c r="G1209" i="1"/>
  <c r="D1209" i="1"/>
  <c r="C1209" i="1" s="1"/>
  <c r="B1209" i="1"/>
  <c r="A1209" i="1" s="1"/>
  <c r="P1208" i="1"/>
  <c r="L1208" i="1"/>
  <c r="G1208" i="1"/>
  <c r="D1208" i="1"/>
  <c r="C1208" i="1"/>
  <c r="P1207" i="1"/>
  <c r="L1207" i="1"/>
  <c r="G1207" i="1"/>
  <c r="D1207" i="1"/>
  <c r="C1207" i="1" s="1"/>
  <c r="P1206" i="1"/>
  <c r="L1206" i="1"/>
  <c r="G1206" i="1"/>
  <c r="D1206" i="1"/>
  <c r="C1206" i="1"/>
  <c r="P1205" i="1"/>
  <c r="L1205" i="1"/>
  <c r="G1205" i="1"/>
  <c r="D1205" i="1"/>
  <c r="C1205" i="1" s="1"/>
  <c r="B1205" i="1"/>
  <c r="A1205" i="1" s="1"/>
  <c r="P1204" i="1"/>
  <c r="L1204" i="1"/>
  <c r="G1204" i="1"/>
  <c r="D1204" i="1"/>
  <c r="C1204" i="1"/>
  <c r="P1203" i="1"/>
  <c r="L1203" i="1"/>
  <c r="G1203" i="1"/>
  <c r="D1203" i="1"/>
  <c r="C1203" i="1" s="1"/>
  <c r="P1202" i="1"/>
  <c r="L1202" i="1"/>
  <c r="G1202" i="1"/>
  <c r="D1202" i="1"/>
  <c r="C1202" i="1"/>
  <c r="P1201" i="1"/>
  <c r="L1201" i="1"/>
  <c r="G1201" i="1"/>
  <c r="D1201" i="1"/>
  <c r="C1201" i="1" s="1"/>
  <c r="B1201" i="1"/>
  <c r="A1201" i="1" s="1"/>
  <c r="P1200" i="1"/>
  <c r="L1200" i="1"/>
  <c r="G1200" i="1"/>
  <c r="D1200" i="1"/>
  <c r="C1200" i="1"/>
  <c r="P1199" i="1"/>
  <c r="L1199" i="1"/>
  <c r="G1199" i="1"/>
  <c r="D1199" i="1"/>
  <c r="C1199" i="1" s="1"/>
  <c r="P1198" i="1"/>
  <c r="L1198" i="1"/>
  <c r="G1198" i="1"/>
  <c r="D1198" i="1"/>
  <c r="C1198" i="1"/>
  <c r="P1197" i="1"/>
  <c r="L1197" i="1"/>
  <c r="G1197" i="1"/>
  <c r="D1197" i="1"/>
  <c r="C1197" i="1" s="1"/>
  <c r="B1197" i="1"/>
  <c r="A1197" i="1" s="1"/>
  <c r="P1196" i="1"/>
  <c r="L1196" i="1"/>
  <c r="G1196" i="1"/>
  <c r="D1196" i="1"/>
  <c r="C1196" i="1"/>
  <c r="P1195" i="1"/>
  <c r="L1195" i="1"/>
  <c r="G1195" i="1"/>
  <c r="D1195" i="1"/>
  <c r="C1195" i="1" s="1"/>
  <c r="P1194" i="1"/>
  <c r="L1194" i="1"/>
  <c r="G1194" i="1"/>
  <c r="D1194" i="1"/>
  <c r="C1194" i="1"/>
  <c r="P1193" i="1"/>
  <c r="L1193" i="1"/>
  <c r="G1193" i="1"/>
  <c r="D1193" i="1"/>
  <c r="C1193" i="1" s="1"/>
  <c r="B1193" i="1"/>
  <c r="A1193" i="1" s="1"/>
  <c r="P1192" i="1"/>
  <c r="L1192" i="1"/>
  <c r="G1192" i="1"/>
  <c r="D1192" i="1"/>
  <c r="C1192" i="1"/>
  <c r="P1191" i="1"/>
  <c r="L1191" i="1"/>
  <c r="G1191" i="1"/>
  <c r="D1191" i="1"/>
  <c r="C1191" i="1" s="1"/>
  <c r="P1190" i="1"/>
  <c r="L1190" i="1"/>
  <c r="G1190" i="1"/>
  <c r="D1190" i="1"/>
  <c r="C1190" i="1"/>
  <c r="P1189" i="1"/>
  <c r="L1189" i="1"/>
  <c r="G1189" i="1"/>
  <c r="D1189" i="1"/>
  <c r="C1189" i="1" s="1"/>
  <c r="B1189" i="1"/>
  <c r="A1189" i="1" s="1"/>
  <c r="P1188" i="1"/>
  <c r="L1188" i="1"/>
  <c r="G1188" i="1"/>
  <c r="D1188" i="1"/>
  <c r="C1188" i="1"/>
  <c r="P1187" i="1"/>
  <c r="L1187" i="1"/>
  <c r="G1187" i="1"/>
  <c r="D1187" i="1"/>
  <c r="C1187" i="1" s="1"/>
  <c r="P1186" i="1"/>
  <c r="L1186" i="1"/>
  <c r="G1186" i="1"/>
  <c r="D1186" i="1"/>
  <c r="C1186" i="1"/>
  <c r="P1185" i="1"/>
  <c r="L1185" i="1"/>
  <c r="G1185" i="1"/>
  <c r="D1185" i="1"/>
  <c r="C1185" i="1" s="1"/>
  <c r="B1185" i="1"/>
  <c r="A1185" i="1" s="1"/>
  <c r="P1184" i="1"/>
  <c r="L1184" i="1"/>
  <c r="G1184" i="1"/>
  <c r="D1184" i="1"/>
  <c r="C1184" i="1"/>
  <c r="P1183" i="1"/>
  <c r="L1183" i="1"/>
  <c r="G1183" i="1"/>
  <c r="D1183" i="1"/>
  <c r="C1183" i="1" s="1"/>
  <c r="P1182" i="1"/>
  <c r="L1182" i="1"/>
  <c r="G1182" i="1"/>
  <c r="D1182" i="1"/>
  <c r="C1182" i="1"/>
  <c r="P1181" i="1"/>
  <c r="L1181" i="1"/>
  <c r="G1181" i="1"/>
  <c r="D1181" i="1"/>
  <c r="C1181" i="1" s="1"/>
  <c r="B1181" i="1"/>
  <c r="A1181" i="1" s="1"/>
  <c r="P1180" i="1"/>
  <c r="L1180" i="1"/>
  <c r="G1180" i="1"/>
  <c r="D1180" i="1"/>
  <c r="C1180" i="1"/>
  <c r="P1179" i="1"/>
  <c r="L1179" i="1"/>
  <c r="G1179" i="1"/>
  <c r="D1179" i="1"/>
  <c r="C1179" i="1" s="1"/>
  <c r="P1178" i="1"/>
  <c r="L1178" i="1"/>
  <c r="G1178" i="1"/>
  <c r="D1178" i="1"/>
  <c r="C1178" i="1"/>
  <c r="P1177" i="1"/>
  <c r="L1177" i="1"/>
  <c r="G1177" i="1"/>
  <c r="D1177" i="1"/>
  <c r="C1177" i="1" s="1"/>
  <c r="B1177" i="1"/>
  <c r="A1177" i="1" s="1"/>
  <c r="P1176" i="1"/>
  <c r="L1176" i="1"/>
  <c r="G1176" i="1"/>
  <c r="D1176" i="1"/>
  <c r="C1176" i="1"/>
  <c r="P1175" i="1"/>
  <c r="L1175" i="1"/>
  <c r="G1175" i="1"/>
  <c r="D1175" i="1"/>
  <c r="C1175" i="1" s="1"/>
  <c r="P1174" i="1"/>
  <c r="L1174" i="1"/>
  <c r="G1174" i="1"/>
  <c r="D1174" i="1"/>
  <c r="C1174" i="1"/>
  <c r="P1173" i="1"/>
  <c r="L1173" i="1"/>
  <c r="G1173" i="1"/>
  <c r="D1173" i="1"/>
  <c r="C1173" i="1" s="1"/>
  <c r="B1173" i="1"/>
  <c r="A1173" i="1" s="1"/>
  <c r="P1172" i="1"/>
  <c r="L1172" i="1"/>
  <c r="G1172" i="1"/>
  <c r="D1172" i="1"/>
  <c r="C1172" i="1"/>
  <c r="P1171" i="1"/>
  <c r="L1171" i="1"/>
  <c r="G1171" i="1"/>
  <c r="D1171" i="1"/>
  <c r="C1171" i="1" s="1"/>
  <c r="P1170" i="1"/>
  <c r="L1170" i="1"/>
  <c r="G1170" i="1"/>
  <c r="D1170" i="1"/>
  <c r="C1170" i="1"/>
  <c r="P1169" i="1"/>
  <c r="L1169" i="1"/>
  <c r="G1169" i="1"/>
  <c r="D1169" i="1"/>
  <c r="C1169" i="1" s="1"/>
  <c r="B1169" i="1"/>
  <c r="A1169" i="1" s="1"/>
  <c r="P1168" i="1"/>
  <c r="L1168" i="1"/>
  <c r="G1168" i="1"/>
  <c r="D1168" i="1"/>
  <c r="C1168" i="1"/>
  <c r="P1167" i="1"/>
  <c r="L1167" i="1"/>
  <c r="G1167" i="1"/>
  <c r="D1167" i="1"/>
  <c r="C1167" i="1" s="1"/>
  <c r="P1166" i="1"/>
  <c r="L1166" i="1"/>
  <c r="G1166" i="1"/>
  <c r="D1166" i="1"/>
  <c r="C1166" i="1"/>
  <c r="P1165" i="1"/>
  <c r="L1165" i="1"/>
  <c r="G1165" i="1"/>
  <c r="D1165" i="1"/>
  <c r="C1165" i="1" s="1"/>
  <c r="B1165" i="1"/>
  <c r="A1165" i="1" s="1"/>
  <c r="P1164" i="1"/>
  <c r="L1164" i="1"/>
  <c r="G1164" i="1"/>
  <c r="D1164" i="1"/>
  <c r="C1164" i="1"/>
  <c r="P1163" i="1"/>
  <c r="L1163" i="1"/>
  <c r="G1163" i="1"/>
  <c r="D1163" i="1"/>
  <c r="C1163" i="1" s="1"/>
  <c r="P1162" i="1"/>
  <c r="L1162" i="1"/>
  <c r="G1162" i="1"/>
  <c r="D1162" i="1"/>
  <c r="C1162" i="1"/>
  <c r="P1161" i="1"/>
  <c r="L1161" i="1"/>
  <c r="G1161" i="1"/>
  <c r="D1161" i="1"/>
  <c r="C1161" i="1" s="1"/>
  <c r="B1161" i="1"/>
  <c r="A1161" i="1" s="1"/>
  <c r="P1160" i="1"/>
  <c r="L1160" i="1"/>
  <c r="G1160" i="1"/>
  <c r="D1160" i="1"/>
  <c r="C1160" i="1"/>
  <c r="P1159" i="1"/>
  <c r="L1159" i="1"/>
  <c r="G1159" i="1"/>
  <c r="D1159" i="1"/>
  <c r="C1159" i="1" s="1"/>
  <c r="P1158" i="1"/>
  <c r="L1158" i="1"/>
  <c r="G1158" i="1"/>
  <c r="D1158" i="1"/>
  <c r="C1158" i="1"/>
  <c r="P1157" i="1"/>
  <c r="L1157" i="1"/>
  <c r="G1157" i="1"/>
  <c r="D1157" i="1"/>
  <c r="C1157" i="1" s="1"/>
  <c r="B1157" i="1"/>
  <c r="A1157" i="1" s="1"/>
  <c r="P1156" i="1"/>
  <c r="L1156" i="1"/>
  <c r="G1156" i="1"/>
  <c r="D1156" i="1"/>
  <c r="C1156" i="1"/>
  <c r="P1155" i="1"/>
  <c r="L1155" i="1"/>
  <c r="G1155" i="1"/>
  <c r="D1155" i="1"/>
  <c r="C1155" i="1" s="1"/>
  <c r="P1154" i="1"/>
  <c r="L1154" i="1"/>
  <c r="G1154" i="1"/>
  <c r="D1154" i="1"/>
  <c r="C1154" i="1"/>
  <c r="P1153" i="1"/>
  <c r="L1153" i="1"/>
  <c r="G1153" i="1"/>
  <c r="D1153" i="1"/>
  <c r="C1153" i="1" s="1"/>
  <c r="B1153" i="1"/>
  <c r="A1153" i="1" s="1"/>
  <c r="P1152" i="1"/>
  <c r="L1152" i="1"/>
  <c r="D1152" i="1"/>
  <c r="C1152" i="1" s="1"/>
  <c r="P1151" i="1"/>
  <c r="L1151" i="1"/>
  <c r="G1151" i="1"/>
  <c r="D1151" i="1"/>
  <c r="C1151" i="1"/>
  <c r="P1150" i="1"/>
  <c r="L1150" i="1"/>
  <c r="G1150" i="1"/>
  <c r="D1150" i="1"/>
  <c r="C1150" i="1" s="1"/>
  <c r="B1150" i="1"/>
  <c r="A1150" i="1" s="1"/>
  <c r="P1149" i="1"/>
  <c r="L1149" i="1"/>
  <c r="G1149" i="1"/>
  <c r="D1149" i="1"/>
  <c r="C1149" i="1"/>
  <c r="P1148" i="1"/>
  <c r="L1148" i="1"/>
  <c r="G1148" i="1"/>
  <c r="D1148" i="1"/>
  <c r="C1148" i="1" s="1"/>
  <c r="P1147" i="1"/>
  <c r="L1147" i="1"/>
  <c r="G1147" i="1"/>
  <c r="D1147" i="1"/>
  <c r="C1147" i="1"/>
  <c r="P1146" i="1"/>
  <c r="L1146" i="1"/>
  <c r="G1146" i="1"/>
  <c r="D1146" i="1"/>
  <c r="C1146" i="1" s="1"/>
  <c r="B1146" i="1"/>
  <c r="A1146" i="1" s="1"/>
  <c r="P1145" i="1"/>
  <c r="L1145" i="1"/>
  <c r="G1145" i="1"/>
  <c r="D1145" i="1"/>
  <c r="C1145" i="1"/>
  <c r="P1144" i="1"/>
  <c r="L1144" i="1"/>
  <c r="G1144" i="1"/>
  <c r="D1144" i="1"/>
  <c r="C1144" i="1" s="1"/>
  <c r="P1143" i="1"/>
  <c r="L1143" i="1"/>
  <c r="G1143" i="1"/>
  <c r="D1143" i="1"/>
  <c r="C1143" i="1"/>
  <c r="P1142" i="1"/>
  <c r="L1142" i="1"/>
  <c r="G1142" i="1"/>
  <c r="D1142" i="1"/>
  <c r="C1142" i="1" s="1"/>
  <c r="B1142" i="1"/>
  <c r="A1142" i="1" s="1"/>
  <c r="P1141" i="1"/>
  <c r="L1141" i="1"/>
  <c r="G1141" i="1"/>
  <c r="D1141" i="1"/>
  <c r="C1141" i="1"/>
  <c r="P1140" i="1"/>
  <c r="L1140" i="1"/>
  <c r="D1140" i="1"/>
  <c r="C1140" i="1"/>
  <c r="P1139" i="1"/>
  <c r="L1139" i="1"/>
  <c r="D1139" i="1"/>
  <c r="C1139" i="1" s="1"/>
  <c r="P1138" i="1"/>
  <c r="L1138" i="1"/>
  <c r="D1138" i="1"/>
  <c r="C1138" i="1"/>
  <c r="P1137" i="1"/>
  <c r="L1137" i="1"/>
  <c r="D1137" i="1"/>
  <c r="C1137" i="1" s="1"/>
  <c r="P1136" i="1"/>
  <c r="L1136" i="1"/>
  <c r="D1136" i="1"/>
  <c r="C1136" i="1"/>
  <c r="P1135" i="1"/>
  <c r="L1135" i="1"/>
  <c r="D1135" i="1"/>
  <c r="C1135" i="1" s="1"/>
  <c r="P1134" i="1"/>
  <c r="L1134" i="1"/>
  <c r="G1134" i="1"/>
  <c r="D1134" i="1"/>
  <c r="C1134" i="1" s="1"/>
  <c r="P1133" i="1"/>
  <c r="L1133" i="1"/>
  <c r="G1133" i="1"/>
  <c r="D1133" i="1"/>
  <c r="C1133" i="1"/>
  <c r="P1132" i="1"/>
  <c r="L1132" i="1"/>
  <c r="G1132" i="1"/>
  <c r="D1132" i="1"/>
  <c r="C1132" i="1"/>
  <c r="B1132" i="1"/>
  <c r="A1132" i="1" s="1"/>
  <c r="P1131" i="1"/>
  <c r="L1131" i="1"/>
  <c r="G1131" i="1"/>
  <c r="D1131" i="1"/>
  <c r="C1131" i="1" s="1"/>
  <c r="P1130" i="1"/>
  <c r="M1130" i="1"/>
  <c r="D1130" i="1"/>
  <c r="C1130" i="1"/>
  <c r="P1129" i="1"/>
  <c r="D1129" i="1"/>
  <c r="C1129" i="1" s="1"/>
  <c r="P1128" i="1"/>
  <c r="D1128" i="1"/>
  <c r="C1128" i="1" s="1"/>
  <c r="P1127" i="1"/>
  <c r="D1127" i="1"/>
  <c r="C1127" i="1"/>
  <c r="P1126" i="1"/>
  <c r="L1126" i="1"/>
  <c r="M1127" i="1" s="1"/>
  <c r="D1126" i="1"/>
  <c r="C1126" i="1" s="1"/>
  <c r="P1125" i="1"/>
  <c r="D1125" i="1"/>
  <c r="C1125" i="1"/>
  <c r="B1125" i="1"/>
  <c r="A1125" i="1" s="1"/>
  <c r="P1124" i="1"/>
  <c r="L1124" i="1"/>
  <c r="M1125" i="1" s="1"/>
  <c r="D1124" i="1"/>
  <c r="C1124" i="1" s="1"/>
  <c r="P1123" i="1"/>
  <c r="J1123" i="1"/>
  <c r="B1136" i="1" s="1"/>
  <c r="A1136" i="1" s="1"/>
  <c r="D1123" i="1"/>
  <c r="C1123" i="1" s="1"/>
  <c r="P1122" i="1"/>
  <c r="L1122" i="1"/>
  <c r="M1123" i="1" s="1"/>
  <c r="J1122" i="1"/>
  <c r="B1551" i="1" s="1"/>
  <c r="A1551" i="1" s="1"/>
  <c r="D1122" i="1"/>
  <c r="C1122" i="1"/>
  <c r="B1122" i="1"/>
  <c r="A1122" i="1" s="1"/>
  <c r="P1121" i="1"/>
  <c r="M1121" i="1"/>
  <c r="D1121" i="1"/>
  <c r="C1121" i="1" s="1"/>
  <c r="B1121" i="1"/>
  <c r="A1121" i="1"/>
  <c r="P1120" i="1"/>
  <c r="L1120" i="1"/>
  <c r="D1120" i="1"/>
  <c r="C1120" i="1"/>
  <c r="B1120" i="1"/>
  <c r="A1120" i="1" s="1"/>
  <c r="P1119" i="1"/>
  <c r="M1119" i="1"/>
  <c r="D1119" i="1"/>
  <c r="C1119" i="1" s="1"/>
  <c r="B1119" i="1"/>
  <c r="A1119" i="1"/>
  <c r="P1118" i="1"/>
  <c r="L1118" i="1"/>
  <c r="D1118" i="1"/>
  <c r="C1118" i="1"/>
  <c r="B1118" i="1"/>
  <c r="A1118" i="1" s="1"/>
  <c r="P1117" i="1"/>
  <c r="M1117" i="1"/>
  <c r="D1117" i="1"/>
  <c r="C1117" i="1" s="1"/>
  <c r="B1117" i="1"/>
  <c r="A1117" i="1"/>
  <c r="P1116" i="1"/>
  <c r="L1116" i="1"/>
  <c r="D1116" i="1"/>
  <c r="C1116" i="1"/>
  <c r="B1116" i="1"/>
  <c r="A1116" i="1" s="1"/>
  <c r="P1115" i="1"/>
  <c r="M1115" i="1"/>
  <c r="D1115" i="1"/>
  <c r="C1115" i="1" s="1"/>
  <c r="B1115" i="1"/>
  <c r="A1115" i="1"/>
  <c r="P1114" i="1"/>
  <c r="D1114" i="1"/>
  <c r="C1114" i="1"/>
  <c r="B1114" i="1"/>
  <c r="A1114" i="1" s="1"/>
  <c r="P1113" i="1"/>
  <c r="D1113" i="1"/>
  <c r="C1113" i="1" s="1"/>
  <c r="B1113" i="1"/>
  <c r="A1113" i="1"/>
  <c r="P1112" i="1"/>
  <c r="L1112" i="1"/>
  <c r="M1113" i="1" s="1"/>
  <c r="D1112" i="1"/>
  <c r="C1112" i="1"/>
  <c r="B1112" i="1"/>
  <c r="A1112" i="1" s="1"/>
  <c r="P1111" i="1"/>
  <c r="D1111" i="1"/>
  <c r="C1111" i="1" s="1"/>
  <c r="B1111" i="1"/>
  <c r="A1111" i="1"/>
  <c r="P1110" i="1"/>
  <c r="L1110" i="1"/>
  <c r="M1111" i="1" s="1"/>
  <c r="D1110" i="1"/>
  <c r="C1110" i="1"/>
  <c r="B1110" i="1"/>
  <c r="A1110" i="1" s="1"/>
  <c r="P1109" i="1"/>
  <c r="D1109" i="1"/>
  <c r="C1109" i="1" s="1"/>
  <c r="B1109" i="1"/>
  <c r="A1109" i="1"/>
  <c r="P1108" i="1"/>
  <c r="L1108" i="1"/>
  <c r="M1109" i="1" s="1"/>
  <c r="D1108" i="1"/>
  <c r="C1108" i="1"/>
  <c r="B1108" i="1"/>
  <c r="A1108" i="1" s="1"/>
  <c r="P1107" i="1"/>
  <c r="M1107" i="1"/>
  <c r="D1107" i="1"/>
  <c r="C1107" i="1" s="1"/>
  <c r="B1107" i="1"/>
  <c r="A1107" i="1"/>
  <c r="P1106" i="1"/>
  <c r="L1106" i="1"/>
  <c r="D1106" i="1"/>
  <c r="C1106" i="1"/>
  <c r="B1106" i="1"/>
  <c r="A1106" i="1" s="1"/>
  <c r="P1105" i="1"/>
  <c r="D1105" i="1"/>
  <c r="C1105" i="1"/>
  <c r="B1105" i="1"/>
  <c r="A1105" i="1" s="1"/>
  <c r="P1104" i="1"/>
  <c r="D1104" i="1"/>
  <c r="C1104" i="1" s="1"/>
  <c r="B1104" i="1"/>
  <c r="A1104" i="1"/>
  <c r="P1103" i="1"/>
  <c r="L1103" i="1"/>
  <c r="D1103" i="1"/>
  <c r="C1103" i="1"/>
  <c r="B1103" i="1"/>
  <c r="A1103" i="1" s="1"/>
  <c r="P1102" i="1"/>
  <c r="D1102" i="1"/>
  <c r="C1102" i="1"/>
  <c r="B1102" i="1"/>
  <c r="A1102" i="1" s="1"/>
  <c r="P1101" i="1"/>
  <c r="D1101" i="1"/>
  <c r="C1101" i="1" s="1"/>
  <c r="B1101" i="1"/>
  <c r="A1101" i="1"/>
  <c r="P1100" i="1"/>
  <c r="D1100" i="1"/>
  <c r="C1100" i="1" s="1"/>
  <c r="B1100" i="1"/>
  <c r="A1100" i="1"/>
  <c r="P1099" i="1"/>
  <c r="D1099" i="1"/>
  <c r="C1099" i="1"/>
  <c r="B1099" i="1"/>
  <c r="A1099" i="1" s="1"/>
  <c r="P1098" i="1"/>
  <c r="D1098" i="1"/>
  <c r="C1098" i="1"/>
  <c r="B1098" i="1"/>
  <c r="A1098" i="1" s="1"/>
  <c r="P1097" i="1"/>
  <c r="O1097" i="1"/>
  <c r="D1097" i="1"/>
  <c r="C1097" i="1" s="1"/>
  <c r="B1097" i="1"/>
  <c r="A1097" i="1"/>
  <c r="P1096" i="1"/>
  <c r="D1096" i="1"/>
  <c r="C1096" i="1"/>
  <c r="B1096" i="1"/>
  <c r="A1096" i="1" s="1"/>
  <c r="P1095" i="1"/>
  <c r="D1095" i="1"/>
  <c r="C1095" i="1"/>
  <c r="B1095" i="1"/>
  <c r="A1095" i="1" s="1"/>
  <c r="P1094" i="1"/>
  <c r="D1094" i="1"/>
  <c r="C1094" i="1" s="1"/>
  <c r="B1094" i="1"/>
  <c r="A1094" i="1"/>
  <c r="P1093" i="1"/>
  <c r="D1093" i="1"/>
  <c r="C1093" i="1" s="1"/>
  <c r="B1093" i="1"/>
  <c r="A1093" i="1"/>
  <c r="P1092" i="1"/>
  <c r="D1092" i="1"/>
  <c r="C1092" i="1"/>
  <c r="B1092" i="1"/>
  <c r="A1092" i="1" s="1"/>
  <c r="P1091" i="1"/>
  <c r="O1091" i="1"/>
  <c r="D1091" i="1"/>
  <c r="C1091" i="1" s="1"/>
  <c r="B1091" i="1"/>
  <c r="A1091" i="1"/>
  <c r="P1090" i="1"/>
  <c r="D1090" i="1"/>
  <c r="C1090" i="1" s="1"/>
  <c r="B1090" i="1"/>
  <c r="A1090" i="1"/>
  <c r="P1089" i="1"/>
  <c r="D1089" i="1"/>
  <c r="C1089" i="1"/>
  <c r="B1089" i="1"/>
  <c r="A1089" i="1" s="1"/>
  <c r="P1088" i="1"/>
  <c r="D1088" i="1"/>
  <c r="C1088" i="1"/>
  <c r="B1088" i="1"/>
  <c r="A1088" i="1" s="1"/>
  <c r="P1087" i="1"/>
  <c r="D1087" i="1"/>
  <c r="C1087" i="1" s="1"/>
  <c r="B1087" i="1"/>
  <c r="A1087" i="1"/>
  <c r="P1086" i="1"/>
  <c r="D1086" i="1"/>
  <c r="C1086" i="1" s="1"/>
  <c r="B1086" i="1"/>
  <c r="A1086" i="1"/>
  <c r="P1085" i="1"/>
  <c r="D1085" i="1"/>
  <c r="C1085" i="1"/>
  <c r="B1085" i="1"/>
  <c r="A1085" i="1" s="1"/>
  <c r="P1084" i="1"/>
  <c r="O1084" i="1"/>
  <c r="D1084" i="1"/>
  <c r="C1084" i="1" s="1"/>
  <c r="B1084" i="1"/>
  <c r="A1084" i="1"/>
  <c r="P1083" i="1"/>
  <c r="D1083" i="1"/>
  <c r="C1083" i="1" s="1"/>
  <c r="B1083" i="1"/>
  <c r="A1083" i="1"/>
  <c r="P1082" i="1"/>
  <c r="D1082" i="1"/>
  <c r="C1082" i="1"/>
  <c r="B1082" i="1"/>
  <c r="A1082" i="1" s="1"/>
  <c r="P1081" i="1"/>
  <c r="D1081" i="1"/>
  <c r="C1081" i="1"/>
  <c r="B1081" i="1"/>
  <c r="A1081" i="1" s="1"/>
  <c r="P1080" i="1"/>
  <c r="D1080" i="1"/>
  <c r="C1080" i="1" s="1"/>
  <c r="B1080" i="1"/>
  <c r="A1080" i="1"/>
  <c r="P1079" i="1"/>
  <c r="D1079" i="1"/>
  <c r="C1079" i="1" s="1"/>
  <c r="B1079" i="1"/>
  <c r="A1079" i="1"/>
  <c r="P1078" i="1"/>
  <c r="D1078" i="1"/>
  <c r="C1078" i="1"/>
  <c r="B1078" i="1"/>
  <c r="A1078" i="1" s="1"/>
  <c r="P1077" i="1"/>
  <c r="D1077" i="1"/>
  <c r="C1077" i="1"/>
  <c r="B1077" i="1"/>
  <c r="A1077" i="1" s="1"/>
  <c r="P1076" i="1"/>
  <c r="D1076" i="1"/>
  <c r="C1076" i="1" s="1"/>
  <c r="B1076" i="1"/>
  <c r="A1076" i="1"/>
  <c r="P1075" i="1"/>
  <c r="D1075" i="1"/>
  <c r="C1075" i="1" s="1"/>
  <c r="B1075" i="1"/>
  <c r="A1075" i="1"/>
  <c r="P1074" i="1"/>
  <c r="D1074" i="1"/>
  <c r="C1074" i="1"/>
  <c r="B1074" i="1"/>
  <c r="A1074" i="1" s="1"/>
  <c r="P1073" i="1"/>
  <c r="D1073" i="1"/>
  <c r="C1073" i="1"/>
  <c r="B1073" i="1"/>
  <c r="A1073" i="1" s="1"/>
  <c r="P1072" i="1"/>
  <c r="D1072" i="1"/>
  <c r="C1072" i="1" s="1"/>
  <c r="B1072" i="1"/>
  <c r="A1072" i="1"/>
  <c r="P1071" i="1"/>
  <c r="D1071" i="1"/>
  <c r="C1071" i="1" s="1"/>
  <c r="B1071" i="1"/>
  <c r="A1071" i="1"/>
  <c r="P1070" i="1"/>
  <c r="D1070" i="1"/>
  <c r="C1070" i="1"/>
  <c r="B1070" i="1"/>
  <c r="A1070" i="1" s="1"/>
  <c r="P1069" i="1"/>
  <c r="D1069" i="1"/>
  <c r="C1069" i="1"/>
  <c r="B1069" i="1"/>
  <c r="A1069" i="1" s="1"/>
  <c r="P1068" i="1"/>
  <c r="O1068" i="1"/>
  <c r="D1068" i="1"/>
  <c r="C1068" i="1" s="1"/>
  <c r="B1068" i="1"/>
  <c r="A1068" i="1"/>
  <c r="P1067" i="1"/>
  <c r="D1067" i="1"/>
  <c r="C1067" i="1"/>
  <c r="B1067" i="1"/>
  <c r="A1067" i="1" s="1"/>
  <c r="P1066" i="1"/>
  <c r="D1066" i="1"/>
  <c r="C1066" i="1"/>
  <c r="B1066" i="1"/>
  <c r="A1066" i="1" s="1"/>
  <c r="P1065" i="1"/>
  <c r="D1065" i="1"/>
  <c r="C1065" i="1" s="1"/>
  <c r="B1065" i="1"/>
  <c r="A1065" i="1"/>
  <c r="P1064" i="1"/>
  <c r="D1064" i="1"/>
  <c r="C1064" i="1" s="1"/>
  <c r="B1064" i="1"/>
  <c r="A1064" i="1"/>
  <c r="P1063" i="1"/>
  <c r="D1063" i="1"/>
  <c r="C1063" i="1"/>
  <c r="B1063" i="1"/>
  <c r="A1063" i="1" s="1"/>
  <c r="P1062" i="1"/>
  <c r="D1062" i="1"/>
  <c r="C1062" i="1"/>
  <c r="B1062" i="1"/>
  <c r="A1062" i="1" s="1"/>
  <c r="P1061" i="1"/>
  <c r="D1061" i="1"/>
  <c r="C1061" i="1" s="1"/>
  <c r="B1061" i="1"/>
  <c r="A1061" i="1"/>
  <c r="P1060" i="1"/>
  <c r="D1060" i="1"/>
  <c r="C1060" i="1" s="1"/>
  <c r="B1060" i="1"/>
  <c r="A1060" i="1"/>
  <c r="P1059" i="1"/>
  <c r="D1059" i="1"/>
  <c r="C1059" i="1"/>
  <c r="B1059" i="1"/>
  <c r="A1059" i="1" s="1"/>
  <c r="P1058" i="1"/>
  <c r="D1058" i="1"/>
  <c r="C1058" i="1"/>
  <c r="B1058" i="1"/>
  <c r="A1058" i="1" s="1"/>
  <c r="P1057" i="1"/>
  <c r="D1057" i="1"/>
  <c r="C1057" i="1" s="1"/>
  <c r="B1057" i="1"/>
  <c r="A1057" i="1"/>
  <c r="P1056" i="1"/>
  <c r="D1056" i="1"/>
  <c r="C1056" i="1" s="1"/>
  <c r="B1056" i="1"/>
  <c r="A1056" i="1"/>
  <c r="P1055" i="1"/>
  <c r="D1055" i="1"/>
  <c r="C1055" i="1"/>
  <c r="B1055" i="1"/>
  <c r="A1055" i="1" s="1"/>
  <c r="P1054" i="1"/>
  <c r="D1054" i="1"/>
  <c r="C1054" i="1"/>
  <c r="B1054" i="1"/>
  <c r="A1054" i="1" s="1"/>
  <c r="P1053" i="1"/>
  <c r="D1053" i="1"/>
  <c r="C1053" i="1" s="1"/>
  <c r="B1053" i="1"/>
  <c r="A1053" i="1"/>
  <c r="P1052" i="1"/>
  <c r="D1052" i="1"/>
  <c r="C1052" i="1" s="1"/>
  <c r="B1052" i="1"/>
  <c r="A1052" i="1"/>
  <c r="P1051" i="1"/>
  <c r="D1051" i="1"/>
  <c r="C1051" i="1"/>
  <c r="B1051" i="1"/>
  <c r="A1051" i="1" s="1"/>
  <c r="P1050" i="1"/>
  <c r="D1050" i="1"/>
  <c r="C1050" i="1"/>
  <c r="B1050" i="1"/>
  <c r="A1050" i="1" s="1"/>
  <c r="P1049" i="1"/>
  <c r="D1049" i="1"/>
  <c r="C1049" i="1" s="1"/>
  <c r="B1049" i="1"/>
  <c r="A1049" i="1"/>
  <c r="P1048" i="1"/>
  <c r="D1048" i="1"/>
  <c r="C1048" i="1" s="1"/>
  <c r="B1048" i="1"/>
  <c r="A1048" i="1"/>
  <c r="P1047" i="1"/>
  <c r="D1047" i="1"/>
  <c r="C1047" i="1"/>
  <c r="B1047" i="1"/>
  <c r="A1047" i="1" s="1"/>
  <c r="P1046" i="1"/>
  <c r="D1046" i="1"/>
  <c r="C1046" i="1"/>
  <c r="B1046" i="1"/>
  <c r="A1046" i="1" s="1"/>
  <c r="P1045" i="1"/>
  <c r="D1045" i="1"/>
  <c r="C1045" i="1" s="1"/>
  <c r="B1045" i="1"/>
  <c r="A1045" i="1"/>
  <c r="P1044" i="1"/>
  <c r="D1044" i="1"/>
  <c r="C1044" i="1" s="1"/>
  <c r="B1044" i="1"/>
  <c r="A1044" i="1"/>
  <c r="P1043" i="1"/>
  <c r="D1043" i="1"/>
  <c r="C1043" i="1"/>
  <c r="B1043" i="1"/>
  <c r="A1043" i="1" s="1"/>
  <c r="P1042" i="1"/>
  <c r="D1042" i="1"/>
  <c r="C1042" i="1"/>
  <c r="B1042" i="1"/>
  <c r="A1042" i="1" s="1"/>
  <c r="P1041" i="1"/>
  <c r="D1041" i="1"/>
  <c r="C1041" i="1" s="1"/>
  <c r="B1041" i="1"/>
  <c r="A1041" i="1"/>
  <c r="P1040" i="1"/>
  <c r="D1040" i="1"/>
  <c r="C1040" i="1" s="1"/>
  <c r="B1040" i="1"/>
  <c r="A1040" i="1"/>
  <c r="P1039" i="1"/>
  <c r="D1039" i="1"/>
  <c r="C1039" i="1"/>
  <c r="B1039" i="1"/>
  <c r="A1039" i="1" s="1"/>
  <c r="P1038" i="1"/>
  <c r="D1038" i="1"/>
  <c r="C1038" i="1"/>
  <c r="B1038" i="1"/>
  <c r="A1038" i="1" s="1"/>
  <c r="P1037" i="1"/>
  <c r="D1037" i="1"/>
  <c r="C1037" i="1" s="1"/>
  <c r="B1037" i="1"/>
  <c r="A1037" i="1"/>
  <c r="P1036" i="1"/>
  <c r="D1036" i="1"/>
  <c r="C1036" i="1" s="1"/>
  <c r="B1036" i="1"/>
  <c r="A1036" i="1"/>
  <c r="P1035" i="1"/>
  <c r="D1035" i="1"/>
  <c r="C1035" i="1"/>
  <c r="B1035" i="1"/>
  <c r="A1035" i="1" s="1"/>
  <c r="P1034" i="1"/>
  <c r="O1034" i="1"/>
  <c r="D1034" i="1"/>
  <c r="C1034" i="1" s="1"/>
  <c r="B1034" i="1"/>
  <c r="A1034" i="1"/>
  <c r="P1033" i="1"/>
  <c r="O1033" i="1"/>
  <c r="D1033" i="1"/>
  <c r="C1033" i="1"/>
  <c r="B1033" i="1"/>
  <c r="A1033" i="1" s="1"/>
  <c r="P1032" i="1"/>
  <c r="D1032" i="1"/>
  <c r="C1032" i="1"/>
  <c r="B1032" i="1"/>
  <c r="A1032" i="1" s="1"/>
  <c r="P1031" i="1"/>
  <c r="D1031" i="1"/>
  <c r="C1031" i="1" s="1"/>
  <c r="B1031" i="1"/>
  <c r="A1031" i="1"/>
  <c r="P1030" i="1"/>
  <c r="D1030" i="1"/>
  <c r="C1030" i="1" s="1"/>
  <c r="B1030" i="1"/>
  <c r="A1030" i="1"/>
  <c r="P1029" i="1"/>
  <c r="D1029" i="1"/>
  <c r="C1029" i="1"/>
  <c r="B1029" i="1"/>
  <c r="A1029" i="1" s="1"/>
  <c r="P1028" i="1"/>
  <c r="D1028" i="1"/>
  <c r="C1028" i="1"/>
  <c r="B1028" i="1"/>
  <c r="A1028" i="1" s="1"/>
  <c r="P1027" i="1"/>
  <c r="D1027" i="1"/>
  <c r="C1027" i="1" s="1"/>
  <c r="B1027" i="1"/>
  <c r="A1027" i="1"/>
  <c r="P1026" i="1"/>
  <c r="D1026" i="1"/>
  <c r="C1026" i="1" s="1"/>
  <c r="B1026" i="1"/>
  <c r="A1026" i="1"/>
  <c r="P1025" i="1"/>
  <c r="D1025" i="1"/>
  <c r="C1025" i="1"/>
  <c r="B1025" i="1"/>
  <c r="A1025" i="1" s="1"/>
  <c r="P1024" i="1"/>
  <c r="D1024" i="1"/>
  <c r="C1024" i="1"/>
  <c r="B1024" i="1"/>
  <c r="A1024" i="1" s="1"/>
  <c r="P1023" i="1"/>
  <c r="D1023" i="1"/>
  <c r="C1023" i="1" s="1"/>
  <c r="B1023" i="1"/>
  <c r="A1023" i="1"/>
  <c r="P1022" i="1"/>
  <c r="D1022" i="1"/>
  <c r="C1022" i="1" s="1"/>
  <c r="B1022" i="1"/>
  <c r="A1022" i="1"/>
  <c r="P1021" i="1"/>
  <c r="D1021" i="1"/>
  <c r="C1021" i="1"/>
  <c r="B1021" i="1"/>
  <c r="A1021" i="1" s="1"/>
  <c r="P1020" i="1"/>
  <c r="D1020" i="1"/>
  <c r="C1020" i="1"/>
  <c r="B1020" i="1"/>
  <c r="A1020" i="1" s="1"/>
  <c r="P1019" i="1"/>
  <c r="D1019" i="1"/>
  <c r="C1019" i="1" s="1"/>
  <c r="B1019" i="1"/>
  <c r="A1019" i="1"/>
  <c r="P1018" i="1"/>
  <c r="D1018" i="1"/>
  <c r="C1018" i="1" s="1"/>
  <c r="B1018" i="1"/>
  <c r="A1018" i="1"/>
  <c r="P1017" i="1"/>
  <c r="D1017" i="1"/>
  <c r="C1017" i="1"/>
  <c r="B1017" i="1"/>
  <c r="A1017" i="1" s="1"/>
  <c r="P1016" i="1"/>
  <c r="D1016" i="1"/>
  <c r="C1016" i="1"/>
  <c r="B1016" i="1"/>
  <c r="A1016" i="1" s="1"/>
  <c r="P1015" i="1"/>
  <c r="D1015" i="1"/>
  <c r="C1015" i="1" s="1"/>
  <c r="B1015" i="1"/>
  <c r="A1015" i="1"/>
  <c r="P1014" i="1"/>
  <c r="D1014" i="1"/>
  <c r="C1014" i="1" s="1"/>
  <c r="B1014" i="1"/>
  <c r="A1014" i="1"/>
  <c r="P1013" i="1"/>
  <c r="D1013" i="1"/>
  <c r="C1013" i="1"/>
  <c r="B1013" i="1"/>
  <c r="A1013" i="1" s="1"/>
  <c r="P1012" i="1"/>
  <c r="O1012" i="1"/>
  <c r="D1012" i="1"/>
  <c r="C1012" i="1" s="1"/>
  <c r="B1012" i="1"/>
  <c r="A1012" i="1"/>
  <c r="P1011" i="1"/>
  <c r="D1011" i="1"/>
  <c r="C1011" i="1" s="1"/>
  <c r="B1011" i="1"/>
  <c r="A1011" i="1"/>
  <c r="P1010" i="1"/>
  <c r="D1010" i="1"/>
  <c r="C1010" i="1"/>
  <c r="B1010" i="1"/>
  <c r="A1010" i="1" s="1"/>
  <c r="P1009" i="1"/>
  <c r="D1009" i="1"/>
  <c r="C1009" i="1"/>
  <c r="B1009" i="1"/>
  <c r="A1009" i="1" s="1"/>
  <c r="P1008" i="1"/>
  <c r="D1008" i="1"/>
  <c r="C1008" i="1" s="1"/>
  <c r="B1008" i="1"/>
  <c r="A1008" i="1"/>
  <c r="P1007" i="1"/>
  <c r="D1007" i="1"/>
  <c r="C1007" i="1" s="1"/>
  <c r="B1007" i="1"/>
  <c r="A1007" i="1"/>
  <c r="P1006" i="1"/>
  <c r="D1006" i="1"/>
  <c r="C1006" i="1"/>
  <c r="B1006" i="1"/>
  <c r="A1006" i="1" s="1"/>
  <c r="P1005" i="1"/>
  <c r="D1005" i="1"/>
  <c r="C1005" i="1"/>
  <c r="B1005" i="1"/>
  <c r="A1005" i="1" s="1"/>
  <c r="P1004" i="1"/>
  <c r="D1004" i="1"/>
  <c r="C1004" i="1" s="1"/>
  <c r="B1004" i="1"/>
  <c r="A1004" i="1"/>
  <c r="P1003" i="1"/>
  <c r="D1003" i="1"/>
  <c r="C1003" i="1" s="1"/>
  <c r="B1003" i="1"/>
  <c r="A1003" i="1"/>
  <c r="P1002" i="1"/>
  <c r="D1002" i="1"/>
  <c r="C1002" i="1"/>
  <c r="B1002" i="1"/>
  <c r="A1002" i="1" s="1"/>
  <c r="P1001" i="1"/>
  <c r="D1001" i="1"/>
  <c r="C1001" i="1"/>
  <c r="B1001" i="1"/>
  <c r="A1001" i="1" s="1"/>
  <c r="P1000" i="1"/>
  <c r="D1000" i="1"/>
  <c r="C1000" i="1" s="1"/>
  <c r="B1000" i="1"/>
  <c r="A1000" i="1"/>
  <c r="P999" i="1"/>
  <c r="D999" i="1"/>
  <c r="C999" i="1" s="1"/>
  <c r="B999" i="1"/>
  <c r="A999" i="1"/>
  <c r="P998" i="1"/>
  <c r="D998" i="1"/>
  <c r="C998" i="1"/>
  <c r="B998" i="1"/>
  <c r="A998" i="1" s="1"/>
  <c r="P997" i="1"/>
  <c r="D997" i="1"/>
  <c r="C997" i="1"/>
  <c r="B997" i="1"/>
  <c r="A997" i="1" s="1"/>
  <c r="P996" i="1"/>
  <c r="D996" i="1"/>
  <c r="C996" i="1" s="1"/>
  <c r="B996" i="1"/>
  <c r="A996" i="1"/>
  <c r="P995" i="1"/>
  <c r="O995" i="1"/>
  <c r="D995" i="1"/>
  <c r="C995" i="1"/>
  <c r="B995" i="1"/>
  <c r="A995" i="1" s="1"/>
  <c r="P994" i="1"/>
  <c r="D994" i="1"/>
  <c r="C994" i="1"/>
  <c r="B994" i="1"/>
  <c r="A994" i="1" s="1"/>
  <c r="P993" i="1"/>
  <c r="D993" i="1"/>
  <c r="C993" i="1" s="1"/>
  <c r="B993" i="1"/>
  <c r="A993" i="1"/>
  <c r="P992" i="1"/>
  <c r="D992" i="1"/>
  <c r="C992" i="1" s="1"/>
  <c r="B992" i="1"/>
  <c r="A992" i="1"/>
  <c r="P991" i="1"/>
  <c r="D991" i="1"/>
  <c r="C991" i="1"/>
  <c r="B991" i="1"/>
  <c r="A991" i="1" s="1"/>
  <c r="P990" i="1"/>
  <c r="D990" i="1"/>
  <c r="C990" i="1"/>
  <c r="B990" i="1"/>
  <c r="A990" i="1" s="1"/>
  <c r="P989" i="1"/>
  <c r="D989" i="1"/>
  <c r="C989" i="1" s="1"/>
  <c r="B989" i="1"/>
  <c r="A989" i="1"/>
  <c r="P988" i="1"/>
  <c r="D988" i="1"/>
  <c r="C988" i="1" s="1"/>
  <c r="B988" i="1"/>
  <c r="A988" i="1"/>
  <c r="P987" i="1"/>
  <c r="D987" i="1"/>
  <c r="C987" i="1"/>
  <c r="B987" i="1"/>
  <c r="A987" i="1" s="1"/>
  <c r="P986" i="1"/>
  <c r="D986" i="1"/>
  <c r="C986" i="1"/>
  <c r="B986" i="1"/>
  <c r="A986" i="1" s="1"/>
  <c r="P985" i="1"/>
  <c r="D985" i="1"/>
  <c r="C985" i="1" s="1"/>
  <c r="B985" i="1"/>
  <c r="A985" i="1"/>
  <c r="P984" i="1"/>
  <c r="D984" i="1"/>
  <c r="C984" i="1" s="1"/>
  <c r="B984" i="1"/>
  <c r="A984" i="1"/>
  <c r="P983" i="1"/>
  <c r="D983" i="1"/>
  <c r="C983" i="1"/>
  <c r="B983" i="1"/>
  <c r="A983" i="1" s="1"/>
  <c r="P982" i="1"/>
  <c r="D982" i="1"/>
  <c r="C982" i="1"/>
  <c r="B982" i="1"/>
  <c r="A982" i="1" s="1"/>
  <c r="P981" i="1"/>
  <c r="D981" i="1"/>
  <c r="C981" i="1" s="1"/>
  <c r="B981" i="1"/>
  <c r="A981" i="1"/>
  <c r="P980" i="1"/>
  <c r="D980" i="1"/>
  <c r="C980" i="1" s="1"/>
  <c r="B980" i="1"/>
  <c r="A980" i="1"/>
  <c r="P979" i="1"/>
  <c r="D979" i="1"/>
  <c r="C979" i="1"/>
  <c r="B979" i="1"/>
  <c r="A979" i="1" s="1"/>
  <c r="P978" i="1"/>
  <c r="D978" i="1"/>
  <c r="C978" i="1"/>
  <c r="B978" i="1"/>
  <c r="A978" i="1" s="1"/>
  <c r="P977" i="1"/>
  <c r="D977" i="1"/>
  <c r="C977" i="1" s="1"/>
  <c r="B977" i="1"/>
  <c r="A977" i="1"/>
  <c r="P976" i="1"/>
  <c r="D976" i="1"/>
  <c r="C976" i="1" s="1"/>
  <c r="B976" i="1"/>
  <c r="A976" i="1"/>
  <c r="P975" i="1"/>
  <c r="D975" i="1"/>
  <c r="C975" i="1"/>
  <c r="B975" i="1"/>
  <c r="A975" i="1" s="1"/>
  <c r="P974" i="1"/>
  <c r="D974" i="1"/>
  <c r="C974" i="1"/>
  <c r="B974" i="1"/>
  <c r="A974" i="1" s="1"/>
  <c r="P973" i="1"/>
  <c r="D973" i="1"/>
  <c r="C973" i="1" s="1"/>
  <c r="B973" i="1"/>
  <c r="A973" i="1"/>
  <c r="P972" i="1"/>
  <c r="D972" i="1"/>
  <c r="C972" i="1" s="1"/>
  <c r="B972" i="1"/>
  <c r="A972" i="1"/>
  <c r="P971" i="1"/>
  <c r="D971" i="1"/>
  <c r="C971" i="1"/>
  <c r="B971" i="1"/>
  <c r="A971" i="1" s="1"/>
  <c r="P970" i="1"/>
  <c r="O970" i="1"/>
  <c r="D970" i="1"/>
  <c r="C970" i="1" s="1"/>
  <c r="B970" i="1"/>
  <c r="A970" i="1"/>
  <c r="P969" i="1"/>
  <c r="D969" i="1"/>
  <c r="C969" i="1" s="1"/>
  <c r="B969" i="1"/>
  <c r="A969" i="1"/>
  <c r="P968" i="1"/>
  <c r="D968" i="1"/>
  <c r="C968" i="1"/>
  <c r="B968" i="1"/>
  <c r="A968" i="1" s="1"/>
  <c r="P967" i="1"/>
  <c r="D967" i="1"/>
  <c r="C967" i="1"/>
  <c r="B967" i="1"/>
  <c r="A967" i="1" s="1"/>
  <c r="P966" i="1"/>
  <c r="D966" i="1"/>
  <c r="C966" i="1" s="1"/>
  <c r="B966" i="1"/>
  <c r="A966" i="1"/>
  <c r="P965" i="1"/>
  <c r="D965" i="1"/>
  <c r="C965" i="1" s="1"/>
  <c r="B965" i="1"/>
  <c r="A965" i="1"/>
  <c r="P964" i="1"/>
  <c r="D964" i="1"/>
  <c r="C964" i="1"/>
  <c r="B964" i="1"/>
  <c r="A964" i="1" s="1"/>
  <c r="P963" i="1"/>
  <c r="D963" i="1"/>
  <c r="C963" i="1"/>
  <c r="B963" i="1"/>
  <c r="A963" i="1" s="1"/>
  <c r="P962" i="1"/>
  <c r="D962" i="1"/>
  <c r="C962" i="1" s="1"/>
  <c r="B962" i="1"/>
  <c r="A962" i="1"/>
  <c r="P961" i="1"/>
  <c r="D961" i="1"/>
  <c r="C961" i="1" s="1"/>
  <c r="B961" i="1"/>
  <c r="A961" i="1"/>
  <c r="P960" i="1"/>
  <c r="D960" i="1"/>
  <c r="C960" i="1"/>
  <c r="B960" i="1"/>
  <c r="A960" i="1" s="1"/>
  <c r="P959" i="1"/>
  <c r="D959" i="1"/>
  <c r="C959" i="1"/>
  <c r="B959" i="1"/>
  <c r="A959" i="1" s="1"/>
  <c r="P958" i="1"/>
  <c r="D958" i="1"/>
  <c r="C958" i="1" s="1"/>
  <c r="B958" i="1"/>
  <c r="A958" i="1"/>
  <c r="P957" i="1"/>
  <c r="D957" i="1"/>
  <c r="C957" i="1" s="1"/>
  <c r="B957" i="1"/>
  <c r="A957" i="1"/>
  <c r="P956" i="1"/>
  <c r="D956" i="1"/>
  <c r="C956" i="1"/>
  <c r="B956" i="1"/>
  <c r="A956" i="1" s="1"/>
  <c r="P955" i="1"/>
  <c r="D955" i="1"/>
  <c r="C955" i="1"/>
  <c r="B955" i="1"/>
  <c r="A955" i="1" s="1"/>
  <c r="P954" i="1"/>
  <c r="D954" i="1"/>
  <c r="C954" i="1" s="1"/>
  <c r="B954" i="1"/>
  <c r="A954" i="1"/>
  <c r="P953" i="1"/>
  <c r="D953" i="1"/>
  <c r="C953" i="1" s="1"/>
  <c r="B953" i="1"/>
  <c r="A953" i="1"/>
  <c r="P952" i="1"/>
  <c r="D952" i="1"/>
  <c r="C952" i="1"/>
  <c r="B952" i="1"/>
  <c r="A952" i="1" s="1"/>
  <c r="P951" i="1"/>
  <c r="D951" i="1"/>
  <c r="C951" i="1"/>
  <c r="B951" i="1"/>
  <c r="A951" i="1" s="1"/>
  <c r="P950" i="1"/>
  <c r="D950" i="1"/>
  <c r="C950" i="1" s="1"/>
  <c r="B950" i="1"/>
  <c r="A950" i="1"/>
  <c r="P949" i="1"/>
  <c r="D949" i="1"/>
  <c r="C949" i="1" s="1"/>
  <c r="B949" i="1"/>
  <c r="A949" i="1"/>
  <c r="P948" i="1"/>
  <c r="D948" i="1"/>
  <c r="C948" i="1"/>
  <c r="B948" i="1"/>
  <c r="A948" i="1" s="1"/>
  <c r="P947" i="1"/>
  <c r="D947" i="1"/>
  <c r="C947" i="1"/>
  <c r="B947" i="1"/>
  <c r="A947" i="1" s="1"/>
  <c r="P946" i="1"/>
  <c r="D946" i="1"/>
  <c r="C946" i="1" s="1"/>
  <c r="B946" i="1"/>
  <c r="A946" i="1"/>
  <c r="P945" i="1"/>
  <c r="D945" i="1"/>
  <c r="C945" i="1" s="1"/>
  <c r="B945" i="1"/>
  <c r="A945" i="1"/>
  <c r="P944" i="1"/>
  <c r="D944" i="1"/>
  <c r="C944" i="1"/>
  <c r="B944" i="1"/>
  <c r="A944" i="1" s="1"/>
  <c r="P943" i="1"/>
  <c r="D943" i="1"/>
  <c r="C943" i="1"/>
  <c r="B943" i="1"/>
  <c r="A943" i="1" s="1"/>
  <c r="P942" i="1"/>
  <c r="D942" i="1"/>
  <c r="C942" i="1" s="1"/>
  <c r="B942" i="1"/>
  <c r="A942" i="1"/>
  <c r="P941" i="1"/>
  <c r="O941" i="1"/>
  <c r="D941" i="1"/>
  <c r="C941" i="1"/>
  <c r="B941" i="1"/>
  <c r="A941" i="1" s="1"/>
  <c r="P940" i="1"/>
  <c r="D940" i="1"/>
  <c r="C940" i="1"/>
  <c r="B940" i="1"/>
  <c r="A940" i="1" s="1"/>
  <c r="P939" i="1"/>
  <c r="D939" i="1"/>
  <c r="C939" i="1" s="1"/>
  <c r="B939" i="1"/>
  <c r="A939" i="1"/>
  <c r="P938" i="1"/>
  <c r="D938" i="1"/>
  <c r="C938" i="1" s="1"/>
  <c r="B938" i="1"/>
  <c r="A938" i="1"/>
  <c r="P937" i="1"/>
  <c r="D937" i="1"/>
  <c r="C937" i="1"/>
  <c r="B937" i="1"/>
  <c r="A937" i="1" s="1"/>
  <c r="P936" i="1"/>
  <c r="D936" i="1"/>
  <c r="C936" i="1"/>
  <c r="B936" i="1"/>
  <c r="A936" i="1" s="1"/>
  <c r="P935" i="1"/>
  <c r="D935" i="1"/>
  <c r="C935" i="1" s="1"/>
  <c r="B935" i="1"/>
  <c r="A935" i="1"/>
  <c r="P934" i="1"/>
  <c r="D934" i="1"/>
  <c r="C934" i="1" s="1"/>
  <c r="B934" i="1"/>
  <c r="A934" i="1"/>
  <c r="P933" i="1"/>
  <c r="D933" i="1"/>
  <c r="C933" i="1"/>
  <c r="B933" i="1"/>
  <c r="A933" i="1" s="1"/>
  <c r="P932" i="1"/>
  <c r="D932" i="1"/>
  <c r="C932" i="1"/>
  <c r="B932" i="1"/>
  <c r="A932" i="1" s="1"/>
  <c r="P931" i="1"/>
  <c r="D931" i="1"/>
  <c r="C931" i="1" s="1"/>
  <c r="B931" i="1"/>
  <c r="A931" i="1"/>
  <c r="P930" i="1"/>
  <c r="D930" i="1"/>
  <c r="C930" i="1" s="1"/>
  <c r="B930" i="1"/>
  <c r="A930" i="1"/>
  <c r="P929" i="1"/>
  <c r="D929" i="1"/>
  <c r="C929" i="1"/>
  <c r="B929" i="1"/>
  <c r="A929" i="1" s="1"/>
  <c r="P928" i="1"/>
  <c r="D928" i="1"/>
  <c r="C928" i="1"/>
  <c r="B928" i="1"/>
  <c r="A928" i="1" s="1"/>
  <c r="P927" i="1"/>
  <c r="D927" i="1"/>
  <c r="C927" i="1" s="1"/>
  <c r="B927" i="1"/>
  <c r="A927" i="1"/>
  <c r="P926" i="1"/>
  <c r="D926" i="1"/>
  <c r="C926" i="1" s="1"/>
  <c r="B926" i="1"/>
  <c r="A926" i="1"/>
  <c r="P925" i="1"/>
  <c r="D925" i="1"/>
  <c r="C925" i="1"/>
  <c r="B925" i="1"/>
  <c r="A925" i="1" s="1"/>
  <c r="P924" i="1"/>
  <c r="D924" i="1"/>
  <c r="C924" i="1"/>
  <c r="B924" i="1"/>
  <c r="A924" i="1" s="1"/>
  <c r="P923" i="1"/>
  <c r="D923" i="1"/>
  <c r="C923" i="1" s="1"/>
  <c r="B923" i="1"/>
  <c r="A923" i="1"/>
  <c r="P922" i="1"/>
  <c r="D922" i="1"/>
  <c r="C922" i="1" s="1"/>
  <c r="B922" i="1"/>
  <c r="A922" i="1"/>
  <c r="P921" i="1"/>
  <c r="D921" i="1"/>
  <c r="C921" i="1"/>
  <c r="B921" i="1"/>
  <c r="A921" i="1" s="1"/>
  <c r="P920" i="1"/>
  <c r="D920" i="1"/>
  <c r="C920" i="1"/>
  <c r="B920" i="1"/>
  <c r="A920" i="1" s="1"/>
  <c r="P919" i="1"/>
  <c r="D919" i="1"/>
  <c r="C919" i="1" s="1"/>
  <c r="B919" i="1"/>
  <c r="A919" i="1"/>
  <c r="P918" i="1"/>
  <c r="D918" i="1"/>
  <c r="C918" i="1" s="1"/>
  <c r="B918" i="1"/>
  <c r="A918" i="1"/>
  <c r="P917" i="1"/>
  <c r="D917" i="1"/>
  <c r="C917" i="1"/>
  <c r="B917" i="1"/>
  <c r="A917" i="1" s="1"/>
  <c r="P916" i="1"/>
  <c r="D916" i="1"/>
  <c r="C916" i="1"/>
  <c r="B916" i="1"/>
  <c r="A916" i="1" s="1"/>
  <c r="P915" i="1"/>
  <c r="D915" i="1"/>
  <c r="C915" i="1" s="1"/>
  <c r="B915" i="1"/>
  <c r="A915" i="1"/>
  <c r="P914" i="1"/>
  <c r="O914" i="1"/>
  <c r="D914" i="1"/>
  <c r="C914" i="1"/>
  <c r="B914" i="1"/>
  <c r="A914" i="1" s="1"/>
  <c r="P913" i="1"/>
  <c r="D913" i="1"/>
  <c r="C913" i="1"/>
  <c r="B913" i="1"/>
  <c r="A913" i="1" s="1"/>
  <c r="P912" i="1"/>
  <c r="D912" i="1"/>
  <c r="C912" i="1" s="1"/>
  <c r="B912" i="1"/>
  <c r="A912" i="1"/>
  <c r="P911" i="1"/>
  <c r="D911" i="1"/>
  <c r="C911" i="1" s="1"/>
  <c r="B911" i="1"/>
  <c r="A911" i="1"/>
  <c r="P910" i="1"/>
  <c r="D910" i="1"/>
  <c r="C910" i="1"/>
  <c r="B910" i="1"/>
  <c r="A910" i="1" s="1"/>
  <c r="P909" i="1"/>
  <c r="D909" i="1"/>
  <c r="C909" i="1"/>
  <c r="B909" i="1"/>
  <c r="A909" i="1" s="1"/>
  <c r="P908" i="1"/>
  <c r="D908" i="1"/>
  <c r="C908" i="1" s="1"/>
  <c r="B908" i="1"/>
  <c r="A908" i="1"/>
  <c r="P907" i="1"/>
  <c r="D907" i="1"/>
  <c r="C907" i="1" s="1"/>
  <c r="B907" i="1"/>
  <c r="A907" i="1"/>
  <c r="P906" i="1"/>
  <c r="D906" i="1"/>
  <c r="C906" i="1"/>
  <c r="B906" i="1"/>
  <c r="A906" i="1" s="1"/>
  <c r="P905" i="1"/>
  <c r="D905" i="1"/>
  <c r="C905" i="1"/>
  <c r="B905" i="1"/>
  <c r="A905" i="1" s="1"/>
  <c r="P904" i="1"/>
  <c r="D904" i="1"/>
  <c r="C904" i="1" s="1"/>
  <c r="B904" i="1"/>
  <c r="A904" i="1"/>
  <c r="P903" i="1"/>
  <c r="D903" i="1"/>
  <c r="C903" i="1" s="1"/>
  <c r="B903" i="1"/>
  <c r="A903" i="1"/>
  <c r="P902" i="1"/>
  <c r="D902" i="1"/>
  <c r="C902" i="1"/>
  <c r="B902" i="1"/>
  <c r="A902" i="1" s="1"/>
  <c r="P901" i="1"/>
  <c r="D901" i="1"/>
  <c r="C901" i="1"/>
  <c r="B901" i="1"/>
  <c r="A901" i="1" s="1"/>
  <c r="P900" i="1"/>
  <c r="D900" i="1"/>
  <c r="C900" i="1" s="1"/>
  <c r="B900" i="1"/>
  <c r="A900" i="1"/>
  <c r="P899" i="1"/>
  <c r="D899" i="1"/>
  <c r="C899" i="1" s="1"/>
  <c r="B899" i="1"/>
  <c r="A899" i="1"/>
  <c r="P898" i="1"/>
  <c r="D898" i="1"/>
  <c r="C898" i="1"/>
  <c r="B898" i="1"/>
  <c r="A898" i="1" s="1"/>
  <c r="P897" i="1"/>
  <c r="D897" i="1"/>
  <c r="C897" i="1"/>
  <c r="B897" i="1"/>
  <c r="A897" i="1" s="1"/>
  <c r="P896" i="1"/>
  <c r="D896" i="1"/>
  <c r="C896" i="1" s="1"/>
  <c r="B896" i="1"/>
  <c r="A896" i="1"/>
  <c r="P895" i="1"/>
  <c r="D895" i="1"/>
  <c r="C895" i="1" s="1"/>
  <c r="B895" i="1"/>
  <c r="A895" i="1"/>
  <c r="P894" i="1"/>
  <c r="D894" i="1"/>
  <c r="C894" i="1"/>
  <c r="B894" i="1"/>
  <c r="A894" i="1" s="1"/>
  <c r="P893" i="1"/>
  <c r="D893" i="1"/>
  <c r="C893" i="1"/>
  <c r="B893" i="1"/>
  <c r="A893" i="1" s="1"/>
  <c r="P892" i="1"/>
  <c r="D892" i="1"/>
  <c r="C892" i="1" s="1"/>
  <c r="B892" i="1"/>
  <c r="A892" i="1"/>
  <c r="P891" i="1"/>
  <c r="D891" i="1"/>
  <c r="C891" i="1" s="1"/>
  <c r="B891" i="1"/>
  <c r="A891" i="1"/>
  <c r="P890" i="1"/>
  <c r="D890" i="1"/>
  <c r="C890" i="1"/>
  <c r="B890" i="1"/>
  <c r="A890" i="1" s="1"/>
  <c r="P889" i="1"/>
  <c r="D889" i="1"/>
  <c r="C889" i="1"/>
  <c r="B889" i="1"/>
  <c r="A889" i="1" s="1"/>
  <c r="P888" i="1"/>
  <c r="D888" i="1"/>
  <c r="C888" i="1" s="1"/>
  <c r="B888" i="1"/>
  <c r="A888" i="1"/>
  <c r="P887" i="1"/>
  <c r="D887" i="1"/>
  <c r="C887" i="1" s="1"/>
  <c r="B887" i="1"/>
  <c r="A887" i="1"/>
  <c r="P886" i="1"/>
  <c r="D886" i="1"/>
  <c r="C886" i="1"/>
  <c r="B886" i="1"/>
  <c r="A886" i="1" s="1"/>
  <c r="P885" i="1"/>
  <c r="D885" i="1"/>
  <c r="C885" i="1"/>
  <c r="B885" i="1"/>
  <c r="A885" i="1" s="1"/>
  <c r="P884" i="1"/>
  <c r="D884" i="1"/>
  <c r="C884" i="1" s="1"/>
  <c r="B884" i="1"/>
  <c r="A884" i="1"/>
  <c r="P883" i="1"/>
  <c r="D883" i="1"/>
  <c r="C883" i="1" s="1"/>
  <c r="B883" i="1"/>
  <c r="A883" i="1"/>
  <c r="P882" i="1"/>
  <c r="D882" i="1"/>
  <c r="C882" i="1"/>
  <c r="B882" i="1"/>
  <c r="A882" i="1" s="1"/>
  <c r="P881" i="1"/>
  <c r="D881" i="1"/>
  <c r="C881" i="1"/>
  <c r="B881" i="1"/>
  <c r="A881" i="1" s="1"/>
  <c r="P880" i="1"/>
  <c r="D880" i="1"/>
  <c r="C880" i="1" s="1"/>
  <c r="B880" i="1"/>
  <c r="A880" i="1"/>
  <c r="P879" i="1"/>
  <c r="D879" i="1"/>
  <c r="C879" i="1" s="1"/>
  <c r="B879" i="1"/>
  <c r="A879" i="1"/>
  <c r="P878" i="1"/>
  <c r="D878" i="1"/>
  <c r="C878" i="1"/>
  <c r="B878" i="1"/>
  <c r="A878" i="1" s="1"/>
  <c r="P877" i="1"/>
  <c r="M877" i="1"/>
  <c r="D877" i="1"/>
  <c r="C877" i="1" s="1"/>
  <c r="B877" i="1"/>
  <c r="A877" i="1"/>
  <c r="P876" i="1"/>
  <c r="L876" i="1"/>
  <c r="D876" i="1"/>
  <c r="C876" i="1"/>
  <c r="B876" i="1"/>
  <c r="A876" i="1" s="1"/>
  <c r="P875" i="1"/>
  <c r="M875" i="1"/>
  <c r="D875" i="1"/>
  <c r="C875" i="1" s="1"/>
  <c r="B875" i="1"/>
  <c r="A875" i="1"/>
  <c r="P874" i="1"/>
  <c r="L874" i="1"/>
  <c r="D874" i="1"/>
  <c r="C874" i="1"/>
  <c r="B874" i="1"/>
  <c r="A874" i="1" s="1"/>
  <c r="P873" i="1"/>
  <c r="D873" i="1"/>
  <c r="C873" i="1"/>
  <c r="B873" i="1"/>
  <c r="A873" i="1" s="1"/>
  <c r="P872" i="1"/>
  <c r="D872" i="1"/>
  <c r="C872" i="1" s="1"/>
  <c r="B872" i="1"/>
  <c r="A872" i="1"/>
  <c r="P871" i="1"/>
  <c r="D871" i="1"/>
  <c r="C871" i="1" s="1"/>
  <c r="B871" i="1"/>
  <c r="A871" i="1"/>
  <c r="P870" i="1"/>
  <c r="D870" i="1"/>
  <c r="C870" i="1"/>
  <c r="B870" i="1"/>
  <c r="A870" i="1" s="1"/>
  <c r="P869" i="1"/>
  <c r="D869" i="1"/>
  <c r="C869" i="1"/>
  <c r="B869" i="1"/>
  <c r="A869" i="1" s="1"/>
  <c r="P868" i="1"/>
  <c r="D868" i="1"/>
  <c r="C868" i="1" s="1"/>
  <c r="B868" i="1"/>
  <c r="A868" i="1"/>
  <c r="P867" i="1"/>
  <c r="D867" i="1"/>
  <c r="C867" i="1" s="1"/>
  <c r="B867" i="1"/>
  <c r="A867" i="1"/>
  <c r="P866" i="1"/>
  <c r="D866" i="1"/>
  <c r="C866" i="1"/>
  <c r="B866" i="1"/>
  <c r="A866" i="1" s="1"/>
  <c r="P865" i="1"/>
  <c r="M865" i="1"/>
  <c r="D865" i="1"/>
  <c r="C865" i="1" s="1"/>
  <c r="B865" i="1"/>
  <c r="A865" i="1"/>
  <c r="P864" i="1"/>
  <c r="D864" i="1"/>
  <c r="C864" i="1" s="1"/>
  <c r="B864" i="1"/>
  <c r="A864" i="1"/>
  <c r="P863" i="1"/>
  <c r="M863" i="1"/>
  <c r="D863" i="1"/>
  <c r="C863" i="1"/>
  <c r="B863" i="1"/>
  <c r="A863" i="1" s="1"/>
  <c r="P862" i="1"/>
  <c r="D862" i="1"/>
  <c r="C862" i="1" s="1"/>
  <c r="B862" i="1"/>
  <c r="A862" i="1"/>
  <c r="P861" i="1"/>
  <c r="D861" i="1"/>
  <c r="C861" i="1" s="1"/>
  <c r="B861" i="1"/>
  <c r="A861" i="1"/>
  <c r="P860" i="1"/>
  <c r="D860" i="1"/>
  <c r="C860" i="1"/>
  <c r="B860" i="1"/>
  <c r="A860" i="1" s="1"/>
  <c r="P859" i="1"/>
  <c r="D859" i="1"/>
  <c r="C859" i="1"/>
  <c r="B859" i="1"/>
  <c r="A859" i="1" s="1"/>
  <c r="P858" i="1"/>
  <c r="D858" i="1"/>
  <c r="C858" i="1" s="1"/>
  <c r="B858" i="1"/>
  <c r="A858" i="1"/>
  <c r="P857" i="1"/>
  <c r="D857" i="1"/>
  <c r="C857" i="1"/>
  <c r="B857" i="1"/>
  <c r="A857" i="1" s="1"/>
  <c r="P856" i="1"/>
  <c r="D856" i="1"/>
  <c r="C856" i="1"/>
  <c r="B856" i="1"/>
  <c r="A856" i="1" s="1"/>
  <c r="P855" i="1"/>
  <c r="L855" i="1"/>
  <c r="M858" i="1" s="1"/>
  <c r="D855" i="1"/>
  <c r="C855" i="1" s="1"/>
  <c r="B855" i="1"/>
  <c r="A855" i="1"/>
  <c r="P854" i="1"/>
  <c r="D854" i="1"/>
  <c r="C854" i="1"/>
  <c r="B854" i="1"/>
  <c r="A854" i="1" s="1"/>
  <c r="P853" i="1"/>
  <c r="D853" i="1"/>
  <c r="C853" i="1"/>
  <c r="B853" i="1"/>
  <c r="A853" i="1" s="1"/>
  <c r="P852" i="1"/>
  <c r="D852" i="1"/>
  <c r="C852" i="1" s="1"/>
  <c r="B852" i="1"/>
  <c r="A852" i="1"/>
  <c r="P851" i="1"/>
  <c r="D851" i="1"/>
  <c r="C851" i="1" s="1"/>
  <c r="B851" i="1"/>
  <c r="A851" i="1"/>
  <c r="P850" i="1"/>
  <c r="D850" i="1"/>
  <c r="C850" i="1"/>
  <c r="B850" i="1"/>
  <c r="A850" i="1" s="1"/>
  <c r="P849" i="1"/>
  <c r="D849" i="1"/>
  <c r="C849" i="1"/>
  <c r="B849" i="1"/>
  <c r="A849" i="1" s="1"/>
  <c r="P848" i="1"/>
  <c r="D848" i="1"/>
  <c r="C848" i="1" s="1"/>
  <c r="B848" i="1"/>
  <c r="A848" i="1"/>
  <c r="P847" i="1"/>
  <c r="D847" i="1"/>
  <c r="C847" i="1" s="1"/>
  <c r="B847" i="1"/>
  <c r="A847" i="1"/>
  <c r="P846" i="1"/>
  <c r="D846" i="1"/>
  <c r="C846" i="1"/>
  <c r="B846" i="1"/>
  <c r="A846" i="1" s="1"/>
  <c r="P845" i="1"/>
  <c r="D845" i="1"/>
  <c r="C845" i="1"/>
  <c r="B845" i="1"/>
  <c r="A845" i="1" s="1"/>
  <c r="P844" i="1"/>
  <c r="O844" i="1"/>
  <c r="D844" i="1"/>
  <c r="C844" i="1" s="1"/>
  <c r="B844" i="1"/>
  <c r="A844" i="1"/>
  <c r="P843" i="1"/>
  <c r="M843" i="1"/>
  <c r="D843" i="1"/>
  <c r="C843" i="1"/>
  <c r="B843" i="1"/>
  <c r="A843" i="1" s="1"/>
  <c r="P842" i="1"/>
  <c r="D842" i="1"/>
  <c r="C842" i="1" s="1"/>
  <c r="B842" i="1"/>
  <c r="A842" i="1"/>
  <c r="P841" i="1"/>
  <c r="D841" i="1"/>
  <c r="C841" i="1" s="1"/>
  <c r="B841" i="1"/>
  <c r="A841" i="1"/>
  <c r="P840" i="1"/>
  <c r="D840" i="1"/>
  <c r="C840" i="1"/>
  <c r="B840" i="1"/>
  <c r="A840" i="1" s="1"/>
  <c r="P839" i="1"/>
  <c r="O839" i="1"/>
  <c r="L839" i="1" s="1"/>
  <c r="M840" i="1" s="1"/>
  <c r="D839" i="1"/>
  <c r="C839" i="1"/>
  <c r="B839" i="1"/>
  <c r="A839" i="1" s="1"/>
  <c r="P838" i="1"/>
  <c r="D838" i="1"/>
  <c r="C838" i="1"/>
  <c r="B838" i="1"/>
  <c r="A838" i="1" s="1"/>
  <c r="P837" i="1"/>
  <c r="D837" i="1"/>
  <c r="C837" i="1" s="1"/>
  <c r="B837" i="1"/>
  <c r="A837" i="1"/>
  <c r="P836" i="1"/>
  <c r="D836" i="1"/>
  <c r="C836" i="1" s="1"/>
  <c r="B836" i="1"/>
  <c r="A836" i="1"/>
  <c r="P835" i="1"/>
  <c r="D835" i="1"/>
  <c r="C835" i="1"/>
  <c r="B835" i="1"/>
  <c r="A835" i="1" s="1"/>
  <c r="P834" i="1"/>
  <c r="D834" i="1"/>
  <c r="C834" i="1"/>
  <c r="B834" i="1"/>
  <c r="A834" i="1" s="1"/>
  <c r="P833" i="1"/>
  <c r="D833" i="1"/>
  <c r="C833" i="1" s="1"/>
  <c r="B833" i="1"/>
  <c r="A833" i="1"/>
  <c r="P832" i="1"/>
  <c r="D832" i="1"/>
  <c r="C832" i="1" s="1"/>
  <c r="B832" i="1"/>
  <c r="A832" i="1"/>
  <c r="P831" i="1"/>
  <c r="D831" i="1"/>
  <c r="C831" i="1"/>
  <c r="B831" i="1"/>
  <c r="A831" i="1" s="1"/>
  <c r="P830" i="1"/>
  <c r="D830" i="1"/>
  <c r="C830" i="1"/>
  <c r="B830" i="1"/>
  <c r="A830" i="1" s="1"/>
  <c r="P829" i="1"/>
  <c r="D829" i="1"/>
  <c r="C829" i="1" s="1"/>
  <c r="B829" i="1"/>
  <c r="A829" i="1"/>
  <c r="P828" i="1"/>
  <c r="D828" i="1"/>
  <c r="C828" i="1" s="1"/>
  <c r="B828" i="1"/>
  <c r="A828" i="1"/>
  <c r="P827" i="1"/>
  <c r="D827" i="1"/>
  <c r="C827" i="1"/>
  <c r="B827" i="1"/>
  <c r="A827" i="1" s="1"/>
  <c r="P826" i="1"/>
  <c r="D826" i="1"/>
  <c r="C826" i="1"/>
  <c r="B826" i="1"/>
  <c r="A826" i="1" s="1"/>
  <c r="P825" i="1"/>
  <c r="D825" i="1"/>
  <c r="C825" i="1" s="1"/>
  <c r="B825" i="1"/>
  <c r="A825" i="1"/>
  <c r="P824" i="1"/>
  <c r="D824" i="1"/>
  <c r="C824" i="1" s="1"/>
  <c r="B824" i="1"/>
  <c r="A824" i="1"/>
  <c r="P823" i="1"/>
  <c r="D823" i="1"/>
  <c r="C823" i="1"/>
  <c r="B823" i="1"/>
  <c r="A823" i="1" s="1"/>
  <c r="P822" i="1"/>
  <c r="D822" i="1"/>
  <c r="C822" i="1"/>
  <c r="B822" i="1"/>
  <c r="A822" i="1" s="1"/>
  <c r="P821" i="1"/>
  <c r="D821" i="1"/>
  <c r="C821" i="1" s="1"/>
  <c r="B821" i="1"/>
  <c r="A821" i="1"/>
  <c r="P820" i="1"/>
  <c r="D820" i="1"/>
  <c r="C820" i="1" s="1"/>
  <c r="B820" i="1"/>
  <c r="A820" i="1"/>
  <c r="P819" i="1"/>
  <c r="D819" i="1"/>
  <c r="C819" i="1"/>
  <c r="B819" i="1"/>
  <c r="A819" i="1" s="1"/>
  <c r="P818" i="1"/>
  <c r="D818" i="1"/>
  <c r="C818" i="1"/>
  <c r="B818" i="1"/>
  <c r="A818" i="1" s="1"/>
  <c r="P817" i="1"/>
  <c r="D817" i="1"/>
  <c r="C817" i="1" s="1"/>
  <c r="B817" i="1"/>
  <c r="A817" i="1"/>
  <c r="P816" i="1"/>
  <c r="D816" i="1"/>
  <c r="C816" i="1" s="1"/>
  <c r="B816" i="1"/>
  <c r="A816" i="1"/>
  <c r="P815" i="1"/>
  <c r="D815" i="1"/>
  <c r="C815" i="1"/>
  <c r="B815" i="1"/>
  <c r="A815" i="1" s="1"/>
  <c r="P814" i="1"/>
  <c r="D814" i="1"/>
  <c r="C814" i="1"/>
  <c r="B814" i="1"/>
  <c r="A814" i="1" s="1"/>
  <c r="P813" i="1"/>
  <c r="D813" i="1"/>
  <c r="C813" i="1" s="1"/>
  <c r="B813" i="1"/>
  <c r="A813" i="1"/>
  <c r="P812" i="1"/>
  <c r="D812" i="1"/>
  <c r="C812" i="1" s="1"/>
  <c r="B812" i="1"/>
  <c r="A812" i="1"/>
  <c r="P811" i="1"/>
  <c r="D811" i="1"/>
  <c r="C811" i="1"/>
  <c r="B811" i="1"/>
  <c r="A811" i="1" s="1"/>
  <c r="P810" i="1"/>
  <c r="D810" i="1"/>
  <c r="C810" i="1"/>
  <c r="B810" i="1"/>
  <c r="A810" i="1" s="1"/>
  <c r="P809" i="1"/>
  <c r="D809" i="1"/>
  <c r="C809" i="1" s="1"/>
  <c r="B809" i="1"/>
  <c r="A809" i="1"/>
  <c r="P808" i="1"/>
  <c r="D808" i="1"/>
  <c r="C808" i="1" s="1"/>
  <c r="B808" i="1"/>
  <c r="A808" i="1"/>
  <c r="P807" i="1"/>
  <c r="D807" i="1"/>
  <c r="C807" i="1"/>
  <c r="B807" i="1"/>
  <c r="A807" i="1" s="1"/>
  <c r="P806" i="1"/>
  <c r="D806" i="1"/>
  <c r="C806" i="1"/>
  <c r="B806" i="1"/>
  <c r="A806" i="1" s="1"/>
  <c r="P805" i="1"/>
  <c r="D805" i="1"/>
  <c r="C805" i="1" s="1"/>
  <c r="B805" i="1"/>
  <c r="A805" i="1"/>
  <c r="P804" i="1"/>
  <c r="D804" i="1"/>
  <c r="C804" i="1" s="1"/>
  <c r="B804" i="1"/>
  <c r="A804" i="1"/>
  <c r="P803" i="1"/>
  <c r="D803" i="1"/>
  <c r="C803" i="1"/>
  <c r="B803" i="1"/>
  <c r="A803" i="1" s="1"/>
  <c r="P802" i="1"/>
  <c r="D802" i="1"/>
  <c r="C802" i="1"/>
  <c r="B802" i="1"/>
  <c r="A802" i="1" s="1"/>
  <c r="P801" i="1"/>
  <c r="D801" i="1"/>
  <c r="C801" i="1" s="1"/>
  <c r="B801" i="1"/>
  <c r="A801" i="1"/>
  <c r="P800" i="1"/>
  <c r="D800" i="1"/>
  <c r="C800" i="1" s="1"/>
  <c r="B800" i="1"/>
  <c r="A800" i="1"/>
  <c r="P799" i="1"/>
  <c r="D799" i="1"/>
  <c r="C799" i="1"/>
  <c r="B799" i="1"/>
  <c r="A799" i="1" s="1"/>
  <c r="P798" i="1"/>
  <c r="D798" i="1"/>
  <c r="C798" i="1"/>
  <c r="B798" i="1"/>
  <c r="A798" i="1" s="1"/>
  <c r="P797" i="1"/>
  <c r="D797" i="1"/>
  <c r="C797" i="1" s="1"/>
  <c r="B797" i="1"/>
  <c r="A797" i="1"/>
  <c r="P796" i="1"/>
  <c r="D796" i="1"/>
  <c r="C796" i="1" s="1"/>
  <c r="B796" i="1"/>
  <c r="A796" i="1"/>
  <c r="P795" i="1"/>
  <c r="D795" i="1"/>
  <c r="C795" i="1"/>
  <c r="B795" i="1"/>
  <c r="A795" i="1" s="1"/>
  <c r="P794" i="1"/>
  <c r="D794" i="1"/>
  <c r="C794" i="1"/>
  <c r="B794" i="1"/>
  <c r="A794" i="1" s="1"/>
  <c r="P793" i="1"/>
  <c r="D793" i="1"/>
  <c r="C793" i="1" s="1"/>
  <c r="B793" i="1"/>
  <c r="A793" i="1"/>
  <c r="P792" i="1"/>
  <c r="D792" i="1"/>
  <c r="C792" i="1" s="1"/>
  <c r="B792" i="1"/>
  <c r="A792" i="1"/>
  <c r="P791" i="1"/>
  <c r="D791" i="1"/>
  <c r="C791" i="1"/>
  <c r="B791" i="1"/>
  <c r="A791" i="1" s="1"/>
  <c r="P790" i="1"/>
  <c r="D790" i="1"/>
  <c r="C790" i="1"/>
  <c r="B790" i="1"/>
  <c r="A790" i="1" s="1"/>
  <c r="P789" i="1"/>
  <c r="D789" i="1"/>
  <c r="C789" i="1" s="1"/>
  <c r="B789" i="1"/>
  <c r="A789" i="1"/>
  <c r="P788" i="1"/>
  <c r="D788" i="1"/>
  <c r="C788" i="1" s="1"/>
  <c r="B788" i="1"/>
  <c r="A788" i="1"/>
  <c r="P787" i="1"/>
  <c r="D787" i="1"/>
  <c r="C787" i="1"/>
  <c r="B787" i="1"/>
  <c r="A787" i="1" s="1"/>
  <c r="P786" i="1"/>
  <c r="D786" i="1"/>
  <c r="C786" i="1"/>
  <c r="B786" i="1"/>
  <c r="A786" i="1" s="1"/>
  <c r="P785" i="1"/>
  <c r="D785" i="1"/>
  <c r="C785" i="1" s="1"/>
  <c r="B785" i="1"/>
  <c r="A785" i="1"/>
  <c r="P784" i="1"/>
  <c r="D784" i="1"/>
  <c r="C784" i="1" s="1"/>
  <c r="B784" i="1"/>
  <c r="A784" i="1"/>
  <c r="P783" i="1"/>
  <c r="D783" i="1"/>
  <c r="C783" i="1"/>
  <c r="B783" i="1"/>
  <c r="A783" i="1" s="1"/>
  <c r="P782" i="1"/>
  <c r="D782" i="1"/>
  <c r="C782" i="1"/>
  <c r="B782" i="1"/>
  <c r="A782" i="1" s="1"/>
  <c r="P781" i="1"/>
  <c r="D781" i="1"/>
  <c r="C781" i="1" s="1"/>
  <c r="B781" i="1"/>
  <c r="A781" i="1"/>
  <c r="P780" i="1"/>
  <c r="D780" i="1"/>
  <c r="C780" i="1" s="1"/>
  <c r="B780" i="1"/>
  <c r="A780" i="1"/>
  <c r="P779" i="1"/>
  <c r="D779" i="1"/>
  <c r="C779" i="1"/>
  <c r="B779" i="1"/>
  <c r="A779" i="1" s="1"/>
  <c r="P778" i="1"/>
  <c r="D778" i="1"/>
  <c r="C778" i="1"/>
  <c r="B778" i="1"/>
  <c r="A778" i="1" s="1"/>
  <c r="P777" i="1"/>
  <c r="D777" i="1"/>
  <c r="C777" i="1" s="1"/>
  <c r="B777" i="1"/>
  <c r="A777" i="1"/>
  <c r="P776" i="1"/>
  <c r="D776" i="1"/>
  <c r="C776" i="1" s="1"/>
  <c r="B776" i="1"/>
  <c r="A776" i="1"/>
  <c r="P775" i="1"/>
  <c r="D775" i="1"/>
  <c r="C775" i="1"/>
  <c r="B775" i="1"/>
  <c r="A775" i="1" s="1"/>
  <c r="P774" i="1"/>
  <c r="D774" i="1"/>
  <c r="C774" i="1"/>
  <c r="B774" i="1"/>
  <c r="A774" i="1" s="1"/>
  <c r="P773" i="1"/>
  <c r="D773" i="1"/>
  <c r="C773" i="1" s="1"/>
  <c r="B773" i="1"/>
  <c r="A773" i="1"/>
  <c r="P772" i="1"/>
  <c r="D772" i="1"/>
  <c r="C772" i="1" s="1"/>
  <c r="B772" i="1"/>
  <c r="A772" i="1"/>
  <c r="P771" i="1"/>
  <c r="L771" i="1"/>
  <c r="D771" i="1"/>
  <c r="C771" i="1"/>
  <c r="B771" i="1"/>
  <c r="A771" i="1" s="1"/>
  <c r="P770" i="1"/>
  <c r="D770" i="1"/>
  <c r="C770" i="1" s="1"/>
  <c r="B770" i="1"/>
  <c r="A770" i="1"/>
  <c r="P769" i="1"/>
  <c r="D769" i="1"/>
  <c r="C769" i="1" s="1"/>
  <c r="B769" i="1"/>
  <c r="A769" i="1"/>
  <c r="P768" i="1"/>
  <c r="D768" i="1"/>
  <c r="C768" i="1"/>
  <c r="B768" i="1"/>
  <c r="A768" i="1" s="1"/>
  <c r="P767" i="1"/>
  <c r="D767" i="1"/>
  <c r="C767" i="1"/>
  <c r="B767" i="1"/>
  <c r="A767" i="1" s="1"/>
  <c r="P766" i="1"/>
  <c r="D766" i="1"/>
  <c r="C766" i="1" s="1"/>
  <c r="B766" i="1"/>
  <c r="A766" i="1"/>
  <c r="P765" i="1"/>
  <c r="D765" i="1"/>
  <c r="C765" i="1" s="1"/>
  <c r="B765" i="1"/>
  <c r="A765" i="1"/>
  <c r="P764" i="1"/>
  <c r="D764" i="1"/>
  <c r="C764" i="1"/>
  <c r="B764" i="1"/>
  <c r="A764" i="1" s="1"/>
  <c r="P763" i="1"/>
  <c r="D763" i="1"/>
  <c r="C763" i="1"/>
  <c r="B763" i="1"/>
  <c r="A763" i="1" s="1"/>
  <c r="P762" i="1"/>
  <c r="D762" i="1"/>
  <c r="C762" i="1" s="1"/>
  <c r="B762" i="1"/>
  <c r="A762" i="1"/>
  <c r="P761" i="1"/>
  <c r="D761" i="1"/>
  <c r="C761" i="1" s="1"/>
  <c r="B761" i="1"/>
  <c r="A761" i="1"/>
  <c r="P760" i="1"/>
  <c r="D760" i="1"/>
  <c r="C760" i="1"/>
  <c r="B760" i="1"/>
  <c r="A760" i="1" s="1"/>
  <c r="P759" i="1"/>
  <c r="D759" i="1"/>
  <c r="C759" i="1"/>
  <c r="B759" i="1"/>
  <c r="A759" i="1" s="1"/>
  <c r="P758" i="1"/>
  <c r="D758" i="1"/>
  <c r="C758" i="1" s="1"/>
  <c r="B758" i="1"/>
  <c r="A758" i="1"/>
  <c r="P757" i="1"/>
  <c r="D757" i="1"/>
  <c r="C757" i="1" s="1"/>
  <c r="B757" i="1"/>
  <c r="A757" i="1"/>
  <c r="P756" i="1"/>
  <c r="D756" i="1"/>
  <c r="C756" i="1"/>
  <c r="B756" i="1"/>
  <c r="A756" i="1" s="1"/>
  <c r="P755" i="1"/>
  <c r="D755" i="1"/>
  <c r="C755" i="1"/>
  <c r="B755" i="1"/>
  <c r="A755" i="1" s="1"/>
  <c r="P754" i="1"/>
  <c r="D754" i="1"/>
  <c r="C754" i="1" s="1"/>
  <c r="B754" i="1"/>
  <c r="A754" i="1"/>
  <c r="P753" i="1"/>
  <c r="D753" i="1"/>
  <c r="C753" i="1" s="1"/>
  <c r="B753" i="1"/>
  <c r="A753" i="1"/>
  <c r="P752" i="1"/>
  <c r="L752" i="1"/>
  <c r="D752" i="1"/>
  <c r="C752" i="1"/>
  <c r="B752" i="1"/>
  <c r="A752" i="1" s="1"/>
  <c r="P751" i="1"/>
  <c r="D751" i="1"/>
  <c r="C751" i="1" s="1"/>
  <c r="B751" i="1"/>
  <c r="A751" i="1"/>
  <c r="P750" i="1"/>
  <c r="D750" i="1"/>
  <c r="C750" i="1" s="1"/>
  <c r="B750" i="1"/>
  <c r="A750" i="1"/>
  <c r="P749" i="1"/>
  <c r="D749" i="1"/>
  <c r="C749" i="1"/>
  <c r="B749" i="1"/>
  <c r="A749" i="1" s="1"/>
  <c r="P748" i="1"/>
  <c r="L748" i="1"/>
  <c r="D748" i="1"/>
  <c r="C748" i="1" s="1"/>
  <c r="B748" i="1"/>
  <c r="A748" i="1"/>
  <c r="P747" i="1"/>
  <c r="D747" i="1"/>
  <c r="C747" i="1" s="1"/>
  <c r="B747" i="1"/>
  <c r="A747" i="1"/>
  <c r="P746" i="1"/>
  <c r="D746" i="1"/>
  <c r="C746" i="1"/>
  <c r="B746" i="1"/>
  <c r="A746" i="1" s="1"/>
  <c r="P745" i="1"/>
  <c r="D745" i="1"/>
  <c r="C745" i="1"/>
  <c r="B745" i="1"/>
  <c r="A745" i="1" s="1"/>
  <c r="P744" i="1"/>
  <c r="D744" i="1"/>
  <c r="C744" i="1" s="1"/>
  <c r="B744" i="1"/>
  <c r="A744" i="1"/>
  <c r="P743" i="1"/>
  <c r="D743" i="1"/>
  <c r="C743" i="1" s="1"/>
  <c r="B743" i="1"/>
  <c r="A743" i="1"/>
  <c r="P742" i="1"/>
  <c r="D742" i="1"/>
  <c r="C742" i="1"/>
  <c r="B742" i="1"/>
  <c r="A742" i="1" s="1"/>
  <c r="P741" i="1"/>
  <c r="D741" i="1"/>
  <c r="C741" i="1"/>
  <c r="B741" i="1"/>
  <c r="A741" i="1" s="1"/>
  <c r="P740" i="1"/>
  <c r="D740" i="1"/>
  <c r="C740" i="1" s="1"/>
  <c r="B740" i="1"/>
  <c r="A740" i="1"/>
  <c r="P739" i="1"/>
  <c r="D739" i="1"/>
  <c r="C739" i="1" s="1"/>
  <c r="B739" i="1"/>
  <c r="A739" i="1"/>
  <c r="P738" i="1"/>
  <c r="D738" i="1"/>
  <c r="C738" i="1"/>
  <c r="B738" i="1"/>
  <c r="A738" i="1" s="1"/>
  <c r="P737" i="1"/>
  <c r="D737" i="1"/>
  <c r="C737" i="1"/>
  <c r="B737" i="1"/>
  <c r="A737" i="1" s="1"/>
  <c r="P736" i="1"/>
  <c r="D736" i="1"/>
  <c r="C736" i="1" s="1"/>
  <c r="B736" i="1"/>
  <c r="A736" i="1"/>
  <c r="P735" i="1"/>
  <c r="D735" i="1"/>
  <c r="C735" i="1" s="1"/>
  <c r="B735" i="1"/>
  <c r="A735" i="1"/>
  <c r="P734" i="1"/>
  <c r="D734" i="1"/>
  <c r="C734" i="1"/>
  <c r="B734" i="1"/>
  <c r="A734" i="1" s="1"/>
  <c r="P733" i="1"/>
  <c r="D733" i="1"/>
  <c r="C733" i="1"/>
  <c r="B733" i="1"/>
  <c r="A733" i="1" s="1"/>
  <c r="P732" i="1"/>
  <c r="D732" i="1"/>
  <c r="C732" i="1" s="1"/>
  <c r="B732" i="1"/>
  <c r="A732" i="1"/>
  <c r="P731" i="1"/>
  <c r="D731" i="1"/>
  <c r="C731" i="1" s="1"/>
  <c r="B731" i="1"/>
  <c r="A731" i="1"/>
  <c r="P730" i="1"/>
  <c r="D730" i="1"/>
  <c r="C730" i="1"/>
  <c r="B730" i="1"/>
  <c r="A730" i="1" s="1"/>
  <c r="P729" i="1"/>
  <c r="D729" i="1"/>
  <c r="C729" i="1"/>
  <c r="B729" i="1"/>
  <c r="A729" i="1" s="1"/>
  <c r="P728" i="1"/>
  <c r="D728" i="1"/>
  <c r="C728" i="1" s="1"/>
  <c r="B728" i="1"/>
  <c r="A728" i="1"/>
  <c r="P727" i="1"/>
  <c r="D727" i="1"/>
  <c r="C727" i="1" s="1"/>
  <c r="B727" i="1"/>
  <c r="A727" i="1"/>
  <c r="P726" i="1"/>
  <c r="D726" i="1"/>
  <c r="C726" i="1"/>
  <c r="B726" i="1"/>
  <c r="A726" i="1" s="1"/>
  <c r="P725" i="1"/>
  <c r="D725" i="1"/>
  <c r="C725" i="1"/>
  <c r="B725" i="1"/>
  <c r="A725" i="1" s="1"/>
  <c r="P724" i="1"/>
  <c r="D724" i="1"/>
  <c r="C724" i="1" s="1"/>
  <c r="B724" i="1"/>
  <c r="A724" i="1"/>
  <c r="P723" i="1"/>
  <c r="D723" i="1"/>
  <c r="C723" i="1" s="1"/>
  <c r="B723" i="1"/>
  <c r="A723" i="1"/>
  <c r="P722" i="1"/>
  <c r="D722" i="1"/>
  <c r="C722" i="1"/>
  <c r="B722" i="1"/>
  <c r="A722" i="1" s="1"/>
  <c r="P721" i="1"/>
  <c r="D721" i="1"/>
  <c r="C721" i="1"/>
  <c r="B721" i="1"/>
  <c r="A721" i="1" s="1"/>
  <c r="P720" i="1"/>
  <c r="D720" i="1"/>
  <c r="C720" i="1" s="1"/>
  <c r="B720" i="1"/>
  <c r="A720" i="1"/>
  <c r="P719" i="1"/>
  <c r="D719" i="1"/>
  <c r="C719" i="1" s="1"/>
  <c r="B719" i="1"/>
  <c r="A719" i="1"/>
  <c r="P718" i="1"/>
  <c r="D718" i="1"/>
  <c r="C718" i="1"/>
  <c r="B718" i="1"/>
  <c r="A718" i="1" s="1"/>
  <c r="P717" i="1"/>
  <c r="D717" i="1"/>
  <c r="C717" i="1"/>
  <c r="B717" i="1"/>
  <c r="A717" i="1" s="1"/>
  <c r="P716" i="1"/>
  <c r="D716" i="1"/>
  <c r="C716" i="1" s="1"/>
  <c r="B716" i="1"/>
  <c r="A716" i="1"/>
  <c r="P715" i="1"/>
  <c r="D715" i="1"/>
  <c r="C715" i="1" s="1"/>
  <c r="B715" i="1"/>
  <c r="A715" i="1"/>
  <c r="P714" i="1"/>
  <c r="D714" i="1"/>
  <c r="C714" i="1"/>
  <c r="B714" i="1"/>
  <c r="A714" i="1" s="1"/>
  <c r="P713" i="1"/>
  <c r="L713" i="1"/>
  <c r="M714" i="1" s="1"/>
  <c r="D713" i="1"/>
  <c r="C713" i="1" s="1"/>
  <c r="B713" i="1"/>
  <c r="A713" i="1"/>
  <c r="P712" i="1"/>
  <c r="D712" i="1"/>
  <c r="C712" i="1"/>
  <c r="B712" i="1"/>
  <c r="A712" i="1" s="1"/>
  <c r="P711" i="1"/>
  <c r="D711" i="1"/>
  <c r="C711" i="1"/>
  <c r="B711" i="1"/>
  <c r="A711" i="1" s="1"/>
  <c r="P710" i="1"/>
  <c r="D710" i="1"/>
  <c r="C710" i="1" s="1"/>
  <c r="B710" i="1"/>
  <c r="A710" i="1"/>
  <c r="P709" i="1"/>
  <c r="D709" i="1"/>
  <c r="C709" i="1" s="1"/>
  <c r="B709" i="1"/>
  <c r="A709" i="1"/>
  <c r="P708" i="1"/>
  <c r="D708" i="1"/>
  <c r="C708" i="1"/>
  <c r="B708" i="1"/>
  <c r="A708" i="1" s="1"/>
  <c r="P707" i="1"/>
  <c r="M707" i="1"/>
  <c r="D707" i="1"/>
  <c r="C707" i="1" s="1"/>
  <c r="B707" i="1"/>
  <c r="A707" i="1"/>
  <c r="P706" i="1"/>
  <c r="L706" i="1"/>
  <c r="D706" i="1"/>
  <c r="C706" i="1"/>
  <c r="B706" i="1"/>
  <c r="A706" i="1" s="1"/>
  <c r="P705" i="1"/>
  <c r="M705" i="1"/>
  <c r="D705" i="1"/>
  <c r="C705" i="1" s="1"/>
  <c r="B705" i="1"/>
  <c r="A705" i="1"/>
  <c r="P704" i="1"/>
  <c r="D704" i="1"/>
  <c r="C704" i="1"/>
  <c r="B704" i="1"/>
  <c r="A704" i="1" s="1"/>
  <c r="P703" i="1"/>
  <c r="M703" i="1"/>
  <c r="D703" i="1"/>
  <c r="C703" i="1" s="1"/>
  <c r="B703" i="1"/>
  <c r="A703" i="1"/>
  <c r="P702" i="1"/>
  <c r="L702" i="1"/>
  <c r="D702" i="1"/>
  <c r="C702" i="1"/>
  <c r="B702" i="1"/>
  <c r="A702" i="1" s="1"/>
  <c r="P701" i="1"/>
  <c r="L701" i="1"/>
  <c r="M704" i="1" s="1"/>
  <c r="D701" i="1"/>
  <c r="C701" i="1" s="1"/>
  <c r="B701" i="1"/>
  <c r="A701" i="1"/>
  <c r="P700" i="1"/>
  <c r="L700" i="1"/>
  <c r="D700" i="1"/>
  <c r="C700" i="1"/>
  <c r="B700" i="1"/>
  <c r="A700" i="1" s="1"/>
  <c r="P699" i="1"/>
  <c r="D699" i="1"/>
  <c r="C699" i="1"/>
  <c r="B699" i="1"/>
  <c r="A699" i="1" s="1"/>
  <c r="P698" i="1"/>
  <c r="D698" i="1"/>
  <c r="C698" i="1" s="1"/>
  <c r="B698" i="1"/>
  <c r="A698" i="1"/>
  <c r="P697" i="1"/>
  <c r="D697" i="1"/>
  <c r="C697" i="1" s="1"/>
  <c r="B697" i="1"/>
  <c r="A697" i="1"/>
  <c r="P696" i="1"/>
  <c r="D696" i="1"/>
  <c r="C696" i="1"/>
  <c r="B696" i="1"/>
  <c r="A696" i="1" s="1"/>
  <c r="P695" i="1"/>
  <c r="M695" i="1"/>
  <c r="D695" i="1"/>
  <c r="C695" i="1" s="1"/>
  <c r="B695" i="1"/>
  <c r="A695" i="1"/>
  <c r="P694" i="1"/>
  <c r="D694" i="1"/>
  <c r="C694" i="1" s="1"/>
  <c r="B694" i="1"/>
  <c r="A694" i="1"/>
  <c r="P693" i="1"/>
  <c r="D693" i="1"/>
  <c r="C693" i="1"/>
  <c r="B693" i="1"/>
  <c r="A693" i="1" s="1"/>
  <c r="P692" i="1"/>
  <c r="D692" i="1"/>
  <c r="C692" i="1"/>
  <c r="B692" i="1"/>
  <c r="A692" i="1" s="1"/>
  <c r="P691" i="1"/>
  <c r="D691" i="1"/>
  <c r="C691" i="1" s="1"/>
  <c r="B691" i="1"/>
  <c r="A691" i="1"/>
  <c r="P690" i="1"/>
  <c r="D690" i="1"/>
  <c r="C690" i="1" s="1"/>
  <c r="B690" i="1"/>
  <c r="A690" i="1"/>
  <c r="P689" i="1"/>
  <c r="D689" i="1"/>
  <c r="C689" i="1"/>
  <c r="B689" i="1"/>
  <c r="A689" i="1" s="1"/>
  <c r="P688" i="1"/>
  <c r="D688" i="1"/>
  <c r="C688" i="1"/>
  <c r="B688" i="1"/>
  <c r="A688" i="1" s="1"/>
  <c r="P687" i="1"/>
  <c r="D687" i="1"/>
  <c r="C687" i="1" s="1"/>
  <c r="B687" i="1"/>
  <c r="A687" i="1"/>
  <c r="P686" i="1"/>
  <c r="D686" i="1"/>
  <c r="C686" i="1" s="1"/>
  <c r="B686" i="1"/>
  <c r="A686" i="1"/>
  <c r="P685" i="1"/>
  <c r="D685" i="1"/>
  <c r="C685" i="1"/>
  <c r="B685" i="1"/>
  <c r="A685" i="1" s="1"/>
  <c r="P684" i="1"/>
  <c r="D684" i="1"/>
  <c r="C684" i="1"/>
  <c r="B684" i="1"/>
  <c r="A684" i="1" s="1"/>
  <c r="P683" i="1"/>
  <c r="D683" i="1"/>
  <c r="C683" i="1" s="1"/>
  <c r="B683" i="1"/>
  <c r="A683" i="1"/>
  <c r="P682" i="1"/>
  <c r="D682" i="1"/>
  <c r="C682" i="1" s="1"/>
  <c r="B682" i="1"/>
  <c r="A682" i="1"/>
  <c r="P681" i="1"/>
  <c r="D681" i="1"/>
  <c r="C681" i="1"/>
  <c r="B681" i="1"/>
  <c r="A681" i="1" s="1"/>
  <c r="P680" i="1"/>
  <c r="D680" i="1"/>
  <c r="C680" i="1"/>
  <c r="B680" i="1"/>
  <c r="A680" i="1" s="1"/>
  <c r="P679" i="1"/>
  <c r="D679" i="1"/>
  <c r="C679" i="1" s="1"/>
  <c r="B679" i="1"/>
  <c r="A679" i="1"/>
  <c r="P678" i="1"/>
  <c r="D678" i="1"/>
  <c r="C678" i="1" s="1"/>
  <c r="B678" i="1"/>
  <c r="A678" i="1"/>
  <c r="P677" i="1"/>
  <c r="D677" i="1"/>
  <c r="C677" i="1"/>
  <c r="B677" i="1"/>
  <c r="A677" i="1" s="1"/>
  <c r="P676" i="1"/>
  <c r="D676" i="1"/>
  <c r="C676" i="1"/>
  <c r="B676" i="1"/>
  <c r="A676" i="1" s="1"/>
  <c r="P675" i="1"/>
  <c r="D675" i="1"/>
  <c r="C675" i="1" s="1"/>
  <c r="B675" i="1"/>
  <c r="A675" i="1"/>
  <c r="P674" i="1"/>
  <c r="D674" i="1"/>
  <c r="C674" i="1" s="1"/>
  <c r="B674" i="1"/>
  <c r="A674" i="1"/>
  <c r="P673" i="1"/>
  <c r="D673" i="1"/>
  <c r="C673" i="1"/>
  <c r="B673" i="1"/>
  <c r="A673" i="1" s="1"/>
  <c r="P672" i="1"/>
  <c r="D672" i="1"/>
  <c r="C672" i="1"/>
  <c r="B672" i="1"/>
  <c r="A672" i="1" s="1"/>
  <c r="P671" i="1"/>
  <c r="D671" i="1"/>
  <c r="C671" i="1" s="1"/>
  <c r="B671" i="1"/>
  <c r="A671" i="1"/>
  <c r="P670" i="1"/>
  <c r="D670" i="1"/>
  <c r="C670" i="1" s="1"/>
  <c r="B670" i="1"/>
  <c r="A670" i="1"/>
  <c r="P669" i="1"/>
  <c r="D669" i="1"/>
  <c r="C669" i="1"/>
  <c r="B669" i="1"/>
  <c r="A669" i="1" s="1"/>
  <c r="P668" i="1"/>
  <c r="D668" i="1"/>
  <c r="C668" i="1"/>
  <c r="B668" i="1"/>
  <c r="A668" i="1" s="1"/>
  <c r="P667" i="1"/>
  <c r="D667" i="1"/>
  <c r="C667" i="1" s="1"/>
  <c r="B667" i="1"/>
  <c r="A667" i="1"/>
  <c r="P666" i="1"/>
  <c r="D666" i="1"/>
  <c r="C666" i="1" s="1"/>
  <c r="B666" i="1"/>
  <c r="A666" i="1"/>
  <c r="P665" i="1"/>
  <c r="D665" i="1"/>
  <c r="C665" i="1"/>
  <c r="B665" i="1"/>
  <c r="A665" i="1" s="1"/>
  <c r="P664" i="1"/>
  <c r="D664" i="1"/>
  <c r="C664" i="1"/>
  <c r="B664" i="1"/>
  <c r="A664" i="1" s="1"/>
  <c r="P663" i="1"/>
  <c r="D663" i="1"/>
  <c r="C663" i="1" s="1"/>
  <c r="B663" i="1"/>
  <c r="A663" i="1"/>
  <c r="P662" i="1"/>
  <c r="D662" i="1"/>
  <c r="C662" i="1" s="1"/>
  <c r="B662" i="1"/>
  <c r="A662" i="1"/>
  <c r="P661" i="1"/>
  <c r="D661" i="1"/>
  <c r="C661" i="1"/>
  <c r="B661" i="1"/>
  <c r="A661" i="1" s="1"/>
  <c r="P660" i="1"/>
  <c r="D660" i="1"/>
  <c r="C660" i="1"/>
  <c r="B660" i="1"/>
  <c r="A660" i="1" s="1"/>
  <c r="P659" i="1"/>
  <c r="D659" i="1"/>
  <c r="C659" i="1" s="1"/>
  <c r="B659" i="1"/>
  <c r="A659" i="1"/>
  <c r="P658" i="1"/>
  <c r="D658" i="1"/>
  <c r="C658" i="1" s="1"/>
  <c r="B658" i="1"/>
  <c r="A658" i="1"/>
  <c r="P657" i="1"/>
  <c r="D657" i="1"/>
  <c r="C657" i="1"/>
  <c r="B657" i="1"/>
  <c r="A657" i="1" s="1"/>
  <c r="P656" i="1"/>
  <c r="D656" i="1"/>
  <c r="C656" i="1"/>
  <c r="B656" i="1"/>
  <c r="A656" i="1" s="1"/>
  <c r="P655" i="1"/>
  <c r="D655" i="1"/>
  <c r="C655" i="1" s="1"/>
  <c r="B655" i="1"/>
  <c r="A655" i="1"/>
  <c r="P654" i="1"/>
  <c r="D654" i="1"/>
  <c r="C654" i="1" s="1"/>
  <c r="B654" i="1"/>
  <c r="A654" i="1"/>
  <c r="P653" i="1"/>
  <c r="D653" i="1"/>
  <c r="C653" i="1"/>
  <c r="B653" i="1"/>
  <c r="A653" i="1" s="1"/>
  <c r="P652" i="1"/>
  <c r="D652" i="1"/>
  <c r="C652" i="1"/>
  <c r="B652" i="1"/>
  <c r="A652" i="1" s="1"/>
  <c r="P651" i="1"/>
  <c r="D651" i="1"/>
  <c r="C651" i="1" s="1"/>
  <c r="B651" i="1"/>
  <c r="A651" i="1"/>
  <c r="P650" i="1"/>
  <c r="D650" i="1"/>
  <c r="C650" i="1" s="1"/>
  <c r="B650" i="1"/>
  <c r="A650" i="1"/>
  <c r="P649" i="1"/>
  <c r="D649" i="1"/>
  <c r="C649" i="1"/>
  <c r="B649" i="1"/>
  <c r="A649" i="1" s="1"/>
  <c r="P648" i="1"/>
  <c r="D648" i="1"/>
  <c r="C648" i="1"/>
  <c r="B648" i="1"/>
  <c r="A648" i="1" s="1"/>
  <c r="P647" i="1"/>
  <c r="D647" i="1"/>
  <c r="C647" i="1" s="1"/>
  <c r="B647" i="1"/>
  <c r="A647" i="1"/>
  <c r="P646" i="1"/>
  <c r="L646" i="1"/>
  <c r="D646" i="1"/>
  <c r="C646" i="1"/>
  <c r="B646" i="1"/>
  <c r="A646" i="1" s="1"/>
  <c r="P645" i="1"/>
  <c r="D645" i="1"/>
  <c r="C645" i="1"/>
  <c r="B645" i="1"/>
  <c r="A645" i="1" s="1"/>
  <c r="P644" i="1"/>
  <c r="D644" i="1"/>
  <c r="C644" i="1" s="1"/>
  <c r="B644" i="1"/>
  <c r="A644" i="1"/>
  <c r="P643" i="1"/>
  <c r="D643" i="1"/>
  <c r="C643" i="1" s="1"/>
  <c r="B643" i="1"/>
  <c r="A643" i="1"/>
  <c r="P642" i="1"/>
  <c r="D642" i="1"/>
  <c r="C642" i="1"/>
  <c r="B642" i="1"/>
  <c r="A642" i="1" s="1"/>
  <c r="P641" i="1"/>
  <c r="D641" i="1"/>
  <c r="C641" i="1"/>
  <c r="B641" i="1"/>
  <c r="A641" i="1" s="1"/>
  <c r="P640" i="1"/>
  <c r="D640" i="1"/>
  <c r="C640" i="1" s="1"/>
  <c r="B640" i="1"/>
  <c r="A640" i="1"/>
  <c r="P639" i="1"/>
  <c r="D639" i="1"/>
  <c r="C639" i="1" s="1"/>
  <c r="B639" i="1"/>
  <c r="A639" i="1"/>
  <c r="P638" i="1"/>
  <c r="D638" i="1"/>
  <c r="C638" i="1"/>
  <c r="B638" i="1"/>
  <c r="A638" i="1" s="1"/>
  <c r="P637" i="1"/>
  <c r="D637" i="1"/>
  <c r="C637" i="1"/>
  <c r="B637" i="1"/>
  <c r="A637" i="1" s="1"/>
  <c r="P636" i="1"/>
  <c r="D636" i="1"/>
  <c r="C636" i="1" s="1"/>
  <c r="B636" i="1"/>
  <c r="A636" i="1"/>
  <c r="P635" i="1"/>
  <c r="D635" i="1"/>
  <c r="C635" i="1" s="1"/>
  <c r="B635" i="1"/>
  <c r="A635" i="1"/>
  <c r="P634" i="1"/>
  <c r="D634" i="1"/>
  <c r="C634" i="1"/>
  <c r="B634" i="1"/>
  <c r="A634" i="1" s="1"/>
  <c r="P633" i="1"/>
  <c r="D633" i="1"/>
  <c r="C633" i="1"/>
  <c r="B633" i="1"/>
  <c r="A633" i="1" s="1"/>
  <c r="P632" i="1"/>
  <c r="D632" i="1"/>
  <c r="C632" i="1" s="1"/>
  <c r="B632" i="1"/>
  <c r="A632" i="1"/>
  <c r="P631" i="1"/>
  <c r="D631" i="1"/>
  <c r="C631" i="1" s="1"/>
  <c r="B631" i="1"/>
  <c r="A631" i="1"/>
  <c r="P630" i="1"/>
  <c r="D630" i="1"/>
  <c r="C630" i="1"/>
  <c r="B630" i="1"/>
  <c r="A630" i="1" s="1"/>
  <c r="P629" i="1"/>
  <c r="D629" i="1"/>
  <c r="C629" i="1"/>
  <c r="B629" i="1"/>
  <c r="A629" i="1" s="1"/>
  <c r="P628" i="1"/>
  <c r="D628" i="1"/>
  <c r="C628" i="1" s="1"/>
  <c r="B628" i="1"/>
  <c r="A628" i="1"/>
  <c r="P627" i="1"/>
  <c r="D627" i="1"/>
  <c r="C627" i="1" s="1"/>
  <c r="B627" i="1"/>
  <c r="A627" i="1"/>
  <c r="P626" i="1"/>
  <c r="D626" i="1"/>
  <c r="C626" i="1"/>
  <c r="B626" i="1"/>
  <c r="A626" i="1" s="1"/>
  <c r="P625" i="1"/>
  <c r="D625" i="1"/>
  <c r="C625" i="1"/>
  <c r="B625" i="1"/>
  <c r="A625" i="1" s="1"/>
  <c r="P624" i="1"/>
  <c r="D624" i="1"/>
  <c r="C624" i="1" s="1"/>
  <c r="B624" i="1"/>
  <c r="A624" i="1"/>
  <c r="P623" i="1"/>
  <c r="D623" i="1"/>
  <c r="C623" i="1" s="1"/>
  <c r="B623" i="1"/>
  <c r="A623" i="1"/>
  <c r="P622" i="1"/>
  <c r="D622" i="1"/>
  <c r="C622" i="1"/>
  <c r="B622" i="1"/>
  <c r="A622" i="1" s="1"/>
  <c r="P621" i="1"/>
  <c r="D621" i="1"/>
  <c r="C621" i="1"/>
  <c r="B621" i="1"/>
  <c r="A621" i="1" s="1"/>
  <c r="P620" i="1"/>
  <c r="D620" i="1"/>
  <c r="C620" i="1" s="1"/>
  <c r="B620" i="1"/>
  <c r="A620" i="1"/>
  <c r="P619" i="1"/>
  <c r="D619" i="1"/>
  <c r="C619" i="1" s="1"/>
  <c r="B619" i="1"/>
  <c r="A619" i="1"/>
  <c r="P618" i="1"/>
  <c r="D618" i="1"/>
  <c r="C618" i="1"/>
  <c r="B618" i="1"/>
  <c r="A618" i="1" s="1"/>
  <c r="P617" i="1"/>
  <c r="D617" i="1"/>
  <c r="C617" i="1"/>
  <c r="B617" i="1"/>
  <c r="A617" i="1" s="1"/>
  <c r="P616" i="1"/>
  <c r="D616" i="1"/>
  <c r="C616" i="1" s="1"/>
  <c r="B616" i="1"/>
  <c r="A616" i="1"/>
  <c r="P615" i="1"/>
  <c r="D615" i="1"/>
  <c r="C615" i="1" s="1"/>
  <c r="B615" i="1"/>
  <c r="A615" i="1"/>
  <c r="P614" i="1"/>
  <c r="D614" i="1"/>
  <c r="C614" i="1"/>
  <c r="B614" i="1"/>
  <c r="A614" i="1" s="1"/>
  <c r="P613" i="1"/>
  <c r="D613" i="1"/>
  <c r="C613" i="1"/>
  <c r="B613" i="1"/>
  <c r="A613" i="1" s="1"/>
  <c r="P612" i="1"/>
  <c r="D612" i="1"/>
  <c r="C612" i="1" s="1"/>
  <c r="B612" i="1"/>
  <c r="A612" i="1"/>
  <c r="P611" i="1"/>
  <c r="D611" i="1"/>
  <c r="C611" i="1" s="1"/>
  <c r="B611" i="1"/>
  <c r="A611" i="1"/>
  <c r="P610" i="1"/>
  <c r="D610" i="1"/>
  <c r="C610" i="1"/>
  <c r="B610" i="1"/>
  <c r="A610" i="1" s="1"/>
  <c r="P609" i="1"/>
  <c r="D609" i="1"/>
  <c r="C609" i="1"/>
  <c r="B609" i="1"/>
  <c r="A609" i="1" s="1"/>
  <c r="P608" i="1"/>
  <c r="D608" i="1"/>
  <c r="C608" i="1" s="1"/>
  <c r="B608" i="1"/>
  <c r="A608" i="1"/>
  <c r="P607" i="1"/>
  <c r="D607" i="1"/>
  <c r="C607" i="1" s="1"/>
  <c r="B607" i="1"/>
  <c r="A607" i="1"/>
  <c r="P606" i="1"/>
  <c r="D606" i="1"/>
  <c r="C606" i="1"/>
  <c r="B606" i="1"/>
  <c r="A606" i="1" s="1"/>
  <c r="P605" i="1"/>
  <c r="D605" i="1"/>
  <c r="C605" i="1"/>
  <c r="B605" i="1"/>
  <c r="A605" i="1" s="1"/>
  <c r="P604" i="1"/>
  <c r="D604" i="1"/>
  <c r="C604" i="1" s="1"/>
  <c r="B604" i="1"/>
  <c r="A604" i="1"/>
  <c r="P603" i="1"/>
  <c r="D603" i="1"/>
  <c r="C603" i="1" s="1"/>
  <c r="B603" i="1"/>
  <c r="A603" i="1"/>
  <c r="P602" i="1"/>
  <c r="D602" i="1"/>
  <c r="C602" i="1"/>
  <c r="B602" i="1"/>
  <c r="A602" i="1" s="1"/>
  <c r="P601" i="1"/>
  <c r="D601" i="1"/>
  <c r="C601" i="1"/>
  <c r="B601" i="1"/>
  <c r="A601" i="1" s="1"/>
  <c r="P600" i="1"/>
  <c r="D600" i="1"/>
  <c r="C600" i="1" s="1"/>
  <c r="B600" i="1"/>
  <c r="A600" i="1"/>
  <c r="P599" i="1"/>
  <c r="D599" i="1"/>
  <c r="C599" i="1" s="1"/>
  <c r="B599" i="1"/>
  <c r="A599" i="1"/>
  <c r="P598" i="1"/>
  <c r="D598" i="1"/>
  <c r="C598" i="1"/>
  <c r="B598" i="1"/>
  <c r="A598" i="1" s="1"/>
  <c r="P597" i="1"/>
  <c r="D597" i="1"/>
  <c r="C597" i="1"/>
  <c r="B597" i="1"/>
  <c r="A597" i="1" s="1"/>
  <c r="P596" i="1"/>
  <c r="D596" i="1"/>
  <c r="C596" i="1" s="1"/>
  <c r="B596" i="1"/>
  <c r="A596" i="1"/>
  <c r="P595" i="1"/>
  <c r="D595" i="1"/>
  <c r="C595" i="1" s="1"/>
  <c r="B595" i="1"/>
  <c r="A595" i="1"/>
  <c r="P594" i="1"/>
  <c r="D594" i="1"/>
  <c r="C594" i="1"/>
  <c r="B594" i="1"/>
  <c r="A594" i="1" s="1"/>
  <c r="P593" i="1"/>
  <c r="D593" i="1"/>
  <c r="C593" i="1"/>
  <c r="B593" i="1"/>
  <c r="A593" i="1" s="1"/>
  <c r="P592" i="1"/>
  <c r="D592" i="1"/>
  <c r="C592" i="1" s="1"/>
  <c r="B592" i="1"/>
  <c r="A592" i="1"/>
  <c r="P591" i="1"/>
  <c r="D591" i="1"/>
  <c r="C591" i="1" s="1"/>
  <c r="B591" i="1"/>
  <c r="A591" i="1"/>
  <c r="P590" i="1"/>
  <c r="D590" i="1"/>
  <c r="C590" i="1"/>
  <c r="B590" i="1"/>
  <c r="A590" i="1" s="1"/>
  <c r="P589" i="1"/>
  <c r="D589" i="1"/>
  <c r="C589" i="1"/>
  <c r="B589" i="1"/>
  <c r="A589" i="1" s="1"/>
  <c r="P588" i="1"/>
  <c r="D588" i="1"/>
  <c r="C588" i="1" s="1"/>
  <c r="B588" i="1"/>
  <c r="A588" i="1"/>
  <c r="P587" i="1"/>
  <c r="D587" i="1"/>
  <c r="C587" i="1" s="1"/>
  <c r="B587" i="1"/>
  <c r="A587" i="1"/>
  <c r="P586" i="1"/>
  <c r="D586" i="1"/>
  <c r="C586" i="1"/>
  <c r="B586" i="1"/>
  <c r="A586" i="1" s="1"/>
  <c r="P585" i="1"/>
  <c r="D585" i="1"/>
  <c r="C585" i="1"/>
  <c r="B585" i="1"/>
  <c r="A585" i="1" s="1"/>
  <c r="P584" i="1"/>
  <c r="D584" i="1"/>
  <c r="C584" i="1" s="1"/>
  <c r="B584" i="1"/>
  <c r="A584" i="1"/>
  <c r="P583" i="1"/>
  <c r="D583" i="1"/>
  <c r="C583" i="1" s="1"/>
  <c r="B583" i="1"/>
  <c r="A583" i="1"/>
  <c r="P582" i="1"/>
  <c r="D582" i="1"/>
  <c r="C582" i="1"/>
  <c r="B582" i="1"/>
  <c r="A582" i="1" s="1"/>
  <c r="P581" i="1"/>
  <c r="D581" i="1"/>
  <c r="C581" i="1"/>
  <c r="B581" i="1"/>
  <c r="A581" i="1" s="1"/>
  <c r="P580" i="1"/>
  <c r="D580" i="1"/>
  <c r="C580" i="1" s="1"/>
  <c r="B580" i="1"/>
  <c r="A580" i="1"/>
  <c r="P579" i="1"/>
  <c r="D579" i="1"/>
  <c r="C579" i="1" s="1"/>
  <c r="B579" i="1"/>
  <c r="A579" i="1"/>
  <c r="P578" i="1"/>
  <c r="D578" i="1"/>
  <c r="C578" i="1"/>
  <c r="B578" i="1"/>
  <c r="A578" i="1" s="1"/>
  <c r="P577" i="1"/>
  <c r="D577" i="1"/>
  <c r="C577" i="1"/>
  <c r="B577" i="1"/>
  <c r="A577" i="1" s="1"/>
  <c r="P576" i="1"/>
  <c r="D576" i="1"/>
  <c r="C576" i="1" s="1"/>
  <c r="B576" i="1"/>
  <c r="A576" i="1"/>
  <c r="P575" i="1"/>
  <c r="D575" i="1"/>
  <c r="C575" i="1" s="1"/>
  <c r="B575" i="1"/>
  <c r="A575" i="1"/>
  <c r="P574" i="1"/>
  <c r="D574" i="1"/>
  <c r="C574" i="1"/>
  <c r="B574" i="1"/>
  <c r="A574" i="1" s="1"/>
  <c r="P573" i="1"/>
  <c r="D573" i="1"/>
  <c r="C573" i="1"/>
  <c r="B573" i="1"/>
  <c r="A573" i="1" s="1"/>
  <c r="P572" i="1"/>
  <c r="D572" i="1"/>
  <c r="C572" i="1" s="1"/>
  <c r="B572" i="1"/>
  <c r="A572" i="1"/>
  <c r="P571" i="1"/>
  <c r="D571" i="1"/>
  <c r="C571" i="1" s="1"/>
  <c r="B571" i="1"/>
  <c r="A571" i="1"/>
  <c r="P570" i="1"/>
  <c r="D570" i="1"/>
  <c r="C570" i="1"/>
  <c r="B570" i="1"/>
  <c r="A570" i="1" s="1"/>
  <c r="P569" i="1"/>
  <c r="D569" i="1"/>
  <c r="C569" i="1"/>
  <c r="B569" i="1"/>
  <c r="A569" i="1" s="1"/>
  <c r="P568" i="1"/>
  <c r="D568" i="1"/>
  <c r="C568" i="1" s="1"/>
  <c r="B568" i="1"/>
  <c r="A568" i="1"/>
  <c r="P567" i="1"/>
  <c r="D567" i="1"/>
  <c r="C567" i="1" s="1"/>
  <c r="B567" i="1"/>
  <c r="A567" i="1"/>
  <c r="P566" i="1"/>
  <c r="D566" i="1"/>
  <c r="C566" i="1"/>
  <c r="B566" i="1"/>
  <c r="A566" i="1" s="1"/>
  <c r="P565" i="1"/>
  <c r="D565" i="1"/>
  <c r="C565" i="1"/>
  <c r="B565" i="1"/>
  <c r="A565" i="1" s="1"/>
  <c r="P564" i="1"/>
  <c r="D564" i="1"/>
  <c r="C564" i="1" s="1"/>
  <c r="B564" i="1"/>
  <c r="A564" i="1"/>
  <c r="P563" i="1"/>
  <c r="D563" i="1"/>
  <c r="C563" i="1" s="1"/>
  <c r="B563" i="1"/>
  <c r="A563" i="1"/>
  <c r="P562" i="1"/>
  <c r="D562" i="1"/>
  <c r="C562" i="1"/>
  <c r="B562" i="1"/>
  <c r="A562" i="1" s="1"/>
  <c r="P561" i="1"/>
  <c r="D561" i="1"/>
  <c r="C561" i="1"/>
  <c r="B561" i="1"/>
  <c r="A561" i="1" s="1"/>
  <c r="P560" i="1"/>
  <c r="D560" i="1"/>
  <c r="C560" i="1" s="1"/>
  <c r="B560" i="1"/>
  <c r="A560" i="1"/>
  <c r="P559" i="1"/>
  <c r="D559" i="1"/>
  <c r="C559" i="1" s="1"/>
  <c r="B559" i="1"/>
  <c r="A559" i="1"/>
  <c r="P558" i="1"/>
  <c r="D558" i="1"/>
  <c r="C558" i="1"/>
  <c r="B558" i="1"/>
  <c r="A558" i="1" s="1"/>
  <c r="P557" i="1"/>
  <c r="D557" i="1"/>
  <c r="C557" i="1"/>
  <c r="B557" i="1"/>
  <c r="A557" i="1" s="1"/>
  <c r="P556" i="1"/>
  <c r="D556" i="1"/>
  <c r="C556" i="1" s="1"/>
  <c r="B556" i="1"/>
  <c r="A556" i="1"/>
  <c r="P555" i="1"/>
  <c r="D555" i="1"/>
  <c r="C555" i="1" s="1"/>
  <c r="B555" i="1"/>
  <c r="A555" i="1"/>
  <c r="P554" i="1"/>
  <c r="D554" i="1"/>
  <c r="C554" i="1"/>
  <c r="B554" i="1"/>
  <c r="A554" i="1" s="1"/>
  <c r="P553" i="1"/>
  <c r="D553" i="1"/>
  <c r="C553" i="1"/>
  <c r="B553" i="1"/>
  <c r="A553" i="1" s="1"/>
  <c r="P552" i="1"/>
  <c r="D552" i="1"/>
  <c r="C552" i="1" s="1"/>
  <c r="B552" i="1"/>
  <c r="A552" i="1"/>
  <c r="P551" i="1"/>
  <c r="D551" i="1"/>
  <c r="C551" i="1" s="1"/>
  <c r="B551" i="1"/>
  <c r="A551" i="1"/>
  <c r="P550" i="1"/>
  <c r="D550" i="1"/>
  <c r="C550" i="1"/>
  <c r="B550" i="1"/>
  <c r="A550" i="1" s="1"/>
  <c r="P549" i="1"/>
  <c r="D549" i="1"/>
  <c r="C549" i="1"/>
  <c r="B549" i="1"/>
  <c r="A549" i="1" s="1"/>
  <c r="P548" i="1"/>
  <c r="D548" i="1"/>
  <c r="C548" i="1" s="1"/>
  <c r="B548" i="1"/>
  <c r="A548" i="1"/>
  <c r="P547" i="1"/>
  <c r="D547" i="1"/>
  <c r="C547" i="1" s="1"/>
  <c r="B547" i="1"/>
  <c r="A547" i="1"/>
  <c r="P546" i="1"/>
  <c r="D546" i="1"/>
  <c r="C546" i="1"/>
  <c r="B546" i="1"/>
  <c r="A546" i="1" s="1"/>
  <c r="P545" i="1"/>
  <c r="D545" i="1"/>
  <c r="C545" i="1"/>
  <c r="B545" i="1"/>
  <c r="A545" i="1" s="1"/>
  <c r="P544" i="1"/>
  <c r="D544" i="1"/>
  <c r="C544" i="1" s="1"/>
  <c r="B544" i="1"/>
  <c r="A544" i="1"/>
  <c r="P543" i="1"/>
  <c r="D543" i="1"/>
  <c r="C543" i="1" s="1"/>
  <c r="B543" i="1"/>
  <c r="A543" i="1"/>
  <c r="P542" i="1"/>
  <c r="D542" i="1"/>
  <c r="C542" i="1"/>
  <c r="B542" i="1"/>
  <c r="A542" i="1" s="1"/>
  <c r="P541" i="1"/>
  <c r="D541" i="1"/>
  <c r="C541" i="1"/>
  <c r="B541" i="1"/>
  <c r="A541" i="1" s="1"/>
  <c r="P540" i="1"/>
  <c r="D540" i="1"/>
  <c r="C540" i="1" s="1"/>
  <c r="B540" i="1"/>
  <c r="A540" i="1"/>
  <c r="P539" i="1"/>
  <c r="D539" i="1"/>
  <c r="C539" i="1" s="1"/>
  <c r="B539" i="1"/>
  <c r="A539" i="1"/>
  <c r="P538" i="1"/>
  <c r="D538" i="1"/>
  <c r="C538" i="1"/>
  <c r="B538" i="1"/>
  <c r="A538" i="1" s="1"/>
  <c r="P537" i="1"/>
  <c r="D537" i="1"/>
  <c r="C537" i="1"/>
  <c r="B537" i="1"/>
  <c r="A537" i="1" s="1"/>
  <c r="P536" i="1"/>
  <c r="D536" i="1"/>
  <c r="C536" i="1" s="1"/>
  <c r="B536" i="1"/>
  <c r="A536" i="1"/>
  <c r="P535" i="1"/>
  <c r="D535" i="1"/>
  <c r="C535" i="1" s="1"/>
  <c r="B535" i="1"/>
  <c r="A535" i="1"/>
  <c r="P534" i="1"/>
  <c r="D534" i="1"/>
  <c r="C534" i="1"/>
  <c r="B534" i="1"/>
  <c r="A534" i="1" s="1"/>
  <c r="P533" i="1"/>
  <c r="D533" i="1"/>
  <c r="C533" i="1"/>
  <c r="B533" i="1"/>
  <c r="A533" i="1" s="1"/>
  <c r="P532" i="1"/>
  <c r="D532" i="1"/>
  <c r="C532" i="1" s="1"/>
  <c r="B532" i="1"/>
  <c r="A532" i="1"/>
  <c r="P531" i="1"/>
  <c r="D531" i="1"/>
  <c r="C531" i="1" s="1"/>
  <c r="B531" i="1"/>
  <c r="A531" i="1"/>
  <c r="P530" i="1"/>
  <c r="D530" i="1"/>
  <c r="C530" i="1"/>
  <c r="B530" i="1"/>
  <c r="A530" i="1" s="1"/>
  <c r="P529" i="1"/>
  <c r="D529" i="1"/>
  <c r="C529" i="1"/>
  <c r="B529" i="1"/>
  <c r="A529" i="1" s="1"/>
  <c r="P528" i="1"/>
  <c r="D528" i="1"/>
  <c r="C528" i="1" s="1"/>
  <c r="B528" i="1"/>
  <c r="A528" i="1"/>
  <c r="P527" i="1"/>
  <c r="D527" i="1"/>
  <c r="C527" i="1" s="1"/>
  <c r="B527" i="1"/>
  <c r="A527" i="1"/>
  <c r="P526" i="1"/>
  <c r="D526" i="1"/>
  <c r="C526" i="1"/>
  <c r="B526" i="1"/>
  <c r="A526" i="1" s="1"/>
  <c r="P525" i="1"/>
  <c r="D525" i="1"/>
  <c r="C525" i="1"/>
  <c r="B525" i="1"/>
  <c r="A525" i="1" s="1"/>
  <c r="P524" i="1"/>
  <c r="D524" i="1"/>
  <c r="C524" i="1" s="1"/>
  <c r="B524" i="1"/>
  <c r="A524" i="1"/>
  <c r="P523" i="1"/>
  <c r="D523" i="1"/>
  <c r="C523" i="1" s="1"/>
  <c r="B523" i="1"/>
  <c r="A523" i="1"/>
  <c r="P522" i="1"/>
  <c r="D522" i="1"/>
  <c r="C522" i="1"/>
  <c r="B522" i="1"/>
  <c r="A522" i="1" s="1"/>
  <c r="P521" i="1"/>
  <c r="D521" i="1"/>
  <c r="C521" i="1"/>
  <c r="B521" i="1"/>
  <c r="A521" i="1" s="1"/>
  <c r="P520" i="1"/>
  <c r="D520" i="1"/>
  <c r="C520" i="1" s="1"/>
  <c r="B520" i="1"/>
  <c r="A520" i="1"/>
  <c r="P519" i="1"/>
  <c r="D519" i="1"/>
  <c r="C519" i="1"/>
  <c r="B519" i="1"/>
  <c r="A519" i="1"/>
  <c r="P518" i="1"/>
  <c r="D518" i="1"/>
  <c r="C518" i="1"/>
  <c r="B518" i="1"/>
  <c r="A518" i="1" s="1"/>
  <c r="P517" i="1"/>
  <c r="D517" i="1"/>
  <c r="C517" i="1"/>
  <c r="B517" i="1"/>
  <c r="A517" i="1" s="1"/>
  <c r="P516" i="1"/>
  <c r="D516" i="1"/>
  <c r="C516" i="1" s="1"/>
  <c r="B516" i="1"/>
  <c r="A516" i="1"/>
  <c r="P515" i="1"/>
  <c r="D515" i="1"/>
  <c r="C515" i="1" s="1"/>
  <c r="B515" i="1"/>
  <c r="A515" i="1"/>
  <c r="P514" i="1"/>
  <c r="D514" i="1"/>
  <c r="C514" i="1"/>
  <c r="B514" i="1"/>
  <c r="A514" i="1" s="1"/>
  <c r="P513" i="1"/>
  <c r="D513" i="1"/>
  <c r="C513" i="1"/>
  <c r="B513" i="1"/>
  <c r="A513" i="1" s="1"/>
  <c r="P512" i="1"/>
  <c r="D512" i="1"/>
  <c r="C512" i="1" s="1"/>
  <c r="B512" i="1"/>
  <c r="A512" i="1"/>
  <c r="P511" i="1"/>
  <c r="D511" i="1"/>
  <c r="C511" i="1" s="1"/>
  <c r="B511" i="1"/>
  <c r="A511" i="1"/>
  <c r="P510" i="1"/>
  <c r="D510" i="1"/>
  <c r="C510" i="1"/>
  <c r="B510" i="1"/>
  <c r="A510" i="1" s="1"/>
  <c r="P509" i="1"/>
  <c r="D509" i="1"/>
  <c r="C509" i="1"/>
  <c r="B509" i="1"/>
  <c r="A509" i="1" s="1"/>
  <c r="P508" i="1"/>
  <c r="D508" i="1"/>
  <c r="C508" i="1" s="1"/>
  <c r="B508" i="1"/>
  <c r="A508" i="1"/>
  <c r="P507" i="1"/>
  <c r="D507" i="1"/>
  <c r="C507" i="1"/>
  <c r="B507" i="1"/>
  <c r="A507" i="1"/>
  <c r="P506" i="1"/>
  <c r="D506" i="1"/>
  <c r="C506" i="1"/>
  <c r="B506" i="1"/>
  <c r="A506" i="1" s="1"/>
  <c r="P505" i="1"/>
  <c r="D505" i="1"/>
  <c r="C505" i="1"/>
  <c r="B505" i="1"/>
  <c r="A505" i="1" s="1"/>
  <c r="P504" i="1"/>
  <c r="D504" i="1"/>
  <c r="C504" i="1" s="1"/>
  <c r="B504" i="1"/>
  <c r="A504" i="1"/>
  <c r="P503" i="1"/>
  <c r="D503" i="1"/>
  <c r="C503" i="1"/>
  <c r="B503" i="1"/>
  <c r="A503" i="1"/>
  <c r="P502" i="1"/>
  <c r="D502" i="1"/>
  <c r="C502" i="1"/>
  <c r="B502" i="1"/>
  <c r="A502" i="1" s="1"/>
  <c r="P501" i="1"/>
  <c r="D501" i="1"/>
  <c r="C501" i="1"/>
  <c r="B501" i="1"/>
  <c r="A501" i="1"/>
  <c r="P500" i="1"/>
  <c r="D500" i="1"/>
  <c r="C500" i="1" s="1"/>
  <c r="B500" i="1"/>
  <c r="A500" i="1"/>
  <c r="P499" i="1"/>
  <c r="D499" i="1"/>
  <c r="C499" i="1"/>
  <c r="B499" i="1"/>
  <c r="A499" i="1"/>
  <c r="P498" i="1"/>
  <c r="D498" i="1"/>
  <c r="C498" i="1"/>
  <c r="B498" i="1"/>
  <c r="A498" i="1" s="1"/>
  <c r="P497" i="1"/>
  <c r="D497" i="1"/>
  <c r="C497" i="1"/>
  <c r="B497" i="1"/>
  <c r="A497" i="1"/>
  <c r="P496" i="1"/>
  <c r="D496" i="1"/>
  <c r="C496" i="1" s="1"/>
  <c r="B496" i="1"/>
  <c r="A496" i="1"/>
  <c r="P495" i="1"/>
  <c r="D495" i="1"/>
  <c r="C495" i="1"/>
  <c r="B495" i="1"/>
  <c r="A495" i="1"/>
  <c r="P494" i="1"/>
  <c r="D494" i="1"/>
  <c r="C494" i="1"/>
  <c r="B494" i="1"/>
  <c r="A494" i="1" s="1"/>
  <c r="P493" i="1"/>
  <c r="D493" i="1"/>
  <c r="C493" i="1"/>
  <c r="B493" i="1"/>
  <c r="A493" i="1"/>
  <c r="P492" i="1"/>
  <c r="D492" i="1"/>
  <c r="C492" i="1" s="1"/>
  <c r="B492" i="1"/>
  <c r="A492" i="1"/>
  <c r="P491" i="1"/>
  <c r="D491" i="1"/>
  <c r="C491" i="1"/>
  <c r="B491" i="1"/>
  <c r="A491" i="1"/>
  <c r="P490" i="1"/>
  <c r="D490" i="1"/>
  <c r="C490" i="1"/>
  <c r="B490" i="1"/>
  <c r="A490" i="1" s="1"/>
  <c r="P489" i="1"/>
  <c r="D489" i="1"/>
  <c r="C489" i="1"/>
  <c r="B489" i="1"/>
  <c r="A489" i="1"/>
  <c r="P488" i="1"/>
  <c r="D488" i="1"/>
  <c r="C488" i="1" s="1"/>
  <c r="B488" i="1"/>
  <c r="A488" i="1"/>
  <c r="P487" i="1"/>
  <c r="D487" i="1"/>
  <c r="C487" i="1"/>
  <c r="B487" i="1"/>
  <c r="A487" i="1"/>
  <c r="P486" i="1"/>
  <c r="D486" i="1"/>
  <c r="C486" i="1"/>
  <c r="B486" i="1"/>
  <c r="A486" i="1" s="1"/>
  <c r="P485" i="1"/>
  <c r="D485" i="1"/>
  <c r="C485" i="1"/>
  <c r="B485" i="1"/>
  <c r="A485" i="1"/>
  <c r="P484" i="1"/>
  <c r="D484" i="1"/>
  <c r="C484" i="1" s="1"/>
  <c r="B484" i="1"/>
  <c r="A484" i="1"/>
  <c r="P483" i="1"/>
  <c r="D483" i="1"/>
  <c r="C483" i="1"/>
  <c r="B483" i="1"/>
  <c r="A483" i="1" s="1"/>
  <c r="P482" i="1"/>
  <c r="D482" i="1"/>
  <c r="C482" i="1"/>
  <c r="B482" i="1"/>
  <c r="A482" i="1" s="1"/>
  <c r="P481" i="1"/>
  <c r="D481" i="1"/>
  <c r="C481" i="1"/>
  <c r="B481" i="1"/>
  <c r="A481" i="1"/>
  <c r="P480" i="1"/>
  <c r="D480" i="1"/>
  <c r="C480" i="1" s="1"/>
  <c r="B480" i="1"/>
  <c r="A480" i="1"/>
  <c r="P479" i="1"/>
  <c r="D479" i="1"/>
  <c r="C479" i="1"/>
  <c r="B479" i="1"/>
  <c r="A479" i="1"/>
  <c r="P478" i="1"/>
  <c r="D478" i="1"/>
  <c r="C478" i="1"/>
  <c r="B478" i="1"/>
  <c r="A478" i="1" s="1"/>
  <c r="P477" i="1"/>
  <c r="D477" i="1"/>
  <c r="C477" i="1"/>
  <c r="B477" i="1"/>
  <c r="A477" i="1"/>
  <c r="P476" i="1"/>
  <c r="D476" i="1"/>
  <c r="C476" i="1" s="1"/>
  <c r="B476" i="1"/>
  <c r="A476" i="1"/>
  <c r="P475" i="1"/>
  <c r="D475" i="1"/>
  <c r="C475" i="1"/>
  <c r="B475" i="1"/>
  <c r="A475" i="1" s="1"/>
  <c r="P474" i="1"/>
  <c r="D474" i="1"/>
  <c r="C474" i="1"/>
  <c r="B474" i="1"/>
  <c r="A474" i="1" s="1"/>
  <c r="P473" i="1"/>
  <c r="D473" i="1"/>
  <c r="C473" i="1" s="1"/>
  <c r="B473" i="1"/>
  <c r="A473" i="1"/>
  <c r="P472" i="1"/>
  <c r="D472" i="1"/>
  <c r="C472" i="1" s="1"/>
  <c r="B472" i="1"/>
  <c r="A472" i="1"/>
  <c r="P471" i="1"/>
  <c r="D471" i="1"/>
  <c r="C471" i="1"/>
  <c r="B471" i="1"/>
  <c r="A471" i="1"/>
  <c r="P470" i="1"/>
  <c r="D470" i="1"/>
  <c r="C470" i="1"/>
  <c r="B470" i="1"/>
  <c r="A470" i="1" s="1"/>
  <c r="P469" i="1"/>
  <c r="D469" i="1"/>
  <c r="C469" i="1"/>
  <c r="B469" i="1"/>
  <c r="A469" i="1"/>
  <c r="P468" i="1"/>
  <c r="D468" i="1"/>
  <c r="C468" i="1" s="1"/>
  <c r="B468" i="1"/>
  <c r="A468" i="1"/>
  <c r="P467" i="1"/>
  <c r="D467" i="1"/>
  <c r="C467" i="1"/>
  <c r="B467" i="1"/>
  <c r="A467" i="1" s="1"/>
  <c r="P466" i="1"/>
  <c r="D466" i="1"/>
  <c r="C466" i="1"/>
  <c r="B466" i="1"/>
  <c r="A466" i="1" s="1"/>
  <c r="P465" i="1"/>
  <c r="D465" i="1"/>
  <c r="C465" i="1" s="1"/>
  <c r="B465" i="1"/>
  <c r="A465" i="1"/>
  <c r="P464" i="1"/>
  <c r="D464" i="1"/>
  <c r="C464" i="1" s="1"/>
  <c r="B464" i="1"/>
  <c r="A464" i="1"/>
  <c r="P463" i="1"/>
  <c r="D463" i="1"/>
  <c r="C463" i="1"/>
  <c r="B463" i="1"/>
  <c r="A463" i="1"/>
  <c r="P462" i="1"/>
  <c r="D462" i="1"/>
  <c r="C462" i="1"/>
  <c r="B462" i="1"/>
  <c r="A462" i="1" s="1"/>
  <c r="P461" i="1"/>
  <c r="D461" i="1"/>
  <c r="C461" i="1"/>
  <c r="B461" i="1"/>
  <c r="A461" i="1"/>
  <c r="P460" i="1"/>
  <c r="D460" i="1"/>
  <c r="C460" i="1" s="1"/>
  <c r="B460" i="1"/>
  <c r="A460" i="1"/>
  <c r="P459" i="1"/>
  <c r="D459" i="1"/>
  <c r="C459" i="1"/>
  <c r="B459" i="1"/>
  <c r="A459" i="1" s="1"/>
  <c r="P458" i="1"/>
  <c r="D458" i="1"/>
  <c r="C458" i="1"/>
  <c r="B458" i="1"/>
  <c r="A458" i="1" s="1"/>
  <c r="P457" i="1"/>
  <c r="D457" i="1"/>
  <c r="C457" i="1" s="1"/>
  <c r="B457" i="1"/>
  <c r="A457" i="1"/>
  <c r="P456" i="1"/>
  <c r="D456" i="1"/>
  <c r="C456" i="1" s="1"/>
  <c r="B456" i="1"/>
  <c r="A456" i="1"/>
  <c r="P455" i="1"/>
  <c r="D455" i="1"/>
  <c r="C455" i="1"/>
  <c r="B455" i="1"/>
  <c r="A455" i="1"/>
  <c r="P454" i="1"/>
  <c r="D454" i="1"/>
  <c r="C454" i="1"/>
  <c r="B454" i="1"/>
  <c r="A454" i="1" s="1"/>
  <c r="P453" i="1"/>
  <c r="D453" i="1"/>
  <c r="C453" i="1"/>
  <c r="B453" i="1"/>
  <c r="A453" i="1"/>
  <c r="P452" i="1"/>
  <c r="D452" i="1"/>
  <c r="C452" i="1" s="1"/>
  <c r="B452" i="1"/>
  <c r="A452" i="1"/>
  <c r="P451" i="1"/>
  <c r="D451" i="1"/>
  <c r="C451" i="1"/>
  <c r="B451" i="1"/>
  <c r="A451" i="1" s="1"/>
  <c r="P450" i="1"/>
  <c r="D450" i="1"/>
  <c r="C450" i="1"/>
  <c r="B450" i="1"/>
  <c r="A450" i="1" s="1"/>
  <c r="P449" i="1"/>
  <c r="D449" i="1"/>
  <c r="C449" i="1" s="1"/>
  <c r="B449" i="1"/>
  <c r="A449" i="1"/>
  <c r="P448" i="1"/>
  <c r="D448" i="1"/>
  <c r="C448" i="1" s="1"/>
  <c r="B448" i="1"/>
  <c r="A448" i="1"/>
  <c r="P447" i="1"/>
  <c r="D447" i="1"/>
  <c r="C447" i="1"/>
  <c r="B447" i="1"/>
  <c r="A447" i="1"/>
  <c r="P446" i="1"/>
  <c r="D446" i="1"/>
  <c r="C446" i="1"/>
  <c r="B446" i="1"/>
  <c r="A446" i="1" s="1"/>
  <c r="P445" i="1"/>
  <c r="D445" i="1"/>
  <c r="C445" i="1"/>
  <c r="B445" i="1"/>
  <c r="A445" i="1"/>
  <c r="P444" i="1"/>
  <c r="D444" i="1"/>
  <c r="C444" i="1" s="1"/>
  <c r="B444" i="1"/>
  <c r="A444" i="1"/>
  <c r="P443" i="1"/>
  <c r="D443" i="1"/>
  <c r="C443" i="1"/>
  <c r="B443" i="1"/>
  <c r="A443" i="1" s="1"/>
  <c r="P442" i="1"/>
  <c r="D442" i="1"/>
  <c r="C442" i="1"/>
  <c r="B442" i="1"/>
  <c r="A442" i="1" s="1"/>
  <c r="P441" i="1"/>
  <c r="D441" i="1"/>
  <c r="C441" i="1" s="1"/>
  <c r="B441" i="1"/>
  <c r="A441" i="1"/>
  <c r="P440" i="1"/>
  <c r="D440" i="1"/>
  <c r="C440" i="1" s="1"/>
  <c r="B440" i="1"/>
  <c r="A440" i="1"/>
  <c r="P439" i="1"/>
  <c r="D439" i="1"/>
  <c r="C439" i="1"/>
  <c r="B439" i="1"/>
  <c r="A439" i="1"/>
  <c r="P438" i="1"/>
  <c r="D438" i="1"/>
  <c r="C438" i="1"/>
  <c r="B438" i="1"/>
  <c r="A438" i="1" s="1"/>
  <c r="P437" i="1"/>
  <c r="D437" i="1"/>
  <c r="C437" i="1"/>
  <c r="B437" i="1"/>
  <c r="A437" i="1"/>
  <c r="P436" i="1"/>
  <c r="D436" i="1"/>
  <c r="C436" i="1" s="1"/>
  <c r="B436" i="1"/>
  <c r="A436" i="1"/>
  <c r="P435" i="1"/>
  <c r="D435" i="1"/>
  <c r="C435" i="1"/>
  <c r="B435" i="1"/>
  <c r="A435" i="1" s="1"/>
  <c r="P434" i="1"/>
  <c r="D434" i="1"/>
  <c r="C434" i="1"/>
  <c r="B434" i="1"/>
  <c r="A434" i="1" s="1"/>
  <c r="P433" i="1"/>
  <c r="D433" i="1"/>
  <c r="C433" i="1" s="1"/>
  <c r="B433" i="1"/>
  <c r="A433" i="1"/>
  <c r="P432" i="1"/>
  <c r="D432" i="1"/>
  <c r="C432" i="1" s="1"/>
  <c r="B432" i="1"/>
  <c r="A432" i="1"/>
  <c r="P431" i="1"/>
  <c r="D431" i="1"/>
  <c r="C431" i="1"/>
  <c r="B431" i="1"/>
  <c r="A431" i="1"/>
  <c r="P430" i="1"/>
  <c r="D430" i="1"/>
  <c r="C430" i="1"/>
  <c r="B430" i="1"/>
  <c r="A430" i="1" s="1"/>
  <c r="P429" i="1"/>
  <c r="D429" i="1"/>
  <c r="C429" i="1"/>
  <c r="B429" i="1"/>
  <c r="A429" i="1"/>
  <c r="P428" i="1"/>
  <c r="D428" i="1"/>
  <c r="C428" i="1" s="1"/>
  <c r="B428" i="1"/>
  <c r="A428" i="1"/>
  <c r="P427" i="1"/>
  <c r="D427" i="1"/>
  <c r="C427" i="1"/>
  <c r="B427" i="1"/>
  <c r="A427" i="1" s="1"/>
  <c r="P426" i="1"/>
  <c r="D426" i="1"/>
  <c r="C426" i="1"/>
  <c r="B426" i="1"/>
  <c r="A426" i="1" s="1"/>
  <c r="P425" i="1"/>
  <c r="D425" i="1"/>
  <c r="C425" i="1" s="1"/>
  <c r="B425" i="1"/>
  <c r="A425" i="1"/>
  <c r="P424" i="1"/>
  <c r="D424" i="1"/>
  <c r="C424" i="1" s="1"/>
  <c r="B424" i="1"/>
  <c r="A424" i="1"/>
  <c r="P423" i="1"/>
  <c r="D423" i="1"/>
  <c r="C423" i="1"/>
  <c r="B423" i="1"/>
  <c r="A423" i="1"/>
  <c r="P422" i="1"/>
  <c r="D422" i="1"/>
  <c r="C422" i="1"/>
  <c r="B422" i="1"/>
  <c r="A422" i="1" s="1"/>
  <c r="P421" i="1"/>
  <c r="D421" i="1"/>
  <c r="C421" i="1"/>
  <c r="B421" i="1"/>
  <c r="A421" i="1"/>
  <c r="P420" i="1"/>
  <c r="D420" i="1"/>
  <c r="C420" i="1" s="1"/>
  <c r="B420" i="1"/>
  <c r="A420" i="1"/>
  <c r="P419" i="1"/>
  <c r="D419" i="1"/>
  <c r="C419" i="1"/>
  <c r="B419" i="1"/>
  <c r="A419" i="1" s="1"/>
  <c r="P418" i="1"/>
  <c r="D418" i="1"/>
  <c r="C418" i="1"/>
  <c r="B418" i="1"/>
  <c r="A418" i="1" s="1"/>
  <c r="P417" i="1"/>
  <c r="D417" i="1"/>
  <c r="C417" i="1" s="1"/>
  <c r="B417" i="1"/>
  <c r="A417" i="1"/>
  <c r="P416" i="1"/>
  <c r="D416" i="1"/>
  <c r="C416" i="1" s="1"/>
  <c r="B416" i="1"/>
  <c r="A416" i="1"/>
  <c r="P415" i="1"/>
  <c r="D415" i="1"/>
  <c r="C415" i="1"/>
  <c r="B415" i="1"/>
  <c r="A415" i="1"/>
  <c r="P414" i="1"/>
  <c r="D414" i="1"/>
  <c r="C414" i="1"/>
  <c r="B414" i="1"/>
  <c r="A414" i="1" s="1"/>
  <c r="P413" i="1"/>
  <c r="D413" i="1"/>
  <c r="C413" i="1"/>
  <c r="B413" i="1"/>
  <c r="A413" i="1"/>
  <c r="P412" i="1"/>
  <c r="D412" i="1"/>
  <c r="C412" i="1" s="1"/>
  <c r="B412" i="1"/>
  <c r="A412" i="1"/>
  <c r="P411" i="1"/>
  <c r="D411" i="1"/>
  <c r="C411" i="1"/>
  <c r="B411" i="1"/>
  <c r="A411" i="1" s="1"/>
  <c r="P410" i="1"/>
  <c r="D410" i="1"/>
  <c r="C410" i="1"/>
  <c r="B410" i="1"/>
  <c r="A410" i="1" s="1"/>
  <c r="P409" i="1"/>
  <c r="D409" i="1"/>
  <c r="C409" i="1" s="1"/>
  <c r="B409" i="1"/>
  <c r="A409" i="1"/>
  <c r="P408" i="1"/>
  <c r="D408" i="1"/>
  <c r="C408" i="1" s="1"/>
  <c r="B408" i="1"/>
  <c r="A408" i="1"/>
  <c r="P407" i="1"/>
  <c r="D407" i="1"/>
  <c r="C407" i="1"/>
  <c r="B407" i="1"/>
  <c r="A407" i="1"/>
  <c r="P406" i="1"/>
  <c r="D406" i="1"/>
  <c r="C406" i="1"/>
  <c r="B406" i="1"/>
  <c r="A406" i="1" s="1"/>
  <c r="P405" i="1"/>
  <c r="D405" i="1"/>
  <c r="C405" i="1"/>
  <c r="B405" i="1"/>
  <c r="A405" i="1"/>
  <c r="P404" i="1"/>
  <c r="D404" i="1"/>
  <c r="C404" i="1" s="1"/>
  <c r="B404" i="1"/>
  <c r="A404" i="1" s="1"/>
  <c r="P403" i="1"/>
  <c r="D403" i="1"/>
  <c r="C403" i="1"/>
  <c r="B403" i="1"/>
  <c r="A403" i="1" s="1"/>
  <c r="P402" i="1"/>
  <c r="D402" i="1"/>
  <c r="C402" i="1" s="1"/>
  <c r="B402" i="1"/>
  <c r="A402" i="1" s="1"/>
  <c r="P401" i="1"/>
  <c r="D401" i="1"/>
  <c r="C401" i="1" s="1"/>
  <c r="B401" i="1"/>
  <c r="A401" i="1"/>
  <c r="P400" i="1"/>
  <c r="M400" i="1"/>
  <c r="D400" i="1"/>
  <c r="C400" i="1"/>
  <c r="B400" i="1"/>
  <c r="A400" i="1" s="1"/>
  <c r="P399" i="1"/>
  <c r="D399" i="1"/>
  <c r="C399" i="1"/>
  <c r="B399" i="1"/>
  <c r="A399" i="1" s="1"/>
  <c r="P398" i="1"/>
  <c r="M398" i="1"/>
  <c r="D398" i="1"/>
  <c r="C398" i="1" s="1"/>
  <c r="B398" i="1"/>
  <c r="A398" i="1" s="1"/>
  <c r="P397" i="1"/>
  <c r="D397" i="1"/>
  <c r="C397" i="1"/>
  <c r="B397" i="1"/>
  <c r="A397" i="1"/>
  <c r="P396" i="1"/>
  <c r="D396" i="1"/>
  <c r="C396" i="1" s="1"/>
  <c r="B396" i="1"/>
  <c r="A396" i="1" s="1"/>
  <c r="P395" i="1"/>
  <c r="D395" i="1"/>
  <c r="C395" i="1" s="1"/>
  <c r="B395" i="1"/>
  <c r="A395" i="1"/>
  <c r="P394" i="1"/>
  <c r="D394" i="1"/>
  <c r="C394" i="1" s="1"/>
  <c r="B394" i="1"/>
  <c r="A394" i="1"/>
  <c r="P393" i="1"/>
  <c r="D393" i="1"/>
  <c r="C393" i="1"/>
  <c r="B393" i="1"/>
  <c r="A393" i="1" s="1"/>
  <c r="P392" i="1"/>
  <c r="D392" i="1"/>
  <c r="C392" i="1"/>
  <c r="B392" i="1"/>
  <c r="A392" i="1" s="1"/>
  <c r="P391" i="1"/>
  <c r="D391" i="1"/>
  <c r="C391" i="1"/>
  <c r="B391" i="1"/>
  <c r="A391" i="1"/>
  <c r="P390" i="1"/>
  <c r="D390" i="1"/>
  <c r="C390" i="1" s="1"/>
  <c r="B390" i="1"/>
  <c r="A390" i="1" s="1"/>
  <c r="P389" i="1"/>
  <c r="D389" i="1"/>
  <c r="C389" i="1"/>
  <c r="B389" i="1"/>
  <c r="A389" i="1"/>
  <c r="P388" i="1"/>
  <c r="D388" i="1"/>
  <c r="C388" i="1" s="1"/>
  <c r="B388" i="1"/>
  <c r="A388" i="1" s="1"/>
  <c r="P387" i="1"/>
  <c r="D387" i="1"/>
  <c r="C387" i="1" s="1"/>
  <c r="B387" i="1"/>
  <c r="A387" i="1"/>
  <c r="P386" i="1"/>
  <c r="D386" i="1"/>
  <c r="C386" i="1" s="1"/>
  <c r="B386" i="1"/>
  <c r="A386" i="1"/>
  <c r="P385" i="1"/>
  <c r="D385" i="1"/>
  <c r="C385" i="1"/>
  <c r="B385" i="1"/>
  <c r="A385" i="1" s="1"/>
  <c r="P384" i="1"/>
  <c r="M384" i="1"/>
  <c r="D384" i="1"/>
  <c r="C384" i="1" s="1"/>
  <c r="B384" i="1"/>
  <c r="A384" i="1"/>
  <c r="P383" i="1"/>
  <c r="D383" i="1"/>
  <c r="C383" i="1" s="1"/>
  <c r="B383" i="1"/>
  <c r="A383" i="1"/>
  <c r="P382" i="1"/>
  <c r="D382" i="1"/>
  <c r="C382" i="1"/>
  <c r="B382" i="1"/>
  <c r="A382" i="1"/>
  <c r="P381" i="1"/>
  <c r="D381" i="1"/>
  <c r="C381" i="1"/>
  <c r="B381" i="1"/>
  <c r="A381" i="1"/>
  <c r="P380" i="1"/>
  <c r="M380" i="1"/>
  <c r="M381" i="1" s="1"/>
  <c r="D380" i="1"/>
  <c r="C380" i="1"/>
  <c r="B380" i="1"/>
  <c r="A380" i="1"/>
  <c r="P379" i="1"/>
  <c r="D379" i="1"/>
  <c r="C379" i="1"/>
  <c r="B379" i="1"/>
  <c r="A379" i="1" s="1"/>
  <c r="P378" i="1"/>
  <c r="D378" i="1"/>
  <c r="C378" i="1"/>
  <c r="B378" i="1"/>
  <c r="A378" i="1" s="1"/>
  <c r="P377" i="1"/>
  <c r="D377" i="1"/>
  <c r="C377" i="1"/>
  <c r="B377" i="1"/>
  <c r="A377" i="1" s="1"/>
  <c r="P376" i="1"/>
  <c r="D376" i="1"/>
  <c r="C376" i="1" s="1"/>
  <c r="B376" i="1"/>
  <c r="A376" i="1"/>
  <c r="P375" i="1"/>
  <c r="D375" i="1"/>
  <c r="C375" i="1" s="1"/>
  <c r="B375" i="1"/>
  <c r="A375" i="1"/>
  <c r="P374" i="1"/>
  <c r="D374" i="1"/>
  <c r="C374" i="1"/>
  <c r="B374" i="1"/>
  <c r="A374" i="1" s="1"/>
  <c r="P373" i="1"/>
  <c r="D373" i="1"/>
  <c r="C373" i="1"/>
  <c r="B373" i="1"/>
  <c r="A373" i="1" s="1"/>
  <c r="P372" i="1"/>
  <c r="M372" i="1"/>
  <c r="D372" i="1"/>
  <c r="C372" i="1" s="1"/>
  <c r="B372" i="1"/>
  <c r="A372" i="1"/>
  <c r="P371" i="1"/>
  <c r="D371" i="1"/>
  <c r="C371" i="1"/>
  <c r="B371" i="1"/>
  <c r="A371" i="1" s="1"/>
  <c r="P370" i="1"/>
  <c r="D370" i="1"/>
  <c r="C370" i="1"/>
  <c r="B370" i="1"/>
  <c r="A370" i="1" s="1"/>
  <c r="P369" i="1"/>
  <c r="D369" i="1"/>
  <c r="C369" i="1" s="1"/>
  <c r="B369" i="1"/>
  <c r="A369" i="1"/>
  <c r="P368" i="1"/>
  <c r="M368" i="1"/>
  <c r="D368" i="1"/>
  <c r="C368" i="1"/>
  <c r="B368" i="1"/>
  <c r="A368" i="1" s="1"/>
  <c r="P367" i="1"/>
  <c r="D367" i="1"/>
  <c r="C367" i="1"/>
  <c r="B367" i="1"/>
  <c r="A367" i="1" s="1"/>
  <c r="P366" i="1"/>
  <c r="D366" i="1"/>
  <c r="C366" i="1" s="1"/>
  <c r="B366" i="1"/>
  <c r="A366" i="1"/>
  <c r="P365" i="1"/>
  <c r="D365" i="1"/>
  <c r="C365" i="1" s="1"/>
  <c r="B365" i="1"/>
  <c r="A365" i="1"/>
  <c r="P364" i="1"/>
  <c r="L364" i="1"/>
  <c r="D364" i="1"/>
  <c r="C364" i="1"/>
  <c r="B364" i="1"/>
  <c r="A364" i="1" s="1"/>
  <c r="P363" i="1"/>
  <c r="D363" i="1"/>
  <c r="C363" i="1" s="1"/>
  <c r="B363" i="1"/>
  <c r="A363" i="1"/>
  <c r="P362" i="1"/>
  <c r="D362" i="1"/>
  <c r="C362" i="1" s="1"/>
  <c r="B362" i="1"/>
  <c r="A362" i="1"/>
  <c r="P361" i="1"/>
  <c r="D361" i="1"/>
  <c r="C361" i="1"/>
  <c r="B361" i="1"/>
  <c r="A361" i="1" s="1"/>
  <c r="P360" i="1"/>
  <c r="D360" i="1"/>
  <c r="C360" i="1" s="1"/>
  <c r="B360" i="1"/>
  <c r="A360" i="1"/>
  <c r="P359" i="1"/>
  <c r="D359" i="1"/>
  <c r="C359" i="1" s="1"/>
  <c r="B359" i="1"/>
  <c r="A359" i="1"/>
  <c r="P358" i="1"/>
  <c r="D358" i="1"/>
  <c r="C358" i="1"/>
  <c r="B358" i="1"/>
  <c r="A358" i="1" s="1"/>
  <c r="P357" i="1"/>
  <c r="D357" i="1"/>
  <c r="C357" i="1"/>
  <c r="B357" i="1"/>
  <c r="A357" i="1" s="1"/>
  <c r="P356" i="1"/>
  <c r="D356" i="1"/>
  <c r="C356" i="1" s="1"/>
  <c r="B356" i="1"/>
  <c r="A356" i="1"/>
  <c r="P355" i="1"/>
  <c r="D355" i="1"/>
  <c r="C355" i="1" s="1"/>
  <c r="B355" i="1"/>
  <c r="A355" i="1"/>
  <c r="P354" i="1"/>
  <c r="D354" i="1"/>
  <c r="C354" i="1"/>
  <c r="B354" i="1"/>
  <c r="A354" i="1" s="1"/>
  <c r="P353" i="1"/>
  <c r="L353" i="1"/>
  <c r="M360" i="1" s="1"/>
  <c r="D353" i="1"/>
  <c r="C353" i="1" s="1"/>
  <c r="B353" i="1"/>
  <c r="A353" i="1"/>
  <c r="P352" i="1"/>
  <c r="M352" i="1"/>
  <c r="D352" i="1"/>
  <c r="C352" i="1"/>
  <c r="B352" i="1"/>
  <c r="A352" i="1" s="1"/>
  <c r="P351" i="1"/>
  <c r="D351" i="1"/>
  <c r="C351" i="1"/>
  <c r="B351" i="1"/>
  <c r="A351" i="1" s="1"/>
  <c r="P350" i="1"/>
  <c r="D350" i="1"/>
  <c r="C350" i="1" s="1"/>
  <c r="B350" i="1"/>
  <c r="A350" i="1"/>
  <c r="P349" i="1"/>
  <c r="D349" i="1"/>
  <c r="C349" i="1" s="1"/>
  <c r="B349" i="1"/>
  <c r="A349" i="1"/>
  <c r="P348" i="1"/>
  <c r="D348" i="1"/>
  <c r="C348" i="1"/>
  <c r="B348" i="1"/>
  <c r="A348" i="1" s="1"/>
  <c r="P347" i="1"/>
  <c r="L347" i="1"/>
  <c r="D347" i="1"/>
  <c r="C347" i="1" s="1"/>
  <c r="B347" i="1"/>
  <c r="A347" i="1"/>
  <c r="P346" i="1"/>
  <c r="D346" i="1"/>
  <c r="C346" i="1" s="1"/>
  <c r="B346" i="1"/>
  <c r="A346" i="1"/>
  <c r="P345" i="1"/>
  <c r="D345" i="1"/>
  <c r="C345" i="1"/>
  <c r="B345" i="1"/>
  <c r="A345" i="1" s="1"/>
  <c r="P344" i="1"/>
  <c r="D344" i="1"/>
  <c r="C344" i="1"/>
  <c r="B344" i="1"/>
  <c r="A344" i="1" s="1"/>
  <c r="P343" i="1"/>
  <c r="D343" i="1"/>
  <c r="C343" i="1" s="1"/>
  <c r="B343" i="1"/>
  <c r="A343" i="1"/>
  <c r="P342" i="1"/>
  <c r="D342" i="1"/>
  <c r="C342" i="1" s="1"/>
  <c r="B342" i="1"/>
  <c r="A342" i="1"/>
  <c r="P341" i="1"/>
  <c r="D341" i="1"/>
  <c r="C341" i="1"/>
  <c r="B341" i="1"/>
  <c r="A341" i="1" s="1"/>
  <c r="P340" i="1"/>
  <c r="D340" i="1"/>
  <c r="C340" i="1"/>
  <c r="B340" i="1"/>
  <c r="A340" i="1" s="1"/>
  <c r="P339" i="1"/>
  <c r="D339" i="1"/>
  <c r="C339" i="1" s="1"/>
  <c r="B339" i="1"/>
  <c r="A339" i="1"/>
  <c r="P338" i="1"/>
  <c r="D338" i="1"/>
  <c r="C338" i="1" s="1"/>
  <c r="B338" i="1"/>
  <c r="A338" i="1"/>
  <c r="P337" i="1"/>
  <c r="D337" i="1"/>
  <c r="C337" i="1"/>
  <c r="B337" i="1"/>
  <c r="A337" i="1" s="1"/>
  <c r="P336" i="1"/>
  <c r="D336" i="1"/>
  <c r="C336" i="1"/>
  <c r="B336" i="1"/>
  <c r="A336" i="1" s="1"/>
  <c r="P335" i="1"/>
  <c r="D335" i="1"/>
  <c r="C335" i="1" s="1"/>
  <c r="B335" i="1"/>
  <c r="A335" i="1"/>
  <c r="P334" i="1"/>
  <c r="D334" i="1"/>
  <c r="C334" i="1" s="1"/>
  <c r="B334" i="1"/>
  <c r="A334" i="1"/>
  <c r="P333" i="1"/>
  <c r="D333" i="1"/>
  <c r="C333" i="1"/>
  <c r="B333" i="1"/>
  <c r="A333" i="1" s="1"/>
  <c r="P332" i="1"/>
  <c r="D332" i="1"/>
  <c r="C332" i="1"/>
  <c r="B332" i="1"/>
  <c r="A332" i="1" s="1"/>
  <c r="P331" i="1"/>
  <c r="D331" i="1"/>
  <c r="C331" i="1" s="1"/>
  <c r="B331" i="1"/>
  <c r="A331" i="1"/>
  <c r="P330" i="1"/>
  <c r="D330" i="1"/>
  <c r="C330" i="1" s="1"/>
  <c r="B330" i="1"/>
  <c r="A330" i="1"/>
  <c r="P329" i="1"/>
  <c r="D329" i="1"/>
  <c r="C329" i="1"/>
  <c r="B329" i="1"/>
  <c r="A329" i="1" s="1"/>
  <c r="P328" i="1"/>
  <c r="D328" i="1"/>
  <c r="C328" i="1"/>
  <c r="B328" i="1"/>
  <c r="A328" i="1" s="1"/>
  <c r="P327" i="1"/>
  <c r="D327" i="1"/>
  <c r="C327" i="1" s="1"/>
  <c r="B327" i="1"/>
  <c r="A327" i="1"/>
  <c r="P326" i="1"/>
  <c r="D326" i="1"/>
  <c r="C326" i="1" s="1"/>
  <c r="B326" i="1"/>
  <c r="A326" i="1"/>
  <c r="P325" i="1"/>
  <c r="D325" i="1"/>
  <c r="C325" i="1"/>
  <c r="B325" i="1"/>
  <c r="A325" i="1" s="1"/>
  <c r="P324" i="1"/>
  <c r="D324" i="1"/>
  <c r="C324" i="1"/>
  <c r="B324" i="1"/>
  <c r="A324" i="1" s="1"/>
  <c r="P323" i="1"/>
  <c r="D323" i="1"/>
  <c r="C323" i="1" s="1"/>
  <c r="B323" i="1"/>
  <c r="A323" i="1"/>
  <c r="P322" i="1"/>
  <c r="D322" i="1"/>
  <c r="C322" i="1" s="1"/>
  <c r="B322" i="1"/>
  <c r="A322" i="1"/>
  <c r="P321" i="1"/>
  <c r="D321" i="1"/>
  <c r="C321" i="1"/>
  <c r="B321" i="1"/>
  <c r="A321" i="1" s="1"/>
  <c r="P320" i="1"/>
  <c r="D320" i="1"/>
  <c r="C320" i="1"/>
  <c r="B320" i="1"/>
  <c r="A320" i="1" s="1"/>
  <c r="P319" i="1"/>
  <c r="D319" i="1"/>
  <c r="C319" i="1" s="1"/>
  <c r="B319" i="1"/>
  <c r="A319" i="1"/>
  <c r="P318" i="1"/>
  <c r="D318" i="1"/>
  <c r="C318" i="1" s="1"/>
  <c r="B318" i="1"/>
  <c r="A318" i="1"/>
  <c r="P317" i="1"/>
  <c r="D317" i="1"/>
  <c r="C317" i="1"/>
  <c r="B317" i="1"/>
  <c r="A317" i="1" s="1"/>
  <c r="P316" i="1"/>
  <c r="D316" i="1"/>
  <c r="C316" i="1"/>
  <c r="B316" i="1"/>
  <c r="A316" i="1" s="1"/>
  <c r="P315" i="1"/>
  <c r="D315" i="1"/>
  <c r="C315" i="1" s="1"/>
  <c r="B315" i="1"/>
  <c r="A315" i="1"/>
  <c r="P314" i="1"/>
  <c r="D314" i="1"/>
  <c r="C314" i="1" s="1"/>
  <c r="B314" i="1"/>
  <c r="A314" i="1"/>
  <c r="P313" i="1"/>
  <c r="D313" i="1"/>
  <c r="C313" i="1"/>
  <c r="B313" i="1"/>
  <c r="A313" i="1" s="1"/>
  <c r="P312" i="1"/>
  <c r="D312" i="1"/>
  <c r="C312" i="1"/>
  <c r="B312" i="1"/>
  <c r="A312" i="1" s="1"/>
  <c r="P311" i="1"/>
  <c r="D311" i="1"/>
  <c r="C311" i="1" s="1"/>
  <c r="B311" i="1"/>
  <c r="A311" i="1"/>
  <c r="P310" i="1"/>
  <c r="D310" i="1"/>
  <c r="C310" i="1" s="1"/>
  <c r="B310" i="1"/>
  <c r="A310" i="1"/>
  <c r="P309" i="1"/>
  <c r="D309" i="1"/>
  <c r="C309" i="1"/>
  <c r="B309" i="1"/>
  <c r="A309" i="1" s="1"/>
  <c r="P308" i="1"/>
  <c r="D308" i="1"/>
  <c r="C308" i="1"/>
  <c r="B308" i="1"/>
  <c r="A308" i="1" s="1"/>
  <c r="P307" i="1"/>
  <c r="D307" i="1"/>
  <c r="C307" i="1" s="1"/>
  <c r="B307" i="1"/>
  <c r="A307" i="1"/>
  <c r="P306" i="1"/>
  <c r="D306" i="1"/>
  <c r="C306" i="1" s="1"/>
  <c r="B306" i="1"/>
  <c r="A306" i="1"/>
  <c r="P305" i="1"/>
  <c r="D305" i="1"/>
  <c r="C305" i="1"/>
  <c r="B305" i="1"/>
  <c r="A305" i="1" s="1"/>
  <c r="P304" i="1"/>
  <c r="D304" i="1"/>
  <c r="C304" i="1"/>
  <c r="B304" i="1"/>
  <c r="A304" i="1" s="1"/>
  <c r="P303" i="1"/>
  <c r="D303" i="1"/>
  <c r="C303" i="1" s="1"/>
  <c r="B303" i="1"/>
  <c r="A303" i="1"/>
  <c r="P302" i="1"/>
  <c r="D302" i="1"/>
  <c r="C302" i="1" s="1"/>
  <c r="B302" i="1"/>
  <c r="A302" i="1"/>
  <c r="P301" i="1"/>
  <c r="D301" i="1"/>
  <c r="C301" i="1"/>
  <c r="B301" i="1"/>
  <c r="A301" i="1" s="1"/>
  <c r="P300" i="1"/>
  <c r="D300" i="1"/>
  <c r="C300" i="1"/>
  <c r="B300" i="1"/>
  <c r="A300" i="1" s="1"/>
  <c r="P299" i="1"/>
  <c r="D299" i="1"/>
  <c r="C299" i="1" s="1"/>
  <c r="B299" i="1"/>
  <c r="A299" i="1"/>
  <c r="P298" i="1"/>
  <c r="D298" i="1"/>
  <c r="C298" i="1" s="1"/>
  <c r="B298" i="1"/>
  <c r="A298" i="1"/>
  <c r="P297" i="1"/>
  <c r="D297" i="1"/>
  <c r="C297" i="1"/>
  <c r="B297" i="1"/>
  <c r="A297" i="1" s="1"/>
  <c r="P296" i="1"/>
  <c r="D296" i="1"/>
  <c r="C296" i="1"/>
  <c r="B296" i="1"/>
  <c r="A296" i="1" s="1"/>
  <c r="P295" i="1"/>
  <c r="D295" i="1"/>
  <c r="C295" i="1" s="1"/>
  <c r="B295" i="1"/>
  <c r="A295" i="1"/>
  <c r="P294" i="1"/>
  <c r="D294" i="1"/>
  <c r="C294" i="1" s="1"/>
  <c r="B294" i="1"/>
  <c r="A294" i="1"/>
  <c r="P293" i="1"/>
  <c r="D293" i="1"/>
  <c r="C293" i="1"/>
  <c r="B293" i="1"/>
  <c r="A293" i="1" s="1"/>
  <c r="P292" i="1"/>
  <c r="D292" i="1"/>
  <c r="C292" i="1"/>
  <c r="B292" i="1"/>
  <c r="A292" i="1" s="1"/>
  <c r="P291" i="1"/>
  <c r="D291" i="1"/>
  <c r="C291" i="1" s="1"/>
  <c r="B291" i="1"/>
  <c r="A291" i="1"/>
  <c r="P290" i="1"/>
  <c r="D290" i="1"/>
  <c r="C290" i="1" s="1"/>
  <c r="B290" i="1"/>
  <c r="A290" i="1"/>
  <c r="P289" i="1"/>
  <c r="D289" i="1"/>
  <c r="C289" i="1"/>
  <c r="B289" i="1"/>
  <c r="A289" i="1" s="1"/>
  <c r="P288" i="1"/>
  <c r="D288" i="1"/>
  <c r="C288" i="1"/>
  <c r="B288" i="1"/>
  <c r="A288" i="1" s="1"/>
  <c r="P287" i="1"/>
  <c r="D287" i="1"/>
  <c r="C287" i="1" s="1"/>
  <c r="B287" i="1"/>
  <c r="A287" i="1"/>
  <c r="P286" i="1"/>
  <c r="D286" i="1"/>
  <c r="C286" i="1" s="1"/>
  <c r="B286" i="1"/>
  <c r="A286" i="1"/>
  <c r="P285" i="1"/>
  <c r="D285" i="1"/>
  <c r="C285" i="1"/>
  <c r="B285" i="1"/>
  <c r="A285" i="1" s="1"/>
  <c r="P284" i="1"/>
  <c r="D284" i="1"/>
  <c r="C284" i="1"/>
  <c r="B284" i="1"/>
  <c r="A284" i="1" s="1"/>
  <c r="P283" i="1"/>
  <c r="D283" i="1"/>
  <c r="C283" i="1" s="1"/>
  <c r="B283" i="1"/>
  <c r="A283" i="1"/>
  <c r="P282" i="1"/>
  <c r="D282" i="1"/>
  <c r="C282" i="1" s="1"/>
  <c r="B282" i="1"/>
  <c r="A282" i="1"/>
  <c r="P281" i="1"/>
  <c r="D281" i="1"/>
  <c r="C281" i="1"/>
  <c r="B281" i="1"/>
  <c r="A281" i="1" s="1"/>
  <c r="P280" i="1"/>
  <c r="D280" i="1"/>
  <c r="C280" i="1"/>
  <c r="B280" i="1"/>
  <c r="A280" i="1" s="1"/>
  <c r="P279" i="1"/>
  <c r="D279" i="1"/>
  <c r="C279" i="1" s="1"/>
  <c r="B279" i="1"/>
  <c r="A279" i="1"/>
  <c r="P278" i="1"/>
  <c r="D278" i="1"/>
  <c r="C278" i="1" s="1"/>
  <c r="B278" i="1"/>
  <c r="A278" i="1"/>
  <c r="P277" i="1"/>
  <c r="D277" i="1"/>
  <c r="C277" i="1"/>
  <c r="B277" i="1"/>
  <c r="A277" i="1" s="1"/>
  <c r="P276" i="1"/>
  <c r="D276" i="1"/>
  <c r="C276" i="1"/>
  <c r="B276" i="1"/>
  <c r="A276" i="1" s="1"/>
  <c r="P275" i="1"/>
  <c r="D275" i="1"/>
  <c r="C275" i="1" s="1"/>
  <c r="B275" i="1"/>
  <c r="A275" i="1"/>
  <c r="P274" i="1"/>
  <c r="D274" i="1"/>
  <c r="C274" i="1" s="1"/>
  <c r="B274" i="1"/>
  <c r="A274" i="1"/>
  <c r="P273" i="1"/>
  <c r="D273" i="1"/>
  <c r="C273" i="1"/>
  <c r="B273" i="1"/>
  <c r="A273" i="1" s="1"/>
  <c r="P272" i="1"/>
  <c r="D272" i="1"/>
  <c r="C272" i="1"/>
  <c r="B272" i="1"/>
  <c r="A272" i="1" s="1"/>
  <c r="P271" i="1"/>
  <c r="D271" i="1"/>
  <c r="C271" i="1" s="1"/>
  <c r="B271" i="1"/>
  <c r="A271" i="1"/>
  <c r="P270" i="1"/>
  <c r="D270" i="1"/>
  <c r="C270" i="1" s="1"/>
  <c r="B270" i="1"/>
  <c r="A270" i="1"/>
  <c r="P269" i="1"/>
  <c r="D269" i="1"/>
  <c r="C269" i="1"/>
  <c r="B269" i="1"/>
  <c r="A269" i="1" s="1"/>
  <c r="P268" i="1"/>
  <c r="D268" i="1"/>
  <c r="C268" i="1"/>
  <c r="B268" i="1"/>
  <c r="A268" i="1" s="1"/>
  <c r="P267" i="1"/>
  <c r="D267" i="1"/>
  <c r="C267" i="1" s="1"/>
  <c r="B267" i="1"/>
  <c r="A267" i="1"/>
  <c r="P266" i="1"/>
  <c r="D266" i="1"/>
  <c r="C266" i="1" s="1"/>
  <c r="B266" i="1"/>
  <c r="A266" i="1"/>
  <c r="P265" i="1"/>
  <c r="D265" i="1"/>
  <c r="C265" i="1"/>
  <c r="B265" i="1"/>
  <c r="A265" i="1" s="1"/>
  <c r="P264" i="1"/>
  <c r="D264" i="1"/>
  <c r="C264" i="1"/>
  <c r="B264" i="1"/>
  <c r="A264" i="1" s="1"/>
  <c r="P263" i="1"/>
  <c r="D263" i="1"/>
  <c r="C263" i="1" s="1"/>
  <c r="B263" i="1"/>
  <c r="A263" i="1"/>
  <c r="P262" i="1"/>
  <c r="D262" i="1"/>
  <c r="C262" i="1" s="1"/>
  <c r="B262" i="1"/>
  <c r="A262" i="1"/>
  <c r="P261" i="1"/>
  <c r="D261" i="1"/>
  <c r="C261" i="1"/>
  <c r="B261" i="1"/>
  <c r="A261" i="1" s="1"/>
  <c r="P260" i="1"/>
  <c r="D260" i="1"/>
  <c r="C260" i="1"/>
  <c r="B260" i="1"/>
  <c r="A260" i="1" s="1"/>
  <c r="P259" i="1"/>
  <c r="D259" i="1"/>
  <c r="C259" i="1" s="1"/>
  <c r="B259" i="1"/>
  <c r="A259" i="1"/>
  <c r="P258" i="1"/>
  <c r="D258" i="1"/>
  <c r="C258" i="1" s="1"/>
  <c r="B258" i="1"/>
  <c r="A258" i="1"/>
  <c r="P257" i="1"/>
  <c r="D257" i="1"/>
  <c r="C257" i="1"/>
  <c r="B257" i="1"/>
  <c r="A257" i="1" s="1"/>
  <c r="P256" i="1"/>
  <c r="D256" i="1"/>
  <c r="C256" i="1"/>
  <c r="B256" i="1"/>
  <c r="A256" i="1" s="1"/>
  <c r="P255" i="1"/>
  <c r="D255" i="1"/>
  <c r="C255" i="1" s="1"/>
  <c r="B255" i="1"/>
  <c r="A255" i="1"/>
  <c r="P254" i="1"/>
  <c r="D254" i="1"/>
  <c r="C254" i="1" s="1"/>
  <c r="B254" i="1"/>
  <c r="A254" i="1"/>
  <c r="P253" i="1"/>
  <c r="D253" i="1"/>
  <c r="C253" i="1"/>
  <c r="B253" i="1"/>
  <c r="A253" i="1" s="1"/>
  <c r="P252" i="1"/>
  <c r="D252" i="1"/>
  <c r="C252" i="1"/>
  <c r="B252" i="1"/>
  <c r="A252" i="1" s="1"/>
  <c r="P251" i="1"/>
  <c r="D251" i="1"/>
  <c r="C251" i="1" s="1"/>
  <c r="B251" i="1"/>
  <c r="A251" i="1"/>
  <c r="P250" i="1"/>
  <c r="D250" i="1"/>
  <c r="C250" i="1" s="1"/>
  <c r="B250" i="1"/>
  <c r="A250" i="1"/>
  <c r="P249" i="1"/>
  <c r="D249" i="1"/>
  <c r="C249" i="1"/>
  <c r="B249" i="1"/>
  <c r="A249" i="1" s="1"/>
  <c r="P248" i="1"/>
  <c r="D248" i="1"/>
  <c r="C248" i="1"/>
  <c r="B248" i="1"/>
  <c r="A248" i="1" s="1"/>
  <c r="P247" i="1"/>
  <c r="D247" i="1"/>
  <c r="C247" i="1" s="1"/>
  <c r="B247" i="1"/>
  <c r="A247" i="1"/>
  <c r="P246" i="1"/>
  <c r="D246" i="1"/>
  <c r="C246" i="1" s="1"/>
  <c r="B246" i="1"/>
  <c r="A246" i="1"/>
  <c r="P245" i="1"/>
  <c r="D245" i="1"/>
  <c r="C245" i="1"/>
  <c r="B245" i="1"/>
  <c r="A245" i="1" s="1"/>
  <c r="P244" i="1"/>
  <c r="D244" i="1"/>
  <c r="C244" i="1"/>
  <c r="B244" i="1"/>
  <c r="A244" i="1" s="1"/>
  <c r="P243" i="1"/>
  <c r="D243" i="1"/>
  <c r="C243" i="1" s="1"/>
  <c r="B243" i="1"/>
  <c r="A243" i="1"/>
  <c r="P242" i="1"/>
  <c r="D242" i="1"/>
  <c r="C242" i="1" s="1"/>
  <c r="B242" i="1"/>
  <c r="A242" i="1"/>
  <c r="P241" i="1"/>
  <c r="D241" i="1"/>
  <c r="C241" i="1"/>
  <c r="B241" i="1"/>
  <c r="A241" i="1" s="1"/>
  <c r="P240" i="1"/>
  <c r="D240" i="1"/>
  <c r="C240" i="1"/>
  <c r="B240" i="1"/>
  <c r="A240" i="1" s="1"/>
  <c r="P239" i="1"/>
  <c r="D239" i="1"/>
  <c r="C239" i="1" s="1"/>
  <c r="B239" i="1"/>
  <c r="A239" i="1"/>
  <c r="P238" i="1"/>
  <c r="D238" i="1"/>
  <c r="C238" i="1" s="1"/>
  <c r="B238" i="1"/>
  <c r="A238" i="1"/>
  <c r="P237" i="1"/>
  <c r="D237" i="1"/>
  <c r="C237" i="1"/>
  <c r="B237" i="1"/>
  <c r="A237" i="1" s="1"/>
  <c r="P236" i="1"/>
  <c r="D236" i="1"/>
  <c r="C236" i="1"/>
  <c r="B236" i="1"/>
  <c r="A236" i="1" s="1"/>
  <c r="P235" i="1"/>
  <c r="D235" i="1"/>
  <c r="C235" i="1" s="1"/>
  <c r="B235" i="1"/>
  <c r="A235" i="1"/>
  <c r="P234" i="1"/>
  <c r="D234" i="1"/>
  <c r="C234" i="1" s="1"/>
  <c r="B234" i="1"/>
  <c r="A234" i="1"/>
  <c r="P233" i="1"/>
  <c r="D233" i="1"/>
  <c r="C233" i="1"/>
  <c r="B233" i="1"/>
  <c r="A233" i="1" s="1"/>
  <c r="P232" i="1"/>
  <c r="D232" i="1"/>
  <c r="C232" i="1"/>
  <c r="B232" i="1"/>
  <c r="A232" i="1" s="1"/>
  <c r="P231" i="1"/>
  <c r="D231" i="1"/>
  <c r="C231" i="1" s="1"/>
  <c r="B231" i="1"/>
  <c r="A231" i="1"/>
  <c r="P230" i="1"/>
  <c r="D230" i="1"/>
  <c r="C230" i="1" s="1"/>
  <c r="B230" i="1"/>
  <c r="A230" i="1"/>
  <c r="P229" i="1"/>
  <c r="D229" i="1"/>
  <c r="C229" i="1"/>
  <c r="B229" i="1"/>
  <c r="A229" i="1" s="1"/>
  <c r="P228" i="1"/>
  <c r="D228" i="1"/>
  <c r="C228" i="1"/>
  <c r="B228" i="1"/>
  <c r="A228" i="1" s="1"/>
  <c r="P227" i="1"/>
  <c r="D227" i="1"/>
  <c r="C227" i="1" s="1"/>
  <c r="B227" i="1"/>
  <c r="A227" i="1"/>
  <c r="P226" i="1"/>
  <c r="D226" i="1"/>
  <c r="C226" i="1" s="1"/>
  <c r="B226" i="1"/>
  <c r="A226" i="1"/>
  <c r="P225" i="1"/>
  <c r="D225" i="1"/>
  <c r="C225" i="1"/>
  <c r="B225" i="1"/>
  <c r="A225" i="1" s="1"/>
  <c r="P224" i="1"/>
  <c r="D224" i="1"/>
  <c r="C224" i="1"/>
  <c r="B224" i="1"/>
  <c r="A224" i="1" s="1"/>
  <c r="P223" i="1"/>
  <c r="D223" i="1"/>
  <c r="C223" i="1" s="1"/>
  <c r="B223" i="1"/>
  <c r="A223" i="1"/>
  <c r="P222" i="1"/>
  <c r="D222" i="1"/>
  <c r="C222" i="1" s="1"/>
  <c r="B222" i="1"/>
  <c r="A222" i="1"/>
  <c r="P221" i="1"/>
  <c r="D221" i="1"/>
  <c r="C221" i="1"/>
  <c r="B221" i="1"/>
  <c r="A221" i="1" s="1"/>
  <c r="P220" i="1"/>
  <c r="D220" i="1"/>
  <c r="C220" i="1"/>
  <c r="B220" i="1"/>
  <c r="A220" i="1" s="1"/>
  <c r="P219" i="1"/>
  <c r="D219" i="1"/>
  <c r="C219" i="1" s="1"/>
  <c r="B219" i="1"/>
  <c r="A219" i="1"/>
  <c r="P218" i="1"/>
  <c r="D218" i="1"/>
  <c r="C218" i="1" s="1"/>
  <c r="B218" i="1"/>
  <c r="A218" i="1"/>
  <c r="P217" i="1"/>
  <c r="D217" i="1"/>
  <c r="C217" i="1"/>
  <c r="B217" i="1"/>
  <c r="A217" i="1" s="1"/>
  <c r="P216" i="1"/>
  <c r="D216" i="1"/>
  <c r="C216" i="1"/>
  <c r="B216" i="1"/>
  <c r="A216" i="1" s="1"/>
  <c r="P215" i="1"/>
  <c r="D215" i="1"/>
  <c r="C215" i="1" s="1"/>
  <c r="B215" i="1"/>
  <c r="A215" i="1"/>
  <c r="P214" i="1"/>
  <c r="D214" i="1"/>
  <c r="C214" i="1" s="1"/>
  <c r="B214" i="1"/>
  <c r="A214" i="1"/>
  <c r="P213" i="1"/>
  <c r="D213" i="1"/>
  <c r="C213" i="1"/>
  <c r="B213" i="1"/>
  <c r="A213" i="1" s="1"/>
  <c r="P212" i="1"/>
  <c r="D212" i="1"/>
  <c r="C212" i="1"/>
  <c r="B212" i="1"/>
  <c r="A212" i="1" s="1"/>
  <c r="P211" i="1"/>
  <c r="D211" i="1"/>
  <c r="C211" i="1" s="1"/>
  <c r="B211" i="1"/>
  <c r="A211" i="1"/>
  <c r="P210" i="1"/>
  <c r="D210" i="1"/>
  <c r="C210" i="1" s="1"/>
  <c r="B210" i="1"/>
  <c r="A210" i="1"/>
  <c r="P209" i="1"/>
  <c r="D209" i="1"/>
  <c r="C209" i="1"/>
  <c r="B209" i="1"/>
  <c r="A209" i="1" s="1"/>
  <c r="P208" i="1"/>
  <c r="D208" i="1"/>
  <c r="C208" i="1"/>
  <c r="B208" i="1"/>
  <c r="A208" i="1" s="1"/>
  <c r="P207" i="1"/>
  <c r="D207" i="1"/>
  <c r="C207" i="1" s="1"/>
  <c r="B207" i="1"/>
  <c r="A207" i="1"/>
  <c r="P206" i="1"/>
  <c r="D206" i="1"/>
  <c r="C206" i="1" s="1"/>
  <c r="B206" i="1"/>
  <c r="A206" i="1"/>
  <c r="P205" i="1"/>
  <c r="D205" i="1"/>
  <c r="C205" i="1"/>
  <c r="B205" i="1"/>
  <c r="A205" i="1" s="1"/>
  <c r="P204" i="1"/>
  <c r="D204" i="1"/>
  <c r="C204" i="1"/>
  <c r="B204" i="1"/>
  <c r="A204" i="1" s="1"/>
  <c r="P203" i="1"/>
  <c r="D203" i="1"/>
  <c r="C203" i="1" s="1"/>
  <c r="B203" i="1"/>
  <c r="A203" i="1"/>
  <c r="P202" i="1"/>
  <c r="D202" i="1"/>
  <c r="C202" i="1" s="1"/>
  <c r="B202" i="1"/>
  <c r="A202" i="1"/>
  <c r="P201" i="1"/>
  <c r="D201" i="1"/>
  <c r="C201" i="1"/>
  <c r="B201" i="1"/>
  <c r="A201" i="1" s="1"/>
  <c r="P200" i="1"/>
  <c r="D200" i="1"/>
  <c r="C200" i="1"/>
  <c r="B200" i="1"/>
  <c r="A200" i="1" s="1"/>
  <c r="P199" i="1"/>
  <c r="D199" i="1"/>
  <c r="C199" i="1" s="1"/>
  <c r="B199" i="1"/>
  <c r="A199" i="1"/>
  <c r="P198" i="1"/>
  <c r="D198" i="1"/>
  <c r="C198" i="1" s="1"/>
  <c r="B198" i="1"/>
  <c r="A198" i="1"/>
  <c r="P197" i="1"/>
  <c r="D197" i="1"/>
  <c r="C197" i="1"/>
  <c r="B197" i="1"/>
  <c r="A197" i="1" s="1"/>
  <c r="P196" i="1"/>
  <c r="D196" i="1"/>
  <c r="C196" i="1"/>
  <c r="B196" i="1"/>
  <c r="A196" i="1" s="1"/>
  <c r="P195" i="1"/>
  <c r="D195" i="1"/>
  <c r="C195" i="1" s="1"/>
  <c r="B195" i="1"/>
  <c r="A195" i="1"/>
  <c r="P194" i="1"/>
  <c r="D194" i="1"/>
  <c r="C194" i="1" s="1"/>
  <c r="B194" i="1"/>
  <c r="A194" i="1"/>
  <c r="P193" i="1"/>
  <c r="D193" i="1"/>
  <c r="C193" i="1"/>
  <c r="B193" i="1"/>
  <c r="A193" i="1" s="1"/>
  <c r="P192" i="1"/>
  <c r="D192" i="1"/>
  <c r="C192" i="1"/>
  <c r="B192" i="1"/>
  <c r="A192" i="1" s="1"/>
  <c r="P191" i="1"/>
  <c r="D191" i="1"/>
  <c r="C191" i="1" s="1"/>
  <c r="B191" i="1"/>
  <c r="A191" i="1"/>
  <c r="P190" i="1"/>
  <c r="D190" i="1"/>
  <c r="C190" i="1" s="1"/>
  <c r="B190" i="1"/>
  <c r="A190" i="1"/>
  <c r="P189" i="1"/>
  <c r="D189" i="1"/>
  <c r="C189" i="1"/>
  <c r="B189" i="1"/>
  <c r="A189" i="1" s="1"/>
  <c r="P188" i="1"/>
  <c r="D188" i="1"/>
  <c r="C188" i="1"/>
  <c r="B188" i="1"/>
  <c r="A188" i="1" s="1"/>
  <c r="P187" i="1"/>
  <c r="D187" i="1"/>
  <c r="C187" i="1" s="1"/>
  <c r="B187" i="1"/>
  <c r="A187" i="1"/>
  <c r="P186" i="1"/>
  <c r="D186" i="1"/>
  <c r="C186" i="1" s="1"/>
  <c r="B186" i="1"/>
  <c r="A186" i="1"/>
  <c r="P185" i="1"/>
  <c r="D185" i="1"/>
  <c r="C185" i="1"/>
  <c r="B185" i="1"/>
  <c r="A185" i="1" s="1"/>
  <c r="P184" i="1"/>
  <c r="D184" i="1"/>
  <c r="C184" i="1"/>
  <c r="B184" i="1"/>
  <c r="A184" i="1" s="1"/>
  <c r="P183" i="1"/>
  <c r="D183" i="1"/>
  <c r="C183" i="1" s="1"/>
  <c r="B183" i="1"/>
  <c r="A183" i="1"/>
  <c r="P182" i="1"/>
  <c r="D182" i="1"/>
  <c r="C182" i="1" s="1"/>
  <c r="B182" i="1"/>
  <c r="A182" i="1"/>
  <c r="P181" i="1"/>
  <c r="D181" i="1"/>
  <c r="C181" i="1"/>
  <c r="B181" i="1"/>
  <c r="A181" i="1" s="1"/>
  <c r="P180" i="1"/>
  <c r="D180" i="1"/>
  <c r="C180" i="1"/>
  <c r="B180" i="1"/>
  <c r="A180" i="1" s="1"/>
  <c r="P179" i="1"/>
  <c r="D179" i="1"/>
  <c r="C179" i="1" s="1"/>
  <c r="B179" i="1"/>
  <c r="A179" i="1"/>
  <c r="P178" i="1"/>
  <c r="D178" i="1"/>
  <c r="C178" i="1" s="1"/>
  <c r="B178" i="1"/>
  <c r="A178" i="1"/>
  <c r="P177" i="1"/>
  <c r="D177" i="1"/>
  <c r="C177" i="1"/>
  <c r="B177" i="1"/>
  <c r="A177" i="1" s="1"/>
  <c r="P176" i="1"/>
  <c r="D176" i="1"/>
  <c r="C176" i="1"/>
  <c r="B176" i="1"/>
  <c r="A176" i="1" s="1"/>
  <c r="P175" i="1"/>
  <c r="D175" i="1"/>
  <c r="C175" i="1" s="1"/>
  <c r="B175" i="1"/>
  <c r="A175" i="1"/>
  <c r="P174" i="1"/>
  <c r="D174" i="1"/>
  <c r="C174" i="1" s="1"/>
  <c r="B174" i="1"/>
  <c r="A174" i="1"/>
  <c r="P173" i="1"/>
  <c r="D173" i="1"/>
  <c r="C173" i="1"/>
  <c r="B173" i="1"/>
  <c r="A173" i="1" s="1"/>
  <c r="P172" i="1"/>
  <c r="D172" i="1"/>
  <c r="C172" i="1"/>
  <c r="B172" i="1"/>
  <c r="A172" i="1" s="1"/>
  <c r="P171" i="1"/>
  <c r="D171" i="1"/>
  <c r="C171" i="1" s="1"/>
  <c r="B171" i="1"/>
  <c r="A171" i="1"/>
  <c r="P170" i="1"/>
  <c r="D170" i="1"/>
  <c r="C170" i="1" s="1"/>
  <c r="B170" i="1"/>
  <c r="A170" i="1"/>
  <c r="P169" i="1"/>
  <c r="D169" i="1"/>
  <c r="C169" i="1"/>
  <c r="B169" i="1"/>
  <c r="A169" i="1" s="1"/>
  <c r="P168" i="1"/>
  <c r="D168" i="1"/>
  <c r="C168" i="1"/>
  <c r="B168" i="1"/>
  <c r="A168" i="1" s="1"/>
  <c r="P167" i="1"/>
  <c r="D167" i="1"/>
  <c r="C167" i="1" s="1"/>
  <c r="B167" i="1"/>
  <c r="A167" i="1"/>
  <c r="P166" i="1"/>
  <c r="D166" i="1"/>
  <c r="C166" i="1" s="1"/>
  <c r="B166" i="1"/>
  <c r="A166" i="1"/>
  <c r="P165" i="1"/>
  <c r="D165" i="1"/>
  <c r="C165" i="1"/>
  <c r="B165" i="1"/>
  <c r="A165" i="1" s="1"/>
  <c r="P164" i="1"/>
  <c r="D164" i="1"/>
  <c r="C164" i="1"/>
  <c r="B164" i="1"/>
  <c r="A164" i="1" s="1"/>
  <c r="P163" i="1"/>
  <c r="D163" i="1"/>
  <c r="C163" i="1" s="1"/>
  <c r="B163" i="1"/>
  <c r="A163" i="1"/>
  <c r="P162" i="1"/>
  <c r="D162" i="1"/>
  <c r="C162" i="1" s="1"/>
  <c r="B162" i="1"/>
  <c r="A162" i="1"/>
  <c r="P161" i="1"/>
  <c r="D161" i="1"/>
  <c r="C161" i="1"/>
  <c r="B161" i="1"/>
  <c r="A161" i="1" s="1"/>
  <c r="P160" i="1"/>
  <c r="D160" i="1"/>
  <c r="C160" i="1"/>
  <c r="B160" i="1"/>
  <c r="A160" i="1" s="1"/>
  <c r="P159" i="1"/>
  <c r="D159" i="1"/>
  <c r="C159" i="1" s="1"/>
  <c r="B159" i="1"/>
  <c r="A159" i="1"/>
  <c r="P158" i="1"/>
  <c r="D158" i="1"/>
  <c r="C158" i="1" s="1"/>
  <c r="B158" i="1"/>
  <c r="A158" i="1"/>
  <c r="P157" i="1"/>
  <c r="D157" i="1"/>
  <c r="C157" i="1"/>
  <c r="B157" i="1"/>
  <c r="A157" i="1" s="1"/>
  <c r="P156" i="1"/>
  <c r="D156" i="1"/>
  <c r="C156" i="1"/>
  <c r="B156" i="1"/>
  <c r="A156" i="1" s="1"/>
  <c r="P155" i="1"/>
  <c r="D155" i="1"/>
  <c r="C155" i="1" s="1"/>
  <c r="B155" i="1"/>
  <c r="A155" i="1"/>
  <c r="P154" i="1"/>
  <c r="D154" i="1"/>
  <c r="C154" i="1" s="1"/>
  <c r="B154" i="1"/>
  <c r="A154" i="1"/>
  <c r="P153" i="1"/>
  <c r="D153" i="1"/>
  <c r="C153" i="1"/>
  <c r="B153" i="1"/>
  <c r="A153" i="1" s="1"/>
  <c r="P152" i="1"/>
  <c r="D152" i="1"/>
  <c r="C152" i="1"/>
  <c r="B152" i="1"/>
  <c r="A152" i="1" s="1"/>
  <c r="P151" i="1"/>
  <c r="D151" i="1"/>
  <c r="C151" i="1" s="1"/>
  <c r="B151" i="1"/>
  <c r="A151" i="1"/>
  <c r="P150" i="1"/>
  <c r="D150" i="1"/>
  <c r="C150" i="1" s="1"/>
  <c r="B150" i="1"/>
  <c r="A150" i="1"/>
  <c r="P149" i="1"/>
  <c r="D149" i="1"/>
  <c r="C149" i="1"/>
  <c r="B149" i="1"/>
  <c r="A149" i="1" s="1"/>
  <c r="P148" i="1"/>
  <c r="D148" i="1"/>
  <c r="C148" i="1"/>
  <c r="B148" i="1"/>
  <c r="A148" i="1" s="1"/>
  <c r="P147" i="1"/>
  <c r="D147" i="1"/>
  <c r="C147" i="1" s="1"/>
  <c r="B147" i="1"/>
  <c r="A147" i="1"/>
  <c r="P146" i="1"/>
  <c r="D146" i="1"/>
  <c r="C146" i="1" s="1"/>
  <c r="B146" i="1"/>
  <c r="A146" i="1"/>
  <c r="P145" i="1"/>
  <c r="D145" i="1"/>
  <c r="C145" i="1"/>
  <c r="B145" i="1"/>
  <c r="A145" i="1" s="1"/>
  <c r="P144" i="1"/>
  <c r="D144" i="1"/>
  <c r="C144" i="1"/>
  <c r="B144" i="1"/>
  <c r="A144" i="1" s="1"/>
  <c r="P143" i="1"/>
  <c r="D143" i="1"/>
  <c r="C143" i="1" s="1"/>
  <c r="B143" i="1"/>
  <c r="A143" i="1"/>
  <c r="P142" i="1"/>
  <c r="D142" i="1"/>
  <c r="C142" i="1" s="1"/>
  <c r="B142" i="1"/>
  <c r="A142" i="1"/>
  <c r="P141" i="1"/>
  <c r="D141" i="1"/>
  <c r="C141" i="1"/>
  <c r="B141" i="1"/>
  <c r="A141" i="1" s="1"/>
  <c r="P140" i="1"/>
  <c r="D140" i="1"/>
  <c r="C140" i="1"/>
  <c r="B140" i="1"/>
  <c r="A140" i="1" s="1"/>
  <c r="P139" i="1"/>
  <c r="D139" i="1"/>
  <c r="C139" i="1" s="1"/>
  <c r="B139" i="1"/>
  <c r="A139" i="1"/>
  <c r="P138" i="1"/>
  <c r="D138" i="1"/>
  <c r="C138" i="1" s="1"/>
  <c r="B138" i="1"/>
  <c r="A138" i="1"/>
  <c r="P137" i="1"/>
  <c r="D137" i="1"/>
  <c r="C137" i="1"/>
  <c r="B137" i="1"/>
  <c r="A137" i="1" s="1"/>
  <c r="P136" i="1"/>
  <c r="D136" i="1"/>
  <c r="C136" i="1"/>
  <c r="B136" i="1"/>
  <c r="A136" i="1" s="1"/>
  <c r="P135" i="1"/>
  <c r="D135" i="1"/>
  <c r="C135" i="1" s="1"/>
  <c r="B135" i="1"/>
  <c r="A135" i="1"/>
  <c r="P134" i="1"/>
  <c r="D134" i="1"/>
  <c r="C134" i="1" s="1"/>
  <c r="B134" i="1"/>
  <c r="A134" i="1"/>
  <c r="P133" i="1"/>
  <c r="M133" i="1"/>
  <c r="D133" i="1"/>
  <c r="C133" i="1"/>
  <c r="B133" i="1"/>
  <c r="A133" i="1" s="1"/>
  <c r="P132" i="1"/>
  <c r="D132" i="1"/>
  <c r="C132" i="1" s="1"/>
  <c r="B132" i="1"/>
  <c r="A132" i="1"/>
  <c r="P131" i="1"/>
  <c r="D131" i="1"/>
  <c r="C131" i="1" s="1"/>
  <c r="B131" i="1"/>
  <c r="A131" i="1"/>
  <c r="P130" i="1"/>
  <c r="D130" i="1"/>
  <c r="C130" i="1"/>
  <c r="B130" i="1"/>
  <c r="A130" i="1" s="1"/>
  <c r="P129" i="1"/>
  <c r="D129" i="1"/>
  <c r="C129" i="1"/>
  <c r="B129" i="1"/>
  <c r="A129" i="1" s="1"/>
  <c r="P128" i="1"/>
  <c r="D128" i="1"/>
  <c r="C128" i="1" s="1"/>
  <c r="B128" i="1"/>
  <c r="A128" i="1"/>
  <c r="P127" i="1"/>
  <c r="D127" i="1"/>
  <c r="C127" i="1" s="1"/>
  <c r="B127" i="1"/>
  <c r="A127" i="1"/>
  <c r="P126" i="1"/>
  <c r="D126" i="1"/>
  <c r="C126" i="1"/>
  <c r="B126" i="1"/>
  <c r="A126" i="1" s="1"/>
  <c r="P125" i="1"/>
  <c r="D125" i="1"/>
  <c r="C125" i="1"/>
  <c r="B125" i="1"/>
  <c r="A125" i="1" s="1"/>
  <c r="P124" i="1"/>
  <c r="D124" i="1"/>
  <c r="C124" i="1" s="1"/>
  <c r="B124" i="1"/>
  <c r="A124" i="1"/>
  <c r="P123" i="1"/>
  <c r="D123" i="1"/>
  <c r="C123" i="1" s="1"/>
  <c r="B123" i="1"/>
  <c r="A123" i="1"/>
  <c r="P122" i="1"/>
  <c r="D122" i="1"/>
  <c r="C122" i="1"/>
  <c r="B122" i="1"/>
  <c r="A122" i="1" s="1"/>
  <c r="P121" i="1"/>
  <c r="D121" i="1"/>
  <c r="C121" i="1"/>
  <c r="B121" i="1"/>
  <c r="A121" i="1" s="1"/>
  <c r="P120" i="1"/>
  <c r="L120" i="1"/>
  <c r="G120" i="1"/>
  <c r="D120" i="1"/>
  <c r="C120" i="1"/>
  <c r="B120" i="1"/>
  <c r="A120" i="1" s="1"/>
  <c r="P119" i="1"/>
  <c r="L119" i="1"/>
  <c r="G119" i="1"/>
  <c r="D119" i="1"/>
  <c r="C119" i="1" s="1"/>
  <c r="B119" i="1"/>
  <c r="A119" i="1"/>
  <c r="P118" i="1"/>
  <c r="L118" i="1"/>
  <c r="G118" i="1"/>
  <c r="D118" i="1"/>
  <c r="C118" i="1" s="1"/>
  <c r="B118" i="1"/>
  <c r="A118" i="1"/>
  <c r="P117" i="1"/>
  <c r="L117" i="1"/>
  <c r="G117" i="1"/>
  <c r="D117" i="1"/>
  <c r="C117" i="1"/>
  <c r="B117" i="1"/>
  <c r="A117" i="1" s="1"/>
  <c r="P116" i="1"/>
  <c r="L116" i="1"/>
  <c r="G116" i="1"/>
  <c r="D116" i="1"/>
  <c r="C116" i="1"/>
  <c r="B116" i="1"/>
  <c r="A116" i="1" s="1"/>
  <c r="P115" i="1"/>
  <c r="L115" i="1"/>
  <c r="G115" i="1"/>
  <c r="D115" i="1"/>
  <c r="C115" i="1" s="1"/>
  <c r="B115" i="1"/>
  <c r="A115" i="1"/>
  <c r="P114" i="1"/>
  <c r="L114" i="1"/>
  <c r="G114" i="1"/>
  <c r="D114" i="1"/>
  <c r="C114" i="1" s="1"/>
  <c r="B114" i="1"/>
  <c r="A114" i="1"/>
  <c r="P113" i="1"/>
  <c r="L113" i="1"/>
  <c r="G113" i="1"/>
  <c r="D113" i="1"/>
  <c r="C113" i="1"/>
  <c r="B113" i="1"/>
  <c r="A113" i="1" s="1"/>
  <c r="P112" i="1"/>
  <c r="L112" i="1"/>
  <c r="G112" i="1"/>
  <c r="D112" i="1"/>
  <c r="C112" i="1"/>
  <c r="B112" i="1"/>
  <c r="A112" i="1" s="1"/>
  <c r="P111" i="1"/>
  <c r="L111" i="1"/>
  <c r="D111" i="1"/>
  <c r="C111" i="1" s="1"/>
  <c r="B111" i="1"/>
  <c r="A111" i="1"/>
  <c r="P110" i="1"/>
  <c r="L110" i="1"/>
  <c r="G110" i="1"/>
  <c r="D110" i="1"/>
  <c r="C110" i="1"/>
  <c r="B110" i="1"/>
  <c r="A110" i="1" s="1"/>
  <c r="P109" i="1"/>
  <c r="L109" i="1"/>
  <c r="G109" i="1"/>
  <c r="D109" i="1"/>
  <c r="C109" i="1"/>
  <c r="B109" i="1"/>
  <c r="A109" i="1" s="1"/>
  <c r="P108" i="1"/>
  <c r="L108" i="1"/>
  <c r="G108" i="1"/>
  <c r="D108" i="1"/>
  <c r="C108" i="1" s="1"/>
  <c r="B108" i="1"/>
  <c r="A108" i="1"/>
  <c r="P107" i="1"/>
  <c r="L107" i="1"/>
  <c r="G107" i="1"/>
  <c r="D107" i="1"/>
  <c r="C107" i="1" s="1"/>
  <c r="B107" i="1"/>
  <c r="A107" i="1"/>
  <c r="P106" i="1"/>
  <c r="L106" i="1"/>
  <c r="G106" i="1"/>
  <c r="D106" i="1"/>
  <c r="C106" i="1"/>
  <c r="B106" i="1"/>
  <c r="A106" i="1" s="1"/>
  <c r="P105" i="1"/>
  <c r="L105" i="1"/>
  <c r="G105" i="1"/>
  <c r="D105" i="1"/>
  <c r="C105" i="1"/>
  <c r="B105" i="1"/>
  <c r="A105" i="1" s="1"/>
  <c r="P104" i="1"/>
  <c r="L104" i="1"/>
  <c r="G104" i="1"/>
  <c r="D104" i="1"/>
  <c r="C104" i="1" s="1"/>
  <c r="B104" i="1"/>
  <c r="A104" i="1"/>
  <c r="P103" i="1"/>
  <c r="L103" i="1"/>
  <c r="G103" i="1"/>
  <c r="D103" i="1"/>
  <c r="C103" i="1" s="1"/>
  <c r="B103" i="1"/>
  <c r="A103" i="1"/>
  <c r="P102" i="1"/>
  <c r="L102" i="1"/>
  <c r="G102" i="1"/>
  <c r="D102" i="1"/>
  <c r="C102" i="1"/>
  <c r="B102" i="1"/>
  <c r="A102" i="1" s="1"/>
  <c r="P101" i="1"/>
  <c r="L101" i="1"/>
  <c r="G101" i="1"/>
  <c r="D101" i="1"/>
  <c r="C101" i="1"/>
  <c r="B101" i="1"/>
  <c r="A101" i="1" s="1"/>
  <c r="P100" i="1"/>
  <c r="L100" i="1"/>
  <c r="G100" i="1"/>
  <c r="D100" i="1"/>
  <c r="C100" i="1" s="1"/>
  <c r="B100" i="1"/>
  <c r="A100" i="1"/>
  <c r="P99" i="1"/>
  <c r="L99" i="1"/>
  <c r="G99" i="1"/>
  <c r="D99" i="1"/>
  <c r="C99" i="1" s="1"/>
  <c r="B99" i="1"/>
  <c r="A99" i="1"/>
  <c r="P98" i="1"/>
  <c r="L98" i="1"/>
  <c r="G98" i="1"/>
  <c r="D98" i="1"/>
  <c r="C98" i="1"/>
  <c r="B98" i="1"/>
  <c r="A98" i="1" s="1"/>
  <c r="P97" i="1"/>
  <c r="L97" i="1"/>
  <c r="G97" i="1"/>
  <c r="D97" i="1"/>
  <c r="C97" i="1"/>
  <c r="B97" i="1"/>
  <c r="A97" i="1" s="1"/>
  <c r="P96" i="1"/>
  <c r="L96" i="1"/>
  <c r="G96" i="1"/>
  <c r="D96" i="1"/>
  <c r="C96" i="1" s="1"/>
  <c r="B96" i="1"/>
  <c r="A96" i="1"/>
  <c r="P95" i="1"/>
  <c r="L95" i="1"/>
  <c r="G95" i="1"/>
  <c r="D95" i="1"/>
  <c r="C95" i="1" s="1"/>
  <c r="B95" i="1"/>
  <c r="A95" i="1"/>
  <c r="P94" i="1"/>
  <c r="L94" i="1"/>
  <c r="G94" i="1"/>
  <c r="D94" i="1"/>
  <c r="C94" i="1"/>
  <c r="B94" i="1"/>
  <c r="A94" i="1" s="1"/>
  <c r="P93" i="1"/>
  <c r="L93" i="1"/>
  <c r="G93" i="1"/>
  <c r="D93" i="1"/>
  <c r="C93" i="1"/>
  <c r="B93" i="1"/>
  <c r="A93" i="1" s="1"/>
  <c r="P92" i="1"/>
  <c r="L92" i="1"/>
  <c r="D92" i="1"/>
  <c r="C92" i="1" s="1"/>
  <c r="B92" i="1"/>
  <c r="A92" i="1"/>
  <c r="P91" i="1"/>
  <c r="L91" i="1"/>
  <c r="G91" i="1"/>
  <c r="D91" i="1"/>
  <c r="C91" i="1"/>
  <c r="B91" i="1"/>
  <c r="A91" i="1" s="1"/>
  <c r="P90" i="1"/>
  <c r="L90" i="1"/>
  <c r="G90" i="1"/>
  <c r="D90" i="1"/>
  <c r="C90" i="1"/>
  <c r="B90" i="1"/>
  <c r="A90" i="1" s="1"/>
  <c r="P89" i="1"/>
  <c r="L89" i="1"/>
  <c r="G89" i="1"/>
  <c r="D89" i="1"/>
  <c r="C89" i="1" s="1"/>
  <c r="B89" i="1"/>
  <c r="A89" i="1"/>
  <c r="P88" i="1"/>
  <c r="L88" i="1"/>
  <c r="G88" i="1"/>
  <c r="D88" i="1"/>
  <c r="C88" i="1" s="1"/>
  <c r="B88" i="1"/>
  <c r="A88" i="1"/>
  <c r="P87" i="1"/>
  <c r="L87" i="1"/>
  <c r="G87" i="1"/>
  <c r="D87" i="1"/>
  <c r="C87" i="1"/>
  <c r="B87" i="1"/>
  <c r="A87" i="1" s="1"/>
  <c r="P86" i="1"/>
  <c r="L86" i="1"/>
  <c r="G86" i="1"/>
  <c r="D86" i="1"/>
  <c r="C86" i="1"/>
  <c r="B86" i="1"/>
  <c r="A86" i="1" s="1"/>
  <c r="P85" i="1"/>
  <c r="L85" i="1"/>
  <c r="G85" i="1"/>
  <c r="D85" i="1"/>
  <c r="C85" i="1" s="1"/>
  <c r="B85" i="1"/>
  <c r="A85" i="1"/>
  <c r="P84" i="1"/>
  <c r="L84" i="1"/>
  <c r="G84" i="1"/>
  <c r="D84" i="1"/>
  <c r="C84" i="1" s="1"/>
  <c r="B84" i="1"/>
  <c r="A84" i="1"/>
  <c r="P83" i="1"/>
  <c r="L83" i="1"/>
  <c r="G83" i="1"/>
  <c r="D83" i="1"/>
  <c r="C83" i="1"/>
  <c r="B83" i="1"/>
  <c r="A83" i="1" s="1"/>
  <c r="P82" i="1"/>
  <c r="L82" i="1"/>
  <c r="D82" i="1"/>
  <c r="C82" i="1" s="1"/>
  <c r="B82" i="1"/>
  <c r="A82" i="1"/>
  <c r="P81" i="1"/>
  <c r="L81" i="1"/>
  <c r="G81" i="1"/>
  <c r="D81" i="1"/>
  <c r="C81" i="1" s="1"/>
  <c r="B81" i="1"/>
  <c r="A81" i="1"/>
  <c r="P80" i="1"/>
  <c r="L80" i="1"/>
  <c r="G80" i="1"/>
  <c r="D80" i="1"/>
  <c r="C80" i="1"/>
  <c r="B80" i="1"/>
  <c r="A80" i="1" s="1"/>
  <c r="P79" i="1"/>
  <c r="L79" i="1"/>
  <c r="G79" i="1"/>
  <c r="D79" i="1"/>
  <c r="C79" i="1"/>
  <c r="B79" i="1"/>
  <c r="A79" i="1" s="1"/>
  <c r="P78" i="1"/>
  <c r="L78" i="1"/>
  <c r="G78" i="1"/>
  <c r="D78" i="1"/>
  <c r="C78" i="1" s="1"/>
  <c r="B78" i="1"/>
  <c r="A78" i="1"/>
  <c r="P77" i="1"/>
  <c r="L77" i="1"/>
  <c r="D77" i="1"/>
  <c r="C77" i="1"/>
  <c r="B77" i="1"/>
  <c r="A77" i="1" s="1"/>
  <c r="P76" i="1"/>
  <c r="L76" i="1"/>
  <c r="G76" i="1"/>
  <c r="D76" i="1"/>
  <c r="C76" i="1"/>
  <c r="B76" i="1"/>
  <c r="A76" i="1" s="1"/>
  <c r="P75" i="1"/>
  <c r="L75" i="1"/>
  <c r="G75" i="1"/>
  <c r="D75" i="1"/>
  <c r="C75" i="1" s="1"/>
  <c r="B75" i="1"/>
  <c r="A75" i="1"/>
  <c r="P74" i="1"/>
  <c r="L74" i="1"/>
  <c r="G74" i="1"/>
  <c r="D74" i="1"/>
  <c r="C74" i="1" s="1"/>
  <c r="B74" i="1"/>
  <c r="A74" i="1"/>
  <c r="P73" i="1"/>
  <c r="L73" i="1"/>
  <c r="G73" i="1"/>
  <c r="D73" i="1"/>
  <c r="C73" i="1"/>
  <c r="B73" i="1"/>
  <c r="A73" i="1" s="1"/>
  <c r="P72" i="1"/>
  <c r="L72" i="1"/>
  <c r="G72" i="1"/>
  <c r="D72" i="1"/>
  <c r="C72" i="1"/>
  <c r="B72" i="1"/>
  <c r="A72" i="1" s="1"/>
  <c r="P71" i="1"/>
  <c r="L71" i="1"/>
  <c r="G71" i="1"/>
  <c r="D71" i="1"/>
  <c r="C71" i="1" s="1"/>
  <c r="B71" i="1"/>
  <c r="A71" i="1"/>
  <c r="P70" i="1"/>
  <c r="L70" i="1"/>
  <c r="G70" i="1"/>
  <c r="D70" i="1"/>
  <c r="C70" i="1" s="1"/>
  <c r="B70" i="1"/>
  <c r="A70" i="1"/>
  <c r="P69" i="1"/>
  <c r="L69" i="1"/>
  <c r="G69" i="1"/>
  <c r="D69" i="1"/>
  <c r="C69" i="1"/>
  <c r="B69" i="1"/>
  <c r="A69" i="1" s="1"/>
  <c r="P68" i="1"/>
  <c r="L68" i="1"/>
  <c r="G68" i="1"/>
  <c r="D68" i="1"/>
  <c r="C68" i="1"/>
  <c r="B68" i="1"/>
  <c r="A68" i="1" s="1"/>
  <c r="P67" i="1"/>
  <c r="L67" i="1"/>
  <c r="G67" i="1"/>
  <c r="D67" i="1"/>
  <c r="C67" i="1" s="1"/>
  <c r="B67" i="1"/>
  <c r="A67" i="1"/>
  <c r="P66" i="1"/>
  <c r="L66" i="1"/>
  <c r="G66" i="1"/>
  <c r="D66" i="1"/>
  <c r="C66" i="1" s="1"/>
  <c r="B66" i="1"/>
  <c r="A66" i="1"/>
  <c r="P65" i="1"/>
  <c r="L65" i="1"/>
  <c r="G65" i="1"/>
  <c r="D65" i="1"/>
  <c r="C65" i="1"/>
  <c r="B65" i="1"/>
  <c r="A65" i="1" s="1"/>
  <c r="P64" i="1"/>
  <c r="L64" i="1"/>
  <c r="G64" i="1"/>
  <c r="D64" i="1"/>
  <c r="C64" i="1"/>
  <c r="B64" i="1"/>
  <c r="A64" i="1" s="1"/>
  <c r="P63" i="1"/>
  <c r="L63" i="1"/>
  <c r="G63" i="1"/>
  <c r="D63" i="1"/>
  <c r="C63" i="1" s="1"/>
  <c r="B63" i="1"/>
  <c r="A63" i="1"/>
  <c r="P62" i="1"/>
  <c r="L62" i="1"/>
  <c r="G62" i="1"/>
  <c r="D62" i="1"/>
  <c r="C62" i="1" s="1"/>
  <c r="B62" i="1"/>
  <c r="A62" i="1"/>
  <c r="P61" i="1"/>
  <c r="L61" i="1"/>
  <c r="G61" i="1"/>
  <c r="D61" i="1"/>
  <c r="C61" i="1"/>
  <c r="B61" i="1"/>
  <c r="A61" i="1" s="1"/>
  <c r="P60" i="1"/>
  <c r="L60" i="1"/>
  <c r="G60" i="1"/>
  <c r="D60" i="1"/>
  <c r="C60" i="1"/>
  <c r="B60" i="1"/>
  <c r="A60" i="1" s="1"/>
  <c r="P59" i="1"/>
  <c r="L59" i="1"/>
  <c r="G59" i="1"/>
  <c r="D59" i="1"/>
  <c r="C59" i="1" s="1"/>
  <c r="B59" i="1"/>
  <c r="A59" i="1"/>
  <c r="P58" i="1"/>
  <c r="L58" i="1"/>
  <c r="G58" i="1"/>
  <c r="D58" i="1"/>
  <c r="C58" i="1" s="1"/>
  <c r="B58" i="1"/>
  <c r="A58" i="1"/>
  <c r="P57" i="1"/>
  <c r="L57" i="1"/>
  <c r="D57" i="1"/>
  <c r="C57" i="1" s="1"/>
  <c r="B57" i="1"/>
  <c r="A57" i="1" s="1"/>
  <c r="P56" i="1"/>
  <c r="L56" i="1"/>
  <c r="G56" i="1"/>
  <c r="D56" i="1"/>
  <c r="C56" i="1" s="1"/>
  <c r="B56" i="1"/>
  <c r="A56" i="1"/>
  <c r="P55" i="1"/>
  <c r="L55" i="1"/>
  <c r="G55" i="1"/>
  <c r="D55" i="1"/>
  <c r="C55" i="1" s="1"/>
  <c r="B55" i="1"/>
  <c r="A55" i="1" s="1"/>
  <c r="P54" i="1"/>
  <c r="L54" i="1"/>
  <c r="G54" i="1"/>
  <c r="D54" i="1"/>
  <c r="C54" i="1"/>
  <c r="B54" i="1"/>
  <c r="A54" i="1" s="1"/>
  <c r="P53" i="1"/>
  <c r="L53" i="1"/>
  <c r="G53" i="1"/>
  <c r="D53" i="1"/>
  <c r="C53" i="1" s="1"/>
  <c r="B53" i="1"/>
  <c r="A53" i="1" s="1"/>
  <c r="P52" i="1"/>
  <c r="L52" i="1"/>
  <c r="G52" i="1"/>
  <c r="D52" i="1"/>
  <c r="C52" i="1" s="1"/>
  <c r="B52" i="1"/>
  <c r="A52" i="1"/>
  <c r="P51" i="1"/>
  <c r="L51" i="1"/>
  <c r="G51" i="1"/>
  <c r="D51" i="1"/>
  <c r="C51" i="1" s="1"/>
  <c r="B51" i="1"/>
  <c r="A51" i="1" s="1"/>
  <c r="P50" i="1"/>
  <c r="L50" i="1"/>
  <c r="G50" i="1"/>
  <c r="D50" i="1"/>
  <c r="C50" i="1"/>
  <c r="B50" i="1"/>
  <c r="A50" i="1" s="1"/>
  <c r="P49" i="1"/>
  <c r="L49" i="1"/>
  <c r="G49" i="1"/>
  <c r="D49" i="1"/>
  <c r="C49" i="1" s="1"/>
  <c r="B49" i="1"/>
  <c r="A49" i="1" s="1"/>
  <c r="P48" i="1"/>
  <c r="L48" i="1"/>
  <c r="G48" i="1"/>
  <c r="D48" i="1"/>
  <c r="C48" i="1" s="1"/>
  <c r="B48" i="1"/>
  <c r="A48" i="1"/>
  <c r="P47" i="1"/>
  <c r="L47" i="1"/>
  <c r="G47" i="1"/>
  <c r="D47" i="1"/>
  <c r="C47" i="1" s="1"/>
  <c r="B47" i="1"/>
  <c r="A47" i="1" s="1"/>
  <c r="P46" i="1"/>
  <c r="L46" i="1"/>
  <c r="G46" i="1"/>
  <c r="D46" i="1"/>
  <c r="C46" i="1"/>
  <c r="B46" i="1"/>
  <c r="A46" i="1" s="1"/>
  <c r="P45" i="1"/>
  <c r="L45" i="1"/>
  <c r="G45" i="1"/>
  <c r="D45" i="1"/>
  <c r="C45" i="1" s="1"/>
  <c r="B45" i="1"/>
  <c r="A45" i="1" s="1"/>
  <c r="P44" i="1"/>
  <c r="L44" i="1"/>
  <c r="G44" i="1"/>
  <c r="D44" i="1"/>
  <c r="C44" i="1" s="1"/>
  <c r="B44" i="1"/>
  <c r="A44" i="1"/>
  <c r="P43" i="1"/>
  <c r="L43" i="1"/>
  <c r="G43" i="1"/>
  <c r="D43" i="1"/>
  <c r="C43" i="1" s="1"/>
  <c r="B43" i="1"/>
  <c r="A43" i="1" s="1"/>
  <c r="P42" i="1"/>
  <c r="L42" i="1"/>
  <c r="G42" i="1"/>
  <c r="D42" i="1"/>
  <c r="C42" i="1"/>
  <c r="B42" i="1"/>
  <c r="A42" i="1" s="1"/>
  <c r="P41" i="1"/>
  <c r="L41" i="1"/>
  <c r="G41" i="1"/>
  <c r="D41" i="1"/>
  <c r="C41" i="1" s="1"/>
  <c r="B41" i="1"/>
  <c r="A41" i="1" s="1"/>
  <c r="P40" i="1"/>
  <c r="L40" i="1"/>
  <c r="G40" i="1"/>
  <c r="D40" i="1"/>
  <c r="C40" i="1" s="1"/>
  <c r="B40" i="1"/>
  <c r="A40" i="1"/>
  <c r="P39" i="1"/>
  <c r="L39" i="1"/>
  <c r="G39" i="1"/>
  <c r="D39" i="1"/>
  <c r="C39" i="1" s="1"/>
  <c r="B39" i="1"/>
  <c r="A39" i="1" s="1"/>
  <c r="P38" i="1"/>
  <c r="L38" i="1"/>
  <c r="G38" i="1"/>
  <c r="D38" i="1"/>
  <c r="C38" i="1"/>
  <c r="B38" i="1"/>
  <c r="A38" i="1" s="1"/>
  <c r="P37" i="1"/>
  <c r="L37" i="1"/>
  <c r="G37" i="1"/>
  <c r="D37" i="1"/>
  <c r="C37" i="1" s="1"/>
  <c r="B37" i="1"/>
  <c r="A37" i="1" s="1"/>
  <c r="P36" i="1"/>
  <c r="L36" i="1"/>
  <c r="G36" i="1"/>
  <c r="D36" i="1"/>
  <c r="C36" i="1" s="1"/>
  <c r="B36" i="1"/>
  <c r="A36" i="1"/>
  <c r="P35" i="1"/>
  <c r="L35" i="1"/>
  <c r="G35" i="1"/>
  <c r="D35" i="1"/>
  <c r="C35" i="1" s="1"/>
  <c r="B35" i="1"/>
  <c r="A35" i="1" s="1"/>
  <c r="P34" i="1"/>
  <c r="L34" i="1"/>
  <c r="D34" i="1"/>
  <c r="C34" i="1" s="1"/>
  <c r="B34" i="1"/>
  <c r="A34" i="1" s="1"/>
  <c r="P33" i="1"/>
  <c r="L33" i="1"/>
  <c r="G33" i="1"/>
  <c r="D33" i="1"/>
  <c r="C33" i="1" s="1"/>
  <c r="B33" i="1"/>
  <c r="A33" i="1"/>
  <c r="P32" i="1"/>
  <c r="L32" i="1"/>
  <c r="G32" i="1"/>
  <c r="D32" i="1"/>
  <c r="C32" i="1" s="1"/>
  <c r="B32" i="1"/>
  <c r="A32" i="1" s="1"/>
  <c r="P31" i="1"/>
  <c r="L31" i="1"/>
  <c r="G31" i="1"/>
  <c r="D31" i="1"/>
  <c r="C31" i="1"/>
  <c r="B31" i="1"/>
  <c r="A31" i="1" s="1"/>
  <c r="P30" i="1"/>
  <c r="L30" i="1"/>
  <c r="G30" i="1"/>
  <c r="D30" i="1"/>
  <c r="C30" i="1" s="1"/>
  <c r="B30" i="1"/>
  <c r="A30" i="1" s="1"/>
  <c r="P29" i="1"/>
  <c r="L29" i="1"/>
  <c r="G29" i="1"/>
  <c r="D29" i="1"/>
  <c r="C29" i="1" s="1"/>
  <c r="B29" i="1"/>
  <c r="A29" i="1"/>
  <c r="P28" i="1"/>
  <c r="L28" i="1"/>
  <c r="G28" i="1"/>
  <c r="D28" i="1"/>
  <c r="C28" i="1" s="1"/>
  <c r="B28" i="1"/>
  <c r="A28" i="1" s="1"/>
  <c r="P27" i="1"/>
  <c r="L27" i="1"/>
  <c r="D27" i="1"/>
  <c r="C27" i="1" s="1"/>
  <c r="B27" i="1"/>
  <c r="A27" i="1" s="1"/>
  <c r="P26" i="1"/>
  <c r="L26" i="1"/>
  <c r="G26" i="1"/>
  <c r="D26" i="1"/>
  <c r="C26" i="1" s="1"/>
  <c r="B26" i="1"/>
  <c r="A26" i="1"/>
  <c r="P25" i="1"/>
  <c r="L25" i="1"/>
  <c r="G25" i="1"/>
  <c r="D25" i="1"/>
  <c r="C25" i="1" s="1"/>
  <c r="B25" i="1"/>
  <c r="A25" i="1" s="1"/>
  <c r="P24" i="1"/>
  <c r="L24" i="1"/>
  <c r="G24" i="1"/>
  <c r="D24" i="1"/>
  <c r="C24" i="1"/>
  <c r="B24" i="1"/>
  <c r="A24" i="1" s="1"/>
  <c r="P23" i="1"/>
  <c r="L23" i="1"/>
  <c r="G23" i="1"/>
  <c r="D23" i="1"/>
  <c r="C23" i="1" s="1"/>
  <c r="B23" i="1"/>
  <c r="A23" i="1" s="1"/>
  <c r="P22" i="1"/>
  <c r="L22" i="1"/>
  <c r="G22" i="1"/>
  <c r="D22" i="1"/>
  <c r="C22" i="1" s="1"/>
  <c r="B22" i="1"/>
  <c r="A22" i="1"/>
  <c r="P21" i="1"/>
  <c r="L21" i="1"/>
  <c r="G21" i="1"/>
  <c r="D21" i="1"/>
  <c r="C21" i="1" s="1"/>
  <c r="B21" i="1"/>
  <c r="A21" i="1" s="1"/>
  <c r="P20" i="1"/>
  <c r="G20" i="1"/>
  <c r="D20" i="1"/>
  <c r="C20" i="1" s="1"/>
  <c r="B20" i="1"/>
  <c r="A20" i="1" s="1"/>
  <c r="P19" i="1"/>
  <c r="L19" i="1"/>
  <c r="G19" i="1"/>
  <c r="D19" i="1"/>
  <c r="C19" i="1" s="1"/>
  <c r="B19" i="1"/>
  <c r="A19" i="1"/>
  <c r="P18" i="1"/>
  <c r="L18" i="1"/>
  <c r="G18" i="1"/>
  <c r="D18" i="1"/>
  <c r="C18" i="1" s="1"/>
  <c r="B18" i="1"/>
  <c r="A18" i="1" s="1"/>
  <c r="P17" i="1"/>
  <c r="L17" i="1"/>
  <c r="G17" i="1"/>
  <c r="D17" i="1"/>
  <c r="C17" i="1"/>
  <c r="B17" i="1"/>
  <c r="A17" i="1" s="1"/>
  <c r="P16" i="1"/>
  <c r="L16" i="1"/>
  <c r="G16" i="1"/>
  <c r="D16" i="1"/>
  <c r="C16" i="1" s="1"/>
  <c r="B16" i="1"/>
  <c r="A16" i="1" s="1"/>
  <c r="P15" i="1"/>
  <c r="L15" i="1"/>
  <c r="G15" i="1"/>
  <c r="D15" i="1"/>
  <c r="C15" i="1" s="1"/>
  <c r="B15" i="1"/>
  <c r="A15" i="1"/>
  <c r="P14" i="1"/>
  <c r="L14" i="1"/>
  <c r="G14" i="1"/>
  <c r="D14" i="1"/>
  <c r="C14" i="1" s="1"/>
  <c r="B14" i="1"/>
  <c r="A14" i="1" s="1"/>
  <c r="P13" i="1"/>
  <c r="L13" i="1"/>
  <c r="G13" i="1"/>
  <c r="D13" i="1"/>
  <c r="C13" i="1"/>
  <c r="B13" i="1"/>
  <c r="A13" i="1" s="1"/>
  <c r="P12" i="1"/>
  <c r="L12" i="1"/>
  <c r="G12" i="1"/>
  <c r="D12" i="1"/>
  <c r="C12" i="1" s="1"/>
  <c r="B12" i="1"/>
  <c r="A12" i="1" s="1"/>
  <c r="P11" i="1"/>
  <c r="L11" i="1"/>
  <c r="G11" i="1"/>
  <c r="D11" i="1"/>
  <c r="C11" i="1" s="1"/>
  <c r="B11" i="1"/>
  <c r="A11" i="1"/>
  <c r="P10" i="1"/>
  <c r="L10" i="1"/>
  <c r="G10" i="1"/>
  <c r="D10" i="1"/>
  <c r="C10" i="1" s="1"/>
  <c r="B10" i="1"/>
  <c r="A10" i="1" s="1"/>
  <c r="P9" i="1"/>
  <c r="L9" i="1"/>
  <c r="L3" i="1" s="1"/>
  <c r="G9" i="1"/>
  <c r="D9" i="1"/>
  <c r="C9" i="1"/>
  <c r="B9" i="1"/>
  <c r="A9" i="1" s="1"/>
  <c r="P8" i="1"/>
  <c r="D8" i="1"/>
  <c r="C8" i="1" s="1"/>
  <c r="B8" i="1"/>
  <c r="A8" i="1" s="1"/>
  <c r="P7" i="1"/>
  <c r="D7" i="1"/>
  <c r="C7" i="1" s="1"/>
  <c r="B7" i="1"/>
  <c r="A7" i="1"/>
  <c r="F3" i="1"/>
  <c r="F1" i="1"/>
  <c r="B1221" i="1" l="1"/>
  <c r="A1221" i="1" s="1"/>
  <c r="B1225" i="1"/>
  <c r="A1225" i="1" s="1"/>
  <c r="B1229" i="1"/>
  <c r="A1229" i="1" s="1"/>
  <c r="B1233" i="1"/>
  <c r="A1233" i="1" s="1"/>
  <c r="B1237" i="1"/>
  <c r="A1237" i="1" s="1"/>
  <c r="B1241" i="1"/>
  <c r="A1241" i="1" s="1"/>
  <c r="B1245" i="1"/>
  <c r="A1245" i="1" s="1"/>
  <c r="B1249" i="1"/>
  <c r="A1249" i="1" s="1"/>
  <c r="B1253" i="1"/>
  <c r="A1253" i="1" s="1"/>
  <c r="B1257" i="1"/>
  <c r="A1257" i="1" s="1"/>
  <c r="B1261" i="1"/>
  <c r="A1261" i="1" s="1"/>
  <c r="B1265" i="1"/>
  <c r="A1265" i="1" s="1"/>
  <c r="B1269" i="1"/>
  <c r="A1269" i="1" s="1"/>
  <c r="B1273" i="1"/>
  <c r="A1273" i="1" s="1"/>
  <c r="B1277" i="1"/>
  <c r="A1277" i="1" s="1"/>
  <c r="B1281" i="1"/>
  <c r="A1281" i="1" s="1"/>
  <c r="B1285" i="1"/>
  <c r="A1285" i="1" s="1"/>
  <c r="B1289" i="1"/>
  <c r="A1289" i="1" s="1"/>
  <c r="B1293" i="1"/>
  <c r="A1293" i="1" s="1"/>
  <c r="B1297" i="1"/>
  <c r="A1297" i="1" s="1"/>
  <c r="B1301" i="1"/>
  <c r="A1301" i="1" s="1"/>
  <c r="B1305" i="1"/>
  <c r="A1305" i="1" s="1"/>
  <c r="B1309" i="1"/>
  <c r="A1309" i="1" s="1"/>
  <c r="B1313" i="1"/>
  <c r="A1313" i="1" s="1"/>
  <c r="B1315" i="1"/>
  <c r="A1315" i="1" s="1"/>
  <c r="B1319" i="1"/>
  <c r="A1319" i="1" s="1"/>
  <c r="B1323" i="1"/>
  <c r="A1323" i="1" s="1"/>
  <c r="B1327" i="1"/>
  <c r="A1327" i="1" s="1"/>
  <c r="B1331" i="1"/>
  <c r="A1331" i="1" s="1"/>
  <c r="B1335" i="1"/>
  <c r="A1335" i="1" s="1"/>
  <c r="B1339" i="1"/>
  <c r="A1339" i="1" s="1"/>
  <c r="B1343" i="1"/>
  <c r="A1343" i="1" s="1"/>
  <c r="B1347" i="1"/>
  <c r="A1347" i="1" s="1"/>
  <c r="B1351" i="1"/>
  <c r="A1351" i="1" s="1"/>
  <c r="B1355" i="1"/>
  <c r="A1355" i="1" s="1"/>
  <c r="B1359" i="1"/>
  <c r="A1359" i="1" s="1"/>
  <c r="B1363" i="1"/>
  <c r="A1363" i="1" s="1"/>
  <c r="B1367" i="1"/>
  <c r="A1367" i="1" s="1"/>
  <c r="B1371" i="1"/>
  <c r="A1371" i="1" s="1"/>
  <c r="B1377" i="1"/>
  <c r="A1377" i="1" s="1"/>
  <c r="B1381" i="1"/>
  <c r="A1381" i="1" s="1"/>
  <c r="B1385" i="1"/>
  <c r="A1385" i="1" s="1"/>
  <c r="B1389" i="1"/>
  <c r="A1389" i="1" s="1"/>
  <c r="B1393" i="1"/>
  <c r="A1393" i="1" s="1"/>
  <c r="B1397" i="1"/>
  <c r="A1397" i="1" s="1"/>
  <c r="B1401" i="1"/>
  <c r="A1401" i="1" s="1"/>
  <c r="B1405" i="1"/>
  <c r="A1405" i="1" s="1"/>
  <c r="B1409" i="1"/>
  <c r="A1409" i="1" s="1"/>
  <c r="B1413" i="1"/>
  <c r="A1413" i="1" s="1"/>
  <c r="B1417" i="1"/>
  <c r="A1417" i="1" s="1"/>
  <c r="B1421" i="1"/>
  <c r="A1421" i="1" s="1"/>
  <c r="B1425" i="1"/>
  <c r="A1425" i="1" s="1"/>
  <c r="B1429" i="1"/>
  <c r="A1429" i="1" s="1"/>
  <c r="B1433" i="1"/>
  <c r="A1433" i="1" s="1"/>
  <c r="B1437" i="1"/>
  <c r="A1437" i="1" s="1"/>
  <c r="B1441" i="1"/>
  <c r="A1441" i="1" s="1"/>
  <c r="B1445" i="1"/>
  <c r="A1445" i="1" s="1"/>
  <c r="B1449" i="1"/>
  <c r="A1449" i="1" s="1"/>
  <c r="B1453" i="1"/>
  <c r="A1453" i="1" s="1"/>
  <c r="B1457" i="1"/>
  <c r="A1457" i="1" s="1"/>
  <c r="B1461" i="1"/>
  <c r="A1461" i="1" s="1"/>
  <c r="B1465" i="1"/>
  <c r="A1465" i="1" s="1"/>
  <c r="B1469" i="1"/>
  <c r="A1469" i="1" s="1"/>
  <c r="B1473" i="1"/>
  <c r="A1473" i="1" s="1"/>
  <c r="B1477" i="1"/>
  <c r="A1477" i="1" s="1"/>
  <c r="B1481" i="1"/>
  <c r="A1481" i="1" s="1"/>
  <c r="B1485" i="1"/>
  <c r="A1485" i="1" s="1"/>
  <c r="B1489" i="1"/>
  <c r="A1489" i="1" s="1"/>
  <c r="B1493" i="1"/>
  <c r="A1493" i="1" s="1"/>
  <c r="B1497" i="1"/>
  <c r="A1497" i="1" s="1"/>
  <c r="B1501" i="1"/>
  <c r="A1501" i="1" s="1"/>
  <c r="B1505" i="1"/>
  <c r="A1505" i="1" s="1"/>
  <c r="B1508" i="1"/>
  <c r="A1508" i="1" s="1"/>
  <c r="B1511" i="1"/>
  <c r="A1511" i="1" s="1"/>
  <c r="B1513" i="1"/>
  <c r="A1513" i="1" s="1"/>
  <c r="B1521" i="1"/>
  <c r="A1521" i="1" s="1"/>
  <c r="B1529" i="1"/>
  <c r="A1529" i="1" s="1"/>
  <c r="B1537" i="1"/>
  <c r="A1537" i="1" s="1"/>
  <c r="B1545" i="1"/>
  <c r="A1545" i="1" s="1"/>
  <c r="B1553" i="1"/>
  <c r="A1553" i="1" s="1"/>
  <c r="B1124" i="1"/>
  <c r="A1124" i="1" s="1"/>
  <c r="B1126" i="1"/>
  <c r="A1126" i="1" s="1"/>
  <c r="B1128" i="1"/>
  <c r="A1128" i="1" s="1"/>
  <c r="B1131" i="1"/>
  <c r="A1131" i="1" s="1"/>
  <c r="B1135" i="1"/>
  <c r="A1135" i="1" s="1"/>
  <c r="B1137" i="1"/>
  <c r="A1137" i="1" s="1"/>
  <c r="B1139" i="1"/>
  <c r="A1139" i="1" s="1"/>
  <c r="B1141" i="1"/>
  <c r="A1141" i="1" s="1"/>
  <c r="B1145" i="1"/>
  <c r="A1145" i="1" s="1"/>
  <c r="B1149" i="1"/>
  <c r="A1149" i="1" s="1"/>
  <c r="B1156" i="1"/>
  <c r="A1156" i="1" s="1"/>
  <c r="B1160" i="1"/>
  <c r="A1160" i="1" s="1"/>
  <c r="B1164" i="1"/>
  <c r="A1164" i="1" s="1"/>
  <c r="B1168" i="1"/>
  <c r="A1168" i="1" s="1"/>
  <c r="B1172" i="1"/>
  <c r="A1172" i="1" s="1"/>
  <c r="B1176" i="1"/>
  <c r="A1176" i="1" s="1"/>
  <c r="B1180" i="1"/>
  <c r="A1180" i="1" s="1"/>
  <c r="B1184" i="1"/>
  <c r="A1184" i="1" s="1"/>
  <c r="B1188" i="1"/>
  <c r="A1188" i="1" s="1"/>
  <c r="B1192" i="1"/>
  <c r="A1192" i="1" s="1"/>
  <c r="B1196" i="1"/>
  <c r="A1196" i="1" s="1"/>
  <c r="B1200" i="1"/>
  <c r="A1200" i="1" s="1"/>
  <c r="B1204" i="1"/>
  <c r="A1204" i="1" s="1"/>
  <c r="B1208" i="1"/>
  <c r="A1208" i="1" s="1"/>
  <c r="B1212" i="1"/>
  <c r="A1212" i="1" s="1"/>
  <c r="B1216" i="1"/>
  <c r="A1216" i="1" s="1"/>
  <c r="B1220" i="1"/>
  <c r="A1220" i="1" s="1"/>
  <c r="B1224" i="1"/>
  <c r="A1224" i="1" s="1"/>
  <c r="B1228" i="1"/>
  <c r="A1228" i="1" s="1"/>
  <c r="B1232" i="1"/>
  <c r="A1232" i="1" s="1"/>
  <c r="B1236" i="1"/>
  <c r="A1236" i="1" s="1"/>
  <c r="B1240" i="1"/>
  <c r="A1240" i="1" s="1"/>
  <c r="B1244" i="1"/>
  <c r="A1244" i="1" s="1"/>
  <c r="B1248" i="1"/>
  <c r="A1248" i="1" s="1"/>
  <c r="B1252" i="1"/>
  <c r="A1252" i="1" s="1"/>
  <c r="B1256" i="1"/>
  <c r="A1256" i="1" s="1"/>
  <c r="B1260" i="1"/>
  <c r="A1260" i="1" s="1"/>
  <c r="B1264" i="1"/>
  <c r="A1264" i="1" s="1"/>
  <c r="B1268" i="1"/>
  <c r="A1268" i="1" s="1"/>
  <c r="B1272" i="1"/>
  <c r="A1272" i="1" s="1"/>
  <c r="B1276" i="1"/>
  <c r="A1276" i="1" s="1"/>
  <c r="B1280" i="1"/>
  <c r="A1280" i="1" s="1"/>
  <c r="B1284" i="1"/>
  <c r="A1284" i="1" s="1"/>
  <c r="B1288" i="1"/>
  <c r="A1288" i="1" s="1"/>
  <c r="B1292" i="1"/>
  <c r="A1292" i="1" s="1"/>
  <c r="B1296" i="1"/>
  <c r="A1296" i="1" s="1"/>
  <c r="B1300" i="1"/>
  <c r="A1300" i="1" s="1"/>
  <c r="B1304" i="1"/>
  <c r="A1304" i="1" s="1"/>
  <c r="B1308" i="1"/>
  <c r="A1308" i="1" s="1"/>
  <c r="B1312" i="1"/>
  <c r="A1312" i="1" s="1"/>
  <c r="B1318" i="1"/>
  <c r="A1318" i="1" s="1"/>
  <c r="B1322" i="1"/>
  <c r="A1322" i="1" s="1"/>
  <c r="B1326" i="1"/>
  <c r="A1326" i="1" s="1"/>
  <c r="B1330" i="1"/>
  <c r="A1330" i="1" s="1"/>
  <c r="B1334" i="1"/>
  <c r="A1334" i="1" s="1"/>
  <c r="B1338" i="1"/>
  <c r="A1338" i="1" s="1"/>
  <c r="B1342" i="1"/>
  <c r="A1342" i="1" s="1"/>
  <c r="B1346" i="1"/>
  <c r="A1346" i="1" s="1"/>
  <c r="B1350" i="1"/>
  <c r="A1350" i="1" s="1"/>
  <c r="B1354" i="1"/>
  <c r="A1354" i="1" s="1"/>
  <c r="B1358" i="1"/>
  <c r="A1358" i="1" s="1"/>
  <c r="B1362" i="1"/>
  <c r="A1362" i="1" s="1"/>
  <c r="B1366" i="1"/>
  <c r="A1366" i="1" s="1"/>
  <c r="B1370" i="1"/>
  <c r="A1370" i="1" s="1"/>
  <c r="B1374" i="1"/>
  <c r="A1374" i="1" s="1"/>
  <c r="B1378" i="1"/>
  <c r="A1378" i="1" s="1"/>
  <c r="B1382" i="1"/>
  <c r="A1382" i="1" s="1"/>
  <c r="B1386" i="1"/>
  <c r="A1386" i="1" s="1"/>
  <c r="B1390" i="1"/>
  <c r="A1390" i="1" s="1"/>
  <c r="B1394" i="1"/>
  <c r="A1394" i="1" s="1"/>
  <c r="B1398" i="1"/>
  <c r="A1398" i="1" s="1"/>
  <c r="B1402" i="1"/>
  <c r="A1402" i="1" s="1"/>
  <c r="B1406" i="1"/>
  <c r="A1406" i="1" s="1"/>
  <c r="B1410" i="1"/>
  <c r="A1410" i="1" s="1"/>
  <c r="B1414" i="1"/>
  <c r="A1414" i="1" s="1"/>
  <c r="B1418" i="1"/>
  <c r="A1418" i="1" s="1"/>
  <c r="B1422" i="1"/>
  <c r="A1422" i="1" s="1"/>
  <c r="B1426" i="1"/>
  <c r="A1426" i="1" s="1"/>
  <c r="B1430" i="1"/>
  <c r="A1430" i="1" s="1"/>
  <c r="B1434" i="1"/>
  <c r="A1434" i="1" s="1"/>
  <c r="B1438" i="1"/>
  <c r="A1438" i="1" s="1"/>
  <c r="B1442" i="1"/>
  <c r="A1442" i="1" s="1"/>
  <c r="B1446" i="1"/>
  <c r="A1446" i="1" s="1"/>
  <c r="B1450" i="1"/>
  <c r="A1450" i="1" s="1"/>
  <c r="B1454" i="1"/>
  <c r="A1454" i="1" s="1"/>
  <c r="B1458" i="1"/>
  <c r="A1458" i="1" s="1"/>
  <c r="B1462" i="1"/>
  <c r="A1462" i="1" s="1"/>
  <c r="B1466" i="1"/>
  <c r="A1466" i="1" s="1"/>
  <c r="B1470" i="1"/>
  <c r="A1470" i="1" s="1"/>
  <c r="B1474" i="1"/>
  <c r="A1474" i="1" s="1"/>
  <c r="B1478" i="1"/>
  <c r="A1478" i="1" s="1"/>
  <c r="B1482" i="1"/>
  <c r="A1482" i="1" s="1"/>
  <c r="B1486" i="1"/>
  <c r="A1486" i="1" s="1"/>
  <c r="B1490" i="1"/>
  <c r="A1490" i="1" s="1"/>
  <c r="B1494" i="1"/>
  <c r="A1494" i="1" s="1"/>
  <c r="B1498" i="1"/>
  <c r="A1498" i="1" s="1"/>
  <c r="B1502" i="1"/>
  <c r="A1502" i="1" s="1"/>
  <c r="B1509" i="1"/>
  <c r="A1509" i="1" s="1"/>
  <c r="B1519" i="1"/>
  <c r="A1519" i="1" s="1"/>
  <c r="B1527" i="1"/>
  <c r="A1527" i="1" s="1"/>
  <c r="B1535" i="1"/>
  <c r="A1535" i="1" s="1"/>
  <c r="B1543" i="1"/>
  <c r="A1543" i="1" s="1"/>
  <c r="B3676" i="1"/>
  <c r="A3676" i="1" s="1"/>
  <c r="B3672" i="1"/>
  <c r="A3672" i="1" s="1"/>
  <c r="B3653" i="1"/>
  <c r="A3653" i="1" s="1"/>
  <c r="B3651" i="1"/>
  <c r="A3651" i="1" s="1"/>
  <c r="B3647" i="1"/>
  <c r="A3647" i="1" s="1"/>
  <c r="B3643" i="1"/>
  <c r="A3643" i="1" s="1"/>
  <c r="B3639" i="1"/>
  <c r="A3639" i="1" s="1"/>
  <c r="B3635" i="1"/>
  <c r="A3635" i="1" s="1"/>
  <c r="B3631" i="1"/>
  <c r="A3631" i="1" s="1"/>
  <c r="B3627" i="1"/>
  <c r="A3627" i="1" s="1"/>
  <c r="B3623" i="1"/>
  <c r="A3623" i="1" s="1"/>
  <c r="B3619" i="1"/>
  <c r="A3619" i="1" s="1"/>
  <c r="B3615" i="1"/>
  <c r="A3615" i="1" s="1"/>
  <c r="B3611" i="1"/>
  <c r="A3611" i="1" s="1"/>
  <c r="B3607" i="1"/>
  <c r="A3607" i="1" s="1"/>
  <c r="B3603" i="1"/>
  <c r="A3603" i="1" s="1"/>
  <c r="B3597" i="1"/>
  <c r="A3597" i="1" s="1"/>
  <c r="B3593" i="1"/>
  <c r="A3593" i="1" s="1"/>
  <c r="B3675" i="1"/>
  <c r="A3675" i="1" s="1"/>
  <c r="B3671" i="1"/>
  <c r="A3671" i="1" s="1"/>
  <c r="B3669" i="1"/>
  <c r="A3669" i="1" s="1"/>
  <c r="B3667" i="1"/>
  <c r="A3667" i="1" s="1"/>
  <c r="B3665" i="1"/>
  <c r="A3665" i="1" s="1"/>
  <c r="B3663" i="1"/>
  <c r="A3663" i="1" s="1"/>
  <c r="B3661" i="1"/>
  <c r="A3661" i="1" s="1"/>
  <c r="B3659" i="1"/>
  <c r="A3659" i="1" s="1"/>
  <c r="B3657" i="1"/>
  <c r="A3657" i="1" s="1"/>
  <c r="B3655" i="1"/>
  <c r="A3655" i="1" s="1"/>
  <c r="B3650" i="1"/>
  <c r="A3650" i="1" s="1"/>
  <c r="B3646" i="1"/>
  <c r="A3646" i="1" s="1"/>
  <c r="B3642" i="1"/>
  <c r="A3642" i="1" s="1"/>
  <c r="B3638" i="1"/>
  <c r="A3638" i="1" s="1"/>
  <c r="B3634" i="1"/>
  <c r="A3634" i="1" s="1"/>
  <c r="B3630" i="1"/>
  <c r="A3630" i="1" s="1"/>
  <c r="B3626" i="1"/>
  <c r="A3626" i="1" s="1"/>
  <c r="B3687" i="1"/>
  <c r="A3687" i="1" s="1"/>
  <c r="B3686" i="1"/>
  <c r="A3686" i="1" s="1"/>
  <c r="B3685" i="1"/>
  <c r="A3685" i="1" s="1"/>
  <c r="B3684" i="1"/>
  <c r="A3684" i="1" s="1"/>
  <c r="B3674" i="1"/>
  <c r="A3674" i="1" s="1"/>
  <c r="B3652" i="1"/>
  <c r="A3652" i="1" s="1"/>
  <c r="B3649" i="1"/>
  <c r="A3649" i="1" s="1"/>
  <c r="B3645" i="1"/>
  <c r="A3645" i="1" s="1"/>
  <c r="B3641" i="1"/>
  <c r="A3641" i="1" s="1"/>
  <c r="B3637" i="1"/>
  <c r="A3637" i="1" s="1"/>
  <c r="B3633" i="1"/>
  <c r="A3633" i="1" s="1"/>
  <c r="B3629" i="1"/>
  <c r="A3629" i="1" s="1"/>
  <c r="B3625" i="1"/>
  <c r="A3625" i="1" s="1"/>
  <c r="B3621" i="1"/>
  <c r="A3621" i="1" s="1"/>
  <c r="B3617" i="1"/>
  <c r="A3617" i="1" s="1"/>
  <c r="B3613" i="1"/>
  <c r="A3613" i="1" s="1"/>
  <c r="B3609" i="1"/>
  <c r="A3609" i="1" s="1"/>
  <c r="B3605" i="1"/>
  <c r="A3605" i="1" s="1"/>
  <c r="B3601" i="1"/>
  <c r="A3601" i="1" s="1"/>
  <c r="B3595" i="1"/>
  <c r="A3595" i="1" s="1"/>
  <c r="B3591" i="1"/>
  <c r="A3591" i="1" s="1"/>
  <c r="B3683" i="1"/>
  <c r="A3683" i="1" s="1"/>
  <c r="B3682" i="1"/>
  <c r="A3682" i="1" s="1"/>
  <c r="B3681" i="1"/>
  <c r="A3681" i="1" s="1"/>
  <c r="B3680" i="1"/>
  <c r="A3680" i="1" s="1"/>
  <c r="B3679" i="1"/>
  <c r="A3679" i="1" s="1"/>
  <c r="B3678" i="1"/>
  <c r="A3678" i="1" s="1"/>
  <c r="B3677" i="1"/>
  <c r="A3677" i="1" s="1"/>
  <c r="B3673" i="1"/>
  <c r="A3673" i="1" s="1"/>
  <c r="B3670" i="1"/>
  <c r="A3670" i="1" s="1"/>
  <c r="B3668" i="1"/>
  <c r="A3668" i="1" s="1"/>
  <c r="B3666" i="1"/>
  <c r="A3666" i="1" s="1"/>
  <c r="B3664" i="1"/>
  <c r="A3664" i="1" s="1"/>
  <c r="B3662" i="1"/>
  <c r="A3662" i="1" s="1"/>
  <c r="B3660" i="1"/>
  <c r="A3660" i="1" s="1"/>
  <c r="B3658" i="1"/>
  <c r="A3658" i="1" s="1"/>
  <c r="B3656" i="1"/>
  <c r="A3656" i="1" s="1"/>
  <c r="B3654" i="1"/>
  <c r="A3654" i="1" s="1"/>
  <c r="B3648" i="1"/>
  <c r="A3648" i="1" s="1"/>
  <c r="B3644" i="1"/>
  <c r="A3644" i="1" s="1"/>
  <c r="B3640" i="1"/>
  <c r="A3640" i="1" s="1"/>
  <c r="B3636" i="1"/>
  <c r="A3636" i="1" s="1"/>
  <c r="B3632" i="1"/>
  <c r="A3632" i="1" s="1"/>
  <c r="B3628" i="1"/>
  <c r="A3628" i="1" s="1"/>
  <c r="B3624" i="1"/>
  <c r="A3624" i="1" s="1"/>
  <c r="B3620" i="1"/>
  <c r="A3620" i="1" s="1"/>
  <c r="B3622" i="1"/>
  <c r="A3622" i="1" s="1"/>
  <c r="B3618" i="1"/>
  <c r="A3618" i="1" s="1"/>
  <c r="B3610" i="1"/>
  <c r="A3610" i="1" s="1"/>
  <c r="B3602" i="1"/>
  <c r="A3602" i="1" s="1"/>
  <c r="B3594" i="1"/>
  <c r="A3594" i="1" s="1"/>
  <c r="B3586" i="1"/>
  <c r="A3586" i="1" s="1"/>
  <c r="B3582" i="1"/>
  <c r="A3582" i="1" s="1"/>
  <c r="B3578" i="1"/>
  <c r="A3578" i="1" s="1"/>
  <c r="B3574" i="1"/>
  <c r="A3574" i="1" s="1"/>
  <c r="B3570" i="1"/>
  <c r="A3570" i="1" s="1"/>
  <c r="B3566" i="1"/>
  <c r="A3566" i="1" s="1"/>
  <c r="B3562" i="1"/>
  <c r="A3562" i="1" s="1"/>
  <c r="B3558" i="1"/>
  <c r="A3558" i="1" s="1"/>
  <c r="B3554" i="1"/>
  <c r="A3554" i="1" s="1"/>
  <c r="B3550" i="1"/>
  <c r="A3550" i="1" s="1"/>
  <c r="B3546" i="1"/>
  <c r="A3546" i="1" s="1"/>
  <c r="B3542" i="1"/>
  <c r="A3542" i="1" s="1"/>
  <c r="B3538" i="1"/>
  <c r="A3538" i="1" s="1"/>
  <c r="B3535" i="1"/>
  <c r="A3535" i="1" s="1"/>
  <c r="B3533" i="1"/>
  <c r="A3533" i="1" s="1"/>
  <c r="B3530" i="1"/>
  <c r="A3530" i="1" s="1"/>
  <c r="B3526" i="1"/>
  <c r="A3526" i="1" s="1"/>
  <c r="B3522" i="1"/>
  <c r="A3522" i="1" s="1"/>
  <c r="B3518" i="1"/>
  <c r="A3518" i="1" s="1"/>
  <c r="B3514" i="1"/>
  <c r="A3514" i="1" s="1"/>
  <c r="B3510" i="1"/>
  <c r="A3510" i="1" s="1"/>
  <c r="B3501" i="1"/>
  <c r="A3501" i="1" s="1"/>
  <c r="B3497" i="1"/>
  <c r="A3497" i="1" s="1"/>
  <c r="B3493" i="1"/>
  <c r="A3493" i="1" s="1"/>
  <c r="B3489" i="1"/>
  <c r="A3489" i="1" s="1"/>
  <c r="B3485" i="1"/>
  <c r="A3485" i="1" s="1"/>
  <c r="B3612" i="1"/>
  <c r="A3612" i="1" s="1"/>
  <c r="B3604" i="1"/>
  <c r="A3604" i="1" s="1"/>
  <c r="B3596" i="1"/>
  <c r="A3596" i="1" s="1"/>
  <c r="B3585" i="1"/>
  <c r="A3585" i="1" s="1"/>
  <c r="B3581" i="1"/>
  <c r="A3581" i="1" s="1"/>
  <c r="B3577" i="1"/>
  <c r="A3577" i="1" s="1"/>
  <c r="B3573" i="1"/>
  <c r="A3573" i="1" s="1"/>
  <c r="B3569" i="1"/>
  <c r="A3569" i="1" s="1"/>
  <c r="B3565" i="1"/>
  <c r="A3565" i="1" s="1"/>
  <c r="B3561" i="1"/>
  <c r="A3561" i="1" s="1"/>
  <c r="B3557" i="1"/>
  <c r="A3557" i="1" s="1"/>
  <c r="B3553" i="1"/>
  <c r="A3553" i="1" s="1"/>
  <c r="B3549" i="1"/>
  <c r="A3549" i="1" s="1"/>
  <c r="B3545" i="1"/>
  <c r="A3545" i="1" s="1"/>
  <c r="B3541" i="1"/>
  <c r="A3541" i="1" s="1"/>
  <c r="B3537" i="1"/>
  <c r="A3537" i="1" s="1"/>
  <c r="B3614" i="1"/>
  <c r="A3614" i="1" s="1"/>
  <c r="B3606" i="1"/>
  <c r="A3606" i="1" s="1"/>
  <c r="B3599" i="1"/>
  <c r="A3599" i="1" s="1"/>
  <c r="B3598" i="1"/>
  <c r="A3598" i="1" s="1"/>
  <c r="B3590" i="1"/>
  <c r="A3590" i="1" s="1"/>
  <c r="B3589" i="1"/>
  <c r="A3589" i="1" s="1"/>
  <c r="B3584" i="1"/>
  <c r="A3584" i="1" s="1"/>
  <c r="B3580" i="1"/>
  <c r="A3580" i="1" s="1"/>
  <c r="B3576" i="1"/>
  <c r="A3576" i="1" s="1"/>
  <c r="B3572" i="1"/>
  <c r="A3572" i="1" s="1"/>
  <c r="B3568" i="1"/>
  <c r="A3568" i="1" s="1"/>
  <c r="B3564" i="1"/>
  <c r="A3564" i="1" s="1"/>
  <c r="B3560" i="1"/>
  <c r="A3560" i="1" s="1"/>
  <c r="B3556" i="1"/>
  <c r="A3556" i="1" s="1"/>
  <c r="B3552" i="1"/>
  <c r="A3552" i="1" s="1"/>
  <c r="B3548" i="1"/>
  <c r="A3548" i="1" s="1"/>
  <c r="B3544" i="1"/>
  <c r="A3544" i="1" s="1"/>
  <c r="B3540" i="1"/>
  <c r="A3540" i="1" s="1"/>
  <c r="B3536" i="1"/>
  <c r="A3536" i="1" s="1"/>
  <c r="B3534" i="1"/>
  <c r="A3534" i="1" s="1"/>
  <c r="B3532" i="1"/>
  <c r="A3532" i="1" s="1"/>
  <c r="B3528" i="1"/>
  <c r="A3528" i="1" s="1"/>
  <c r="B3524" i="1"/>
  <c r="A3524" i="1" s="1"/>
  <c r="B3520" i="1"/>
  <c r="A3520" i="1" s="1"/>
  <c r="B3516" i="1"/>
  <c r="A3516" i="1" s="1"/>
  <c r="B3512" i="1"/>
  <c r="A3512" i="1" s="1"/>
  <c r="B3508" i="1"/>
  <c r="A3508" i="1" s="1"/>
  <c r="B3503" i="1"/>
  <c r="A3503" i="1" s="1"/>
  <c r="B3499" i="1"/>
  <c r="A3499" i="1" s="1"/>
  <c r="B3495" i="1"/>
  <c r="A3495" i="1" s="1"/>
  <c r="B3491" i="1"/>
  <c r="A3491" i="1" s="1"/>
  <c r="B3616" i="1"/>
  <c r="A3616" i="1" s="1"/>
  <c r="B3608" i="1"/>
  <c r="A3608" i="1" s="1"/>
  <c r="B3600" i="1"/>
  <c r="A3600" i="1" s="1"/>
  <c r="B3592" i="1"/>
  <c r="A3592" i="1" s="1"/>
  <c r="B3588" i="1"/>
  <c r="A3588" i="1" s="1"/>
  <c r="B3587" i="1"/>
  <c r="A3587" i="1" s="1"/>
  <c r="B3583" i="1"/>
  <c r="A3583" i="1" s="1"/>
  <c r="B3579" i="1"/>
  <c r="A3579" i="1" s="1"/>
  <c r="B3575" i="1"/>
  <c r="A3575" i="1" s="1"/>
  <c r="B3571" i="1"/>
  <c r="A3571" i="1" s="1"/>
  <c r="B3567" i="1"/>
  <c r="A3567" i="1" s="1"/>
  <c r="B3563" i="1"/>
  <c r="A3563" i="1" s="1"/>
  <c r="B3559" i="1"/>
  <c r="A3559" i="1" s="1"/>
  <c r="B3555" i="1"/>
  <c r="A3555" i="1" s="1"/>
  <c r="B3551" i="1"/>
  <c r="A3551" i="1" s="1"/>
  <c r="B3547" i="1"/>
  <c r="A3547" i="1" s="1"/>
  <c r="B3543" i="1"/>
  <c r="A3543" i="1" s="1"/>
  <c r="B3539" i="1"/>
  <c r="A3539" i="1" s="1"/>
  <c r="B3531" i="1"/>
  <c r="A3531" i="1" s="1"/>
  <c r="B3527" i="1"/>
  <c r="A3527" i="1" s="1"/>
  <c r="B3523" i="1"/>
  <c r="A3523" i="1" s="1"/>
  <c r="B3519" i="1"/>
  <c r="A3519" i="1" s="1"/>
  <c r="B3515" i="1"/>
  <c r="A3515" i="1" s="1"/>
  <c r="B3511" i="1"/>
  <c r="A3511" i="1" s="1"/>
  <c r="B3507" i="1"/>
  <c r="A3507" i="1" s="1"/>
  <c r="B3505" i="1"/>
  <c r="A3505" i="1" s="1"/>
  <c r="B3502" i="1"/>
  <c r="A3502" i="1" s="1"/>
  <c r="B3498" i="1"/>
  <c r="A3498" i="1" s="1"/>
  <c r="B3494" i="1"/>
  <c r="A3494" i="1" s="1"/>
  <c r="B3490" i="1"/>
  <c r="A3490" i="1" s="1"/>
  <c r="B3529" i="1"/>
  <c r="A3529" i="1" s="1"/>
  <c r="B3525" i="1"/>
  <c r="A3525" i="1" s="1"/>
  <c r="B3521" i="1"/>
  <c r="A3521" i="1" s="1"/>
  <c r="B3517" i="1"/>
  <c r="A3517" i="1" s="1"/>
  <c r="B3513" i="1"/>
  <c r="A3513" i="1" s="1"/>
  <c r="B3509" i="1"/>
  <c r="A3509" i="1" s="1"/>
  <c r="B3506" i="1"/>
  <c r="A3506" i="1" s="1"/>
  <c r="B3492" i="1"/>
  <c r="A3492" i="1" s="1"/>
  <c r="B3488" i="1"/>
  <c r="A3488" i="1" s="1"/>
  <c r="B3480" i="1"/>
  <c r="A3480" i="1" s="1"/>
  <c r="B3476" i="1"/>
  <c r="A3476" i="1" s="1"/>
  <c r="B3471" i="1"/>
  <c r="A3471" i="1" s="1"/>
  <c r="B3467" i="1"/>
  <c r="A3467" i="1" s="1"/>
  <c r="B3463" i="1"/>
  <c r="A3463" i="1" s="1"/>
  <c r="B3459" i="1"/>
  <c r="A3459" i="1" s="1"/>
  <c r="B3455" i="1"/>
  <c r="A3455" i="1" s="1"/>
  <c r="B3450" i="1"/>
  <c r="A3450" i="1" s="1"/>
  <c r="B3446" i="1"/>
  <c r="A3446" i="1" s="1"/>
  <c r="B3440" i="1"/>
  <c r="A3440" i="1" s="1"/>
  <c r="B3437" i="1"/>
  <c r="A3437" i="1" s="1"/>
  <c r="B3433" i="1"/>
  <c r="A3433" i="1" s="1"/>
  <c r="B3429" i="1"/>
  <c r="A3429" i="1" s="1"/>
  <c r="B3425" i="1"/>
  <c r="A3425" i="1" s="1"/>
  <c r="B3421" i="1"/>
  <c r="A3421" i="1" s="1"/>
  <c r="B3417" i="1"/>
  <c r="A3417" i="1" s="1"/>
  <c r="B3413" i="1"/>
  <c r="A3413" i="1" s="1"/>
  <c r="B3409" i="1"/>
  <c r="A3409" i="1" s="1"/>
  <c r="B3402" i="1"/>
  <c r="A3402" i="1" s="1"/>
  <c r="B3400" i="1"/>
  <c r="A3400" i="1" s="1"/>
  <c r="B3398" i="1"/>
  <c r="A3398" i="1" s="1"/>
  <c r="B3496" i="1"/>
  <c r="A3496" i="1" s="1"/>
  <c r="B3487" i="1"/>
  <c r="A3487" i="1" s="1"/>
  <c r="B3483" i="1"/>
  <c r="A3483" i="1" s="1"/>
  <c r="B3479" i="1"/>
  <c r="A3479" i="1" s="1"/>
  <c r="B3475" i="1"/>
  <c r="A3475" i="1" s="1"/>
  <c r="B3473" i="1"/>
  <c r="A3473" i="1" s="1"/>
  <c r="B3470" i="1"/>
  <c r="A3470" i="1" s="1"/>
  <c r="B3466" i="1"/>
  <c r="A3466" i="1" s="1"/>
  <c r="B3462" i="1"/>
  <c r="A3462" i="1" s="1"/>
  <c r="B3458" i="1"/>
  <c r="A3458" i="1" s="1"/>
  <c r="B3454" i="1"/>
  <c r="A3454" i="1" s="1"/>
  <c r="B3449" i="1"/>
  <c r="A3449" i="1" s="1"/>
  <c r="B3445" i="1"/>
  <c r="A3445" i="1" s="1"/>
  <c r="B3442" i="1"/>
  <c r="A3442" i="1" s="1"/>
  <c r="B3436" i="1"/>
  <c r="A3436" i="1" s="1"/>
  <c r="B3432" i="1"/>
  <c r="A3432" i="1" s="1"/>
  <c r="B3428" i="1"/>
  <c r="A3428" i="1" s="1"/>
  <c r="B3424" i="1"/>
  <c r="A3424" i="1" s="1"/>
  <c r="B3420" i="1"/>
  <c r="A3420" i="1" s="1"/>
  <c r="B3416" i="1"/>
  <c r="A3416" i="1" s="1"/>
  <c r="B3412" i="1"/>
  <c r="A3412" i="1" s="1"/>
  <c r="B3408" i="1"/>
  <c r="A3408" i="1" s="1"/>
  <c r="B3406" i="1"/>
  <c r="A3406" i="1" s="1"/>
  <c r="B3404" i="1"/>
  <c r="A3404" i="1" s="1"/>
  <c r="B3393" i="1"/>
  <c r="A3393" i="1" s="1"/>
  <c r="B3389" i="1"/>
  <c r="A3389" i="1" s="1"/>
  <c r="B3385" i="1"/>
  <c r="A3385" i="1" s="1"/>
  <c r="B3500" i="1"/>
  <c r="A3500" i="1" s="1"/>
  <c r="B3486" i="1"/>
  <c r="A3486" i="1" s="1"/>
  <c r="B3482" i="1"/>
  <c r="A3482" i="1" s="1"/>
  <c r="B3478" i="1"/>
  <c r="A3478" i="1" s="1"/>
  <c r="B3469" i="1"/>
  <c r="A3469" i="1" s="1"/>
  <c r="B3465" i="1"/>
  <c r="A3465" i="1" s="1"/>
  <c r="B3461" i="1"/>
  <c r="A3461" i="1" s="1"/>
  <c r="B3457" i="1"/>
  <c r="A3457" i="1" s="1"/>
  <c r="B3453" i="1"/>
  <c r="A3453" i="1" s="1"/>
  <c r="B3451" i="1"/>
  <c r="A3451" i="1" s="1"/>
  <c r="B3448" i="1"/>
  <c r="A3448" i="1" s="1"/>
  <c r="B3444" i="1"/>
  <c r="A3444" i="1" s="1"/>
  <c r="B3439" i="1"/>
  <c r="A3439" i="1" s="1"/>
  <c r="B3435" i="1"/>
  <c r="A3435" i="1" s="1"/>
  <c r="B3431" i="1"/>
  <c r="A3431" i="1" s="1"/>
  <c r="B3427" i="1"/>
  <c r="A3427" i="1" s="1"/>
  <c r="B3423" i="1"/>
  <c r="A3423" i="1" s="1"/>
  <c r="B3419" i="1"/>
  <c r="A3419" i="1" s="1"/>
  <c r="B3415" i="1"/>
  <c r="A3415" i="1" s="1"/>
  <c r="B3411" i="1"/>
  <c r="A3411" i="1" s="1"/>
  <c r="B3401" i="1"/>
  <c r="A3401" i="1" s="1"/>
  <c r="B3399" i="1"/>
  <c r="A3399" i="1" s="1"/>
  <c r="B3397" i="1"/>
  <c r="A3397" i="1" s="1"/>
  <c r="B3395" i="1"/>
  <c r="A3395" i="1" s="1"/>
  <c r="B3392" i="1"/>
  <c r="A3392" i="1" s="1"/>
  <c r="B3388" i="1"/>
  <c r="A3388" i="1" s="1"/>
  <c r="B3384" i="1"/>
  <c r="A3384" i="1" s="1"/>
  <c r="B3504" i="1"/>
  <c r="A3504" i="1" s="1"/>
  <c r="B3484" i="1"/>
  <c r="A3484" i="1" s="1"/>
  <c r="B3481" i="1"/>
  <c r="A3481" i="1" s="1"/>
  <c r="B3477" i="1"/>
  <c r="A3477" i="1" s="1"/>
  <c r="B3474" i="1"/>
  <c r="A3474" i="1" s="1"/>
  <c r="B3472" i="1"/>
  <c r="A3472" i="1" s="1"/>
  <c r="B3468" i="1"/>
  <c r="A3468" i="1" s="1"/>
  <c r="B3464" i="1"/>
  <c r="A3464" i="1" s="1"/>
  <c r="B3460" i="1"/>
  <c r="A3460" i="1" s="1"/>
  <c r="B3456" i="1"/>
  <c r="A3456" i="1" s="1"/>
  <c r="B3452" i="1"/>
  <c r="A3452" i="1" s="1"/>
  <c r="B3447" i="1"/>
  <c r="A3447" i="1" s="1"/>
  <c r="B3443" i="1"/>
  <c r="A3443" i="1" s="1"/>
  <c r="B3441" i="1"/>
  <c r="A3441" i="1" s="1"/>
  <c r="B3438" i="1"/>
  <c r="A3438" i="1" s="1"/>
  <c r="B3434" i="1"/>
  <c r="A3434" i="1" s="1"/>
  <c r="B3430" i="1"/>
  <c r="A3430" i="1" s="1"/>
  <c r="B3426" i="1"/>
  <c r="A3426" i="1" s="1"/>
  <c r="B3422" i="1"/>
  <c r="A3422" i="1" s="1"/>
  <c r="B3418" i="1"/>
  <c r="A3418" i="1" s="1"/>
  <c r="B3414" i="1"/>
  <c r="A3414" i="1" s="1"/>
  <c r="B3410" i="1"/>
  <c r="A3410" i="1" s="1"/>
  <c r="B3407" i="1"/>
  <c r="A3407" i="1" s="1"/>
  <c r="B3405" i="1"/>
  <c r="A3405" i="1" s="1"/>
  <c r="B3403" i="1"/>
  <c r="A3403" i="1" s="1"/>
  <c r="B3391" i="1"/>
  <c r="A3391" i="1" s="1"/>
  <c r="B3387" i="1"/>
  <c r="A3387" i="1" s="1"/>
  <c r="B3383" i="1"/>
  <c r="A3383" i="1" s="1"/>
  <c r="B3379" i="1"/>
  <c r="A3379" i="1" s="1"/>
  <c r="B3376" i="1"/>
  <c r="A3376" i="1" s="1"/>
  <c r="B3375" i="1"/>
  <c r="A3375" i="1" s="1"/>
  <c r="B3371" i="1"/>
  <c r="A3371" i="1" s="1"/>
  <c r="B3367" i="1"/>
  <c r="A3367" i="1" s="1"/>
  <c r="B3363" i="1"/>
  <c r="A3363" i="1" s="1"/>
  <c r="B3359" i="1"/>
  <c r="A3359" i="1" s="1"/>
  <c r="B3355" i="1"/>
  <c r="A3355" i="1" s="1"/>
  <c r="B3351" i="1"/>
  <c r="A3351" i="1" s="1"/>
  <c r="B3347" i="1"/>
  <c r="A3347" i="1" s="1"/>
  <c r="B3343" i="1"/>
  <c r="A3343" i="1" s="1"/>
  <c r="B3339" i="1"/>
  <c r="A3339" i="1" s="1"/>
  <c r="B3335" i="1"/>
  <c r="A3335" i="1" s="1"/>
  <c r="B3331" i="1"/>
  <c r="A3331" i="1" s="1"/>
  <c r="B3327" i="1"/>
  <c r="A3327" i="1" s="1"/>
  <c r="B3323" i="1"/>
  <c r="A3323" i="1" s="1"/>
  <c r="B3316" i="1"/>
  <c r="A3316" i="1" s="1"/>
  <c r="B3311" i="1"/>
  <c r="A3311" i="1" s="1"/>
  <c r="B3309" i="1"/>
  <c r="A3309" i="1" s="1"/>
  <c r="B3306" i="1"/>
  <c r="A3306" i="1" s="1"/>
  <c r="B3302" i="1"/>
  <c r="A3302" i="1" s="1"/>
  <c r="B3298" i="1"/>
  <c r="A3298" i="1" s="1"/>
  <c r="B3294" i="1"/>
  <c r="A3294" i="1" s="1"/>
  <c r="B3290" i="1"/>
  <c r="A3290" i="1" s="1"/>
  <c r="B3286" i="1"/>
  <c r="A3286" i="1" s="1"/>
  <c r="B3282" i="1"/>
  <c r="A3282" i="1" s="1"/>
  <c r="B3278" i="1"/>
  <c r="A3278" i="1" s="1"/>
  <c r="B3396" i="1"/>
  <c r="A3396" i="1" s="1"/>
  <c r="B3386" i="1"/>
  <c r="A3386" i="1" s="1"/>
  <c r="B3382" i="1"/>
  <c r="A3382" i="1" s="1"/>
  <c r="B3378" i="1"/>
  <c r="A3378" i="1" s="1"/>
  <c r="B3374" i="1"/>
  <c r="A3374" i="1" s="1"/>
  <c r="B3370" i="1"/>
  <c r="A3370" i="1" s="1"/>
  <c r="B3366" i="1"/>
  <c r="A3366" i="1" s="1"/>
  <c r="B3362" i="1"/>
  <c r="A3362" i="1" s="1"/>
  <c r="B3358" i="1"/>
  <c r="A3358" i="1" s="1"/>
  <c r="B3354" i="1"/>
  <c r="A3354" i="1" s="1"/>
  <c r="B3350" i="1"/>
  <c r="A3350" i="1" s="1"/>
  <c r="B3346" i="1"/>
  <c r="A3346" i="1" s="1"/>
  <c r="B3342" i="1"/>
  <c r="A3342" i="1" s="1"/>
  <c r="B3338" i="1"/>
  <c r="A3338" i="1" s="1"/>
  <c r="B3334" i="1"/>
  <c r="A3334" i="1" s="1"/>
  <c r="B3330" i="1"/>
  <c r="A3330" i="1" s="1"/>
  <c r="B3326" i="1"/>
  <c r="A3326" i="1" s="1"/>
  <c r="B3322" i="1"/>
  <c r="A3322" i="1" s="1"/>
  <c r="B3319" i="1"/>
  <c r="A3319" i="1" s="1"/>
  <c r="B3313" i="1"/>
  <c r="A3313" i="1" s="1"/>
  <c r="B3305" i="1"/>
  <c r="A3305" i="1" s="1"/>
  <c r="B3301" i="1"/>
  <c r="A3301" i="1" s="1"/>
  <c r="B3297" i="1"/>
  <c r="A3297" i="1" s="1"/>
  <c r="B3293" i="1"/>
  <c r="A3293" i="1" s="1"/>
  <c r="B3289" i="1"/>
  <c r="A3289" i="1" s="1"/>
  <c r="B3285" i="1"/>
  <c r="A3285" i="1" s="1"/>
  <c r="B3281" i="1"/>
  <c r="A3281" i="1" s="1"/>
  <c r="B3277" i="1"/>
  <c r="A3277" i="1" s="1"/>
  <c r="B3273" i="1"/>
  <c r="A3273" i="1" s="1"/>
  <c r="B3269" i="1"/>
  <c r="A3269" i="1" s="1"/>
  <c r="B3390" i="1"/>
  <c r="A3390" i="1" s="1"/>
  <c r="B3381" i="1"/>
  <c r="A3381" i="1" s="1"/>
  <c r="B3380" i="1"/>
  <c r="A3380" i="1" s="1"/>
  <c r="B3377" i="1"/>
  <c r="A3377" i="1" s="1"/>
  <c r="B3373" i="1"/>
  <c r="A3373" i="1" s="1"/>
  <c r="B3369" i="1"/>
  <c r="A3369" i="1" s="1"/>
  <c r="B3365" i="1"/>
  <c r="A3365" i="1" s="1"/>
  <c r="B3361" i="1"/>
  <c r="A3361" i="1" s="1"/>
  <c r="B3357" i="1"/>
  <c r="A3357" i="1" s="1"/>
  <c r="B3353" i="1"/>
  <c r="A3353" i="1" s="1"/>
  <c r="B3349" i="1"/>
  <c r="A3349" i="1" s="1"/>
  <c r="B3345" i="1"/>
  <c r="A3345" i="1" s="1"/>
  <c r="B3341" i="1"/>
  <c r="A3341" i="1" s="1"/>
  <c r="B3337" i="1"/>
  <c r="A3337" i="1" s="1"/>
  <c r="B3333" i="1"/>
  <c r="A3333" i="1" s="1"/>
  <c r="B3329" i="1"/>
  <c r="A3329" i="1" s="1"/>
  <c r="B3325" i="1"/>
  <c r="A3325" i="1" s="1"/>
  <c r="B3321" i="1"/>
  <c r="A3321" i="1" s="1"/>
  <c r="B3318" i="1"/>
  <c r="A3318" i="1" s="1"/>
  <c r="B3315" i="1"/>
  <c r="A3315" i="1" s="1"/>
  <c r="B3312" i="1"/>
  <c r="A3312" i="1" s="1"/>
  <c r="B3310" i="1"/>
  <c r="A3310" i="1" s="1"/>
  <c r="B3308" i="1"/>
  <c r="A3308" i="1" s="1"/>
  <c r="B3304" i="1"/>
  <c r="A3304" i="1" s="1"/>
  <c r="B3300" i="1"/>
  <c r="A3300" i="1" s="1"/>
  <c r="B3296" i="1"/>
  <c r="A3296" i="1" s="1"/>
  <c r="B3292" i="1"/>
  <c r="A3292" i="1" s="1"/>
  <c r="B3394" i="1"/>
  <c r="A3394" i="1" s="1"/>
  <c r="B3372" i="1"/>
  <c r="A3372" i="1" s="1"/>
  <c r="B3368" i="1"/>
  <c r="A3368" i="1" s="1"/>
  <c r="B3364" i="1"/>
  <c r="A3364" i="1" s="1"/>
  <c r="B3360" i="1"/>
  <c r="A3360" i="1" s="1"/>
  <c r="B3356" i="1"/>
  <c r="A3356" i="1" s="1"/>
  <c r="B3352" i="1"/>
  <c r="A3352" i="1" s="1"/>
  <c r="B3348" i="1"/>
  <c r="A3348" i="1" s="1"/>
  <c r="B3344" i="1"/>
  <c r="A3344" i="1" s="1"/>
  <c r="B3340" i="1"/>
  <c r="A3340" i="1" s="1"/>
  <c r="B3336" i="1"/>
  <c r="A3336" i="1" s="1"/>
  <c r="B3332" i="1"/>
  <c r="A3332" i="1" s="1"/>
  <c r="B3328" i="1"/>
  <c r="A3328" i="1" s="1"/>
  <c r="B3324" i="1"/>
  <c r="A3324" i="1" s="1"/>
  <c r="B3320" i="1"/>
  <c r="A3320" i="1" s="1"/>
  <c r="B3317" i="1"/>
  <c r="A3317" i="1" s="1"/>
  <c r="B3314" i="1"/>
  <c r="A3314" i="1" s="1"/>
  <c r="B3307" i="1"/>
  <c r="A3307" i="1" s="1"/>
  <c r="B3303" i="1"/>
  <c r="A3303" i="1" s="1"/>
  <c r="B3299" i="1"/>
  <c r="A3299" i="1" s="1"/>
  <c r="B3295" i="1"/>
  <c r="A3295" i="1" s="1"/>
  <c r="B3291" i="1"/>
  <c r="A3291" i="1" s="1"/>
  <c r="B3287" i="1"/>
  <c r="A3287" i="1" s="1"/>
  <c r="B3284" i="1"/>
  <c r="A3284" i="1" s="1"/>
  <c r="B3276" i="1"/>
  <c r="A3276" i="1" s="1"/>
  <c r="B3266" i="1"/>
  <c r="A3266" i="1" s="1"/>
  <c r="B3265" i="1"/>
  <c r="A3265" i="1" s="1"/>
  <c r="B3261" i="1"/>
  <c r="A3261" i="1" s="1"/>
  <c r="B3257" i="1"/>
  <c r="A3257" i="1" s="1"/>
  <c r="B3253" i="1"/>
  <c r="A3253" i="1" s="1"/>
  <c r="B3249" i="1"/>
  <c r="A3249" i="1" s="1"/>
  <c r="B3245" i="1"/>
  <c r="A3245" i="1" s="1"/>
  <c r="B3241" i="1"/>
  <c r="A3241" i="1" s="1"/>
  <c r="B3238" i="1"/>
  <c r="A3238" i="1" s="1"/>
  <c r="B3235" i="1"/>
  <c r="A3235" i="1" s="1"/>
  <c r="B3231" i="1"/>
  <c r="A3231" i="1" s="1"/>
  <c r="B3228" i="1"/>
  <c r="A3228" i="1" s="1"/>
  <c r="B3224" i="1"/>
  <c r="A3224" i="1" s="1"/>
  <c r="B3220" i="1"/>
  <c r="A3220" i="1" s="1"/>
  <c r="B3216" i="1"/>
  <c r="A3216" i="1" s="1"/>
  <c r="B3212" i="1"/>
  <c r="A3212" i="1" s="1"/>
  <c r="B3208" i="1"/>
  <c r="A3208" i="1" s="1"/>
  <c r="B3204" i="1"/>
  <c r="A3204" i="1" s="1"/>
  <c r="B3200" i="1"/>
  <c r="A3200" i="1" s="1"/>
  <c r="B3196" i="1"/>
  <c r="A3196" i="1" s="1"/>
  <c r="B3192" i="1"/>
  <c r="A3192" i="1" s="1"/>
  <c r="B3188" i="1"/>
  <c r="A3188" i="1" s="1"/>
  <c r="B3184" i="1"/>
  <c r="A3184" i="1" s="1"/>
  <c r="B3180" i="1"/>
  <c r="A3180" i="1" s="1"/>
  <c r="B3176" i="1"/>
  <c r="A3176" i="1" s="1"/>
  <c r="B3172" i="1"/>
  <c r="A3172" i="1" s="1"/>
  <c r="B3168" i="1"/>
  <c r="A3168" i="1" s="1"/>
  <c r="B3164" i="1"/>
  <c r="A3164" i="1" s="1"/>
  <c r="B3160" i="1"/>
  <c r="A3160" i="1" s="1"/>
  <c r="B3156" i="1"/>
  <c r="A3156" i="1" s="1"/>
  <c r="B3152" i="1"/>
  <c r="A3152" i="1" s="1"/>
  <c r="B3148" i="1"/>
  <c r="A3148" i="1" s="1"/>
  <c r="B3144" i="1"/>
  <c r="A3144" i="1" s="1"/>
  <c r="B3140" i="1"/>
  <c r="A3140" i="1" s="1"/>
  <c r="B3136" i="1"/>
  <c r="A3136" i="1" s="1"/>
  <c r="B3132" i="1"/>
  <c r="A3132" i="1" s="1"/>
  <c r="B3128" i="1"/>
  <c r="A3128" i="1" s="1"/>
  <c r="B3124" i="1"/>
  <c r="A3124" i="1" s="1"/>
  <c r="B3120" i="1"/>
  <c r="A3120" i="1" s="1"/>
  <c r="B3116" i="1"/>
  <c r="A3116" i="1" s="1"/>
  <c r="B3112" i="1"/>
  <c r="A3112" i="1" s="1"/>
  <c r="B3108" i="1"/>
  <c r="A3108" i="1" s="1"/>
  <c r="B3104" i="1"/>
  <c r="A3104" i="1" s="1"/>
  <c r="B3100" i="1"/>
  <c r="A3100" i="1" s="1"/>
  <c r="B3096" i="1"/>
  <c r="A3096" i="1" s="1"/>
  <c r="B3093" i="1"/>
  <c r="A3093" i="1" s="1"/>
  <c r="B3089" i="1"/>
  <c r="A3089" i="1" s="1"/>
  <c r="B3085" i="1"/>
  <c r="A3085" i="1" s="1"/>
  <c r="B3081" i="1"/>
  <c r="A3081" i="1" s="1"/>
  <c r="B3075" i="1"/>
  <c r="A3075" i="1" s="1"/>
  <c r="B3071" i="1"/>
  <c r="A3071" i="1" s="1"/>
  <c r="B3067" i="1"/>
  <c r="A3067" i="1" s="1"/>
  <c r="B3063" i="1"/>
  <c r="A3063" i="1" s="1"/>
  <c r="B3059" i="1"/>
  <c r="A3059" i="1" s="1"/>
  <c r="B3055" i="1"/>
  <c r="A3055" i="1" s="1"/>
  <c r="B3288" i="1"/>
  <c r="A3288" i="1" s="1"/>
  <c r="B3283" i="1"/>
  <c r="A3283" i="1" s="1"/>
  <c r="B3275" i="1"/>
  <c r="A3275" i="1" s="1"/>
  <c r="B3272" i="1"/>
  <c r="A3272" i="1" s="1"/>
  <c r="B3264" i="1"/>
  <c r="A3264" i="1" s="1"/>
  <c r="B3260" i="1"/>
  <c r="A3260" i="1" s="1"/>
  <c r="B3256" i="1"/>
  <c r="A3256" i="1" s="1"/>
  <c r="B3252" i="1"/>
  <c r="A3252" i="1" s="1"/>
  <c r="B3248" i="1"/>
  <c r="A3248" i="1" s="1"/>
  <c r="B3244" i="1"/>
  <c r="A3244" i="1" s="1"/>
  <c r="B3240" i="1"/>
  <c r="A3240" i="1" s="1"/>
  <c r="B3234" i="1"/>
  <c r="A3234" i="1" s="1"/>
  <c r="B3227" i="1"/>
  <c r="A3227" i="1" s="1"/>
  <c r="B3223" i="1"/>
  <c r="A3223" i="1" s="1"/>
  <c r="B3219" i="1"/>
  <c r="A3219" i="1" s="1"/>
  <c r="B3215" i="1"/>
  <c r="A3215" i="1" s="1"/>
  <c r="B3211" i="1"/>
  <c r="A3211" i="1" s="1"/>
  <c r="B3207" i="1"/>
  <c r="A3207" i="1" s="1"/>
  <c r="B3203" i="1"/>
  <c r="A3203" i="1" s="1"/>
  <c r="B3199" i="1"/>
  <c r="A3199" i="1" s="1"/>
  <c r="B3195" i="1"/>
  <c r="A3195" i="1" s="1"/>
  <c r="B3191" i="1"/>
  <c r="A3191" i="1" s="1"/>
  <c r="B3187" i="1"/>
  <c r="A3187" i="1" s="1"/>
  <c r="B3183" i="1"/>
  <c r="A3183" i="1" s="1"/>
  <c r="B3179" i="1"/>
  <c r="A3179" i="1" s="1"/>
  <c r="B3175" i="1"/>
  <c r="A3175" i="1" s="1"/>
  <c r="B3171" i="1"/>
  <c r="A3171" i="1" s="1"/>
  <c r="B3167" i="1"/>
  <c r="A3167" i="1" s="1"/>
  <c r="B3163" i="1"/>
  <c r="A3163" i="1" s="1"/>
  <c r="B3159" i="1"/>
  <c r="A3159" i="1" s="1"/>
  <c r="B3155" i="1"/>
  <c r="A3155" i="1" s="1"/>
  <c r="B3151" i="1"/>
  <c r="A3151" i="1" s="1"/>
  <c r="B3147" i="1"/>
  <c r="A3147" i="1" s="1"/>
  <c r="B3143" i="1"/>
  <c r="A3143" i="1" s="1"/>
  <c r="B3139" i="1"/>
  <c r="A3139" i="1" s="1"/>
  <c r="B3135" i="1"/>
  <c r="A3135" i="1" s="1"/>
  <c r="B3131" i="1"/>
  <c r="A3131" i="1" s="1"/>
  <c r="B3127" i="1"/>
  <c r="A3127" i="1" s="1"/>
  <c r="B3123" i="1"/>
  <c r="A3123" i="1" s="1"/>
  <c r="B3119" i="1"/>
  <c r="A3119" i="1" s="1"/>
  <c r="B3115" i="1"/>
  <c r="A3115" i="1" s="1"/>
  <c r="B3111" i="1"/>
  <c r="A3111" i="1" s="1"/>
  <c r="B3107" i="1"/>
  <c r="A3107" i="1" s="1"/>
  <c r="B3103" i="1"/>
  <c r="A3103" i="1" s="1"/>
  <c r="B3099" i="1"/>
  <c r="A3099" i="1" s="1"/>
  <c r="B3095" i="1"/>
  <c r="A3095" i="1" s="1"/>
  <c r="B3092" i="1"/>
  <c r="A3092" i="1" s="1"/>
  <c r="B3088" i="1"/>
  <c r="A3088" i="1" s="1"/>
  <c r="B3084" i="1"/>
  <c r="A3084" i="1" s="1"/>
  <c r="B3080" i="1"/>
  <c r="A3080" i="1" s="1"/>
  <c r="B3077" i="1"/>
  <c r="A3077" i="1" s="1"/>
  <c r="B3074" i="1"/>
  <c r="A3074" i="1" s="1"/>
  <c r="B3070" i="1"/>
  <c r="A3070" i="1" s="1"/>
  <c r="B3066" i="1"/>
  <c r="A3066" i="1" s="1"/>
  <c r="B3062" i="1"/>
  <c r="A3062" i="1" s="1"/>
  <c r="B3058" i="1"/>
  <c r="A3058" i="1" s="1"/>
  <c r="B3054" i="1"/>
  <c r="A3054" i="1" s="1"/>
  <c r="B3280" i="1"/>
  <c r="A3280" i="1" s="1"/>
  <c r="B3274" i="1"/>
  <c r="A3274" i="1" s="1"/>
  <c r="B3271" i="1"/>
  <c r="A3271" i="1" s="1"/>
  <c r="B3268" i="1"/>
  <c r="A3268" i="1" s="1"/>
  <c r="B3263" i="1"/>
  <c r="A3263" i="1" s="1"/>
  <c r="B3259" i="1"/>
  <c r="A3259" i="1" s="1"/>
  <c r="B3255" i="1"/>
  <c r="A3255" i="1" s="1"/>
  <c r="B3251" i="1"/>
  <c r="A3251" i="1" s="1"/>
  <c r="B3247" i="1"/>
  <c r="A3247" i="1" s="1"/>
  <c r="B3243" i="1"/>
  <c r="A3243" i="1" s="1"/>
  <c r="B3239" i="1"/>
  <c r="A3239" i="1" s="1"/>
  <c r="B3237" i="1"/>
  <c r="A3237" i="1" s="1"/>
  <c r="B3233" i="1"/>
  <c r="A3233" i="1" s="1"/>
  <c r="B3230" i="1"/>
  <c r="A3230" i="1" s="1"/>
  <c r="B3226" i="1"/>
  <c r="A3226" i="1" s="1"/>
  <c r="B3222" i="1"/>
  <c r="A3222" i="1" s="1"/>
  <c r="B3218" i="1"/>
  <c r="A3218" i="1" s="1"/>
  <c r="B3214" i="1"/>
  <c r="A3214" i="1" s="1"/>
  <c r="B3210" i="1"/>
  <c r="A3210" i="1" s="1"/>
  <c r="B3206" i="1"/>
  <c r="A3206" i="1" s="1"/>
  <c r="B3202" i="1"/>
  <c r="A3202" i="1" s="1"/>
  <c r="B3198" i="1"/>
  <c r="A3198" i="1" s="1"/>
  <c r="B3194" i="1"/>
  <c r="A3194" i="1" s="1"/>
  <c r="B3190" i="1"/>
  <c r="A3190" i="1" s="1"/>
  <c r="B3186" i="1"/>
  <c r="A3186" i="1" s="1"/>
  <c r="B3182" i="1"/>
  <c r="A3182" i="1" s="1"/>
  <c r="B3178" i="1"/>
  <c r="A3178" i="1" s="1"/>
  <c r="B3174" i="1"/>
  <c r="A3174" i="1" s="1"/>
  <c r="B3170" i="1"/>
  <c r="A3170" i="1" s="1"/>
  <c r="B3166" i="1"/>
  <c r="A3166" i="1" s="1"/>
  <c r="B3162" i="1"/>
  <c r="A3162" i="1" s="1"/>
  <c r="B3158" i="1"/>
  <c r="A3158" i="1" s="1"/>
  <c r="B3154" i="1"/>
  <c r="A3154" i="1" s="1"/>
  <c r="B3150" i="1"/>
  <c r="A3150" i="1" s="1"/>
  <c r="B3146" i="1"/>
  <c r="A3146" i="1" s="1"/>
  <c r="B3142" i="1"/>
  <c r="A3142" i="1" s="1"/>
  <c r="B3138" i="1"/>
  <c r="A3138" i="1" s="1"/>
  <c r="B3134" i="1"/>
  <c r="A3134" i="1" s="1"/>
  <c r="B3130" i="1"/>
  <c r="A3130" i="1" s="1"/>
  <c r="B3126" i="1"/>
  <c r="A3126" i="1" s="1"/>
  <c r="B3122" i="1"/>
  <c r="A3122" i="1" s="1"/>
  <c r="B3118" i="1"/>
  <c r="A3118" i="1" s="1"/>
  <c r="B3114" i="1"/>
  <c r="A3114" i="1" s="1"/>
  <c r="B3110" i="1"/>
  <c r="A3110" i="1" s="1"/>
  <c r="B3106" i="1"/>
  <c r="A3106" i="1" s="1"/>
  <c r="B3102" i="1"/>
  <c r="A3102" i="1" s="1"/>
  <c r="B3098" i="1"/>
  <c r="A3098" i="1" s="1"/>
  <c r="B3091" i="1"/>
  <c r="A3091" i="1" s="1"/>
  <c r="B3087" i="1"/>
  <c r="A3087" i="1" s="1"/>
  <c r="B3083" i="1"/>
  <c r="A3083" i="1" s="1"/>
  <c r="B3079" i="1"/>
  <c r="A3079" i="1" s="1"/>
  <c r="B3073" i="1"/>
  <c r="A3073" i="1" s="1"/>
  <c r="B3069" i="1"/>
  <c r="A3069" i="1" s="1"/>
  <c r="B3065" i="1"/>
  <c r="A3065" i="1" s="1"/>
  <c r="B3061" i="1"/>
  <c r="A3061" i="1" s="1"/>
  <c r="B3057" i="1"/>
  <c r="A3057" i="1" s="1"/>
  <c r="B3053" i="1"/>
  <c r="A3053" i="1" s="1"/>
  <c r="B3049" i="1"/>
  <c r="A3049" i="1" s="1"/>
  <c r="B3279" i="1"/>
  <c r="A3279" i="1" s="1"/>
  <c r="B3270" i="1"/>
  <c r="A3270" i="1" s="1"/>
  <c r="B3267" i="1"/>
  <c r="A3267" i="1" s="1"/>
  <c r="B3262" i="1"/>
  <c r="A3262" i="1" s="1"/>
  <c r="B3258" i="1"/>
  <c r="A3258" i="1" s="1"/>
  <c r="B3254" i="1"/>
  <c r="A3254" i="1" s="1"/>
  <c r="B3250" i="1"/>
  <c r="A3250" i="1" s="1"/>
  <c r="B3246" i="1"/>
  <c r="A3246" i="1" s="1"/>
  <c r="B3242" i="1"/>
  <c r="A3242" i="1" s="1"/>
  <c r="B3236" i="1"/>
  <c r="A3236" i="1" s="1"/>
  <c r="B3232" i="1"/>
  <c r="A3232" i="1" s="1"/>
  <c r="B3229" i="1"/>
  <c r="A3229" i="1" s="1"/>
  <c r="B3225" i="1"/>
  <c r="A3225" i="1" s="1"/>
  <c r="B3221" i="1"/>
  <c r="A3221" i="1" s="1"/>
  <c r="B3217" i="1"/>
  <c r="A3217" i="1" s="1"/>
  <c r="B3213" i="1"/>
  <c r="A3213" i="1" s="1"/>
  <c r="B3209" i="1"/>
  <c r="A3209" i="1" s="1"/>
  <c r="B3205" i="1"/>
  <c r="A3205" i="1" s="1"/>
  <c r="B3201" i="1"/>
  <c r="A3201" i="1" s="1"/>
  <c r="B3197" i="1"/>
  <c r="A3197" i="1" s="1"/>
  <c r="B3193" i="1"/>
  <c r="A3193" i="1" s="1"/>
  <c r="B3189" i="1"/>
  <c r="A3189" i="1" s="1"/>
  <c r="B3185" i="1"/>
  <c r="A3185" i="1" s="1"/>
  <c r="B3181" i="1"/>
  <c r="A3181" i="1" s="1"/>
  <c r="B3177" i="1"/>
  <c r="A3177" i="1" s="1"/>
  <c r="B3173" i="1"/>
  <c r="A3173" i="1" s="1"/>
  <c r="B3169" i="1"/>
  <c r="A3169" i="1" s="1"/>
  <c r="B3165" i="1"/>
  <c r="A3165" i="1" s="1"/>
  <c r="B3161" i="1"/>
  <c r="A3161" i="1" s="1"/>
  <c r="B3157" i="1"/>
  <c r="A3157" i="1" s="1"/>
  <c r="B3153" i="1"/>
  <c r="A3153" i="1" s="1"/>
  <c r="B3149" i="1"/>
  <c r="A3149" i="1" s="1"/>
  <c r="B3145" i="1"/>
  <c r="A3145" i="1" s="1"/>
  <c r="B3141" i="1"/>
  <c r="A3141" i="1" s="1"/>
  <c r="B3137" i="1"/>
  <c r="A3137" i="1" s="1"/>
  <c r="B3133" i="1"/>
  <c r="A3133" i="1" s="1"/>
  <c r="B3129" i="1"/>
  <c r="A3129" i="1" s="1"/>
  <c r="B3125" i="1"/>
  <c r="A3125" i="1" s="1"/>
  <c r="B3121" i="1"/>
  <c r="A3121" i="1" s="1"/>
  <c r="B3117" i="1"/>
  <c r="A3117" i="1" s="1"/>
  <c r="B3113" i="1"/>
  <c r="A3113" i="1" s="1"/>
  <c r="B3109" i="1"/>
  <c r="A3109" i="1" s="1"/>
  <c r="B3105" i="1"/>
  <c r="A3105" i="1" s="1"/>
  <c r="B3101" i="1"/>
  <c r="A3101" i="1" s="1"/>
  <c r="B3097" i="1"/>
  <c r="A3097" i="1" s="1"/>
  <c r="B3094" i="1"/>
  <c r="A3094" i="1" s="1"/>
  <c r="B3082" i="1"/>
  <c r="A3082" i="1" s="1"/>
  <c r="B3068" i="1"/>
  <c r="A3068" i="1" s="1"/>
  <c r="B3052" i="1"/>
  <c r="A3052" i="1" s="1"/>
  <c r="B3045" i="1"/>
  <c r="A3045" i="1" s="1"/>
  <c r="B3041" i="1"/>
  <c r="A3041" i="1" s="1"/>
  <c r="B3037" i="1"/>
  <c r="A3037" i="1" s="1"/>
  <c r="B3033" i="1"/>
  <c r="A3033" i="1" s="1"/>
  <c r="B3029" i="1"/>
  <c r="A3029" i="1" s="1"/>
  <c r="B3025" i="1"/>
  <c r="A3025" i="1" s="1"/>
  <c r="B3021" i="1"/>
  <c r="A3021" i="1" s="1"/>
  <c r="B3017" i="1"/>
  <c r="A3017" i="1" s="1"/>
  <c r="B3014" i="1"/>
  <c r="A3014" i="1" s="1"/>
  <c r="B3010" i="1"/>
  <c r="A3010" i="1" s="1"/>
  <c r="B3007" i="1"/>
  <c r="A3007" i="1" s="1"/>
  <c r="B3003" i="1"/>
  <c r="A3003" i="1" s="1"/>
  <c r="B2999" i="1"/>
  <c r="A2999" i="1" s="1"/>
  <c r="B2995" i="1"/>
  <c r="A2995" i="1" s="1"/>
  <c r="B2991" i="1"/>
  <c r="A2991" i="1" s="1"/>
  <c r="B2987" i="1"/>
  <c r="A2987" i="1" s="1"/>
  <c r="B2983" i="1"/>
  <c r="A2983" i="1" s="1"/>
  <c r="B2979" i="1"/>
  <c r="A2979" i="1" s="1"/>
  <c r="B2975" i="1"/>
  <c r="A2975" i="1" s="1"/>
  <c r="B2971" i="1"/>
  <c r="A2971" i="1" s="1"/>
  <c r="B2967" i="1"/>
  <c r="A2967" i="1" s="1"/>
  <c r="B2963" i="1"/>
  <c r="A2963" i="1" s="1"/>
  <c r="B2959" i="1"/>
  <c r="A2959" i="1" s="1"/>
  <c r="B2955" i="1"/>
  <c r="A2955" i="1" s="1"/>
  <c r="B2951" i="1"/>
  <c r="A2951" i="1" s="1"/>
  <c r="B2947" i="1"/>
  <c r="A2947" i="1" s="1"/>
  <c r="B2943" i="1"/>
  <c r="A2943" i="1" s="1"/>
  <c r="B2939" i="1"/>
  <c r="A2939" i="1" s="1"/>
  <c r="B2935" i="1"/>
  <c r="A2935" i="1" s="1"/>
  <c r="B2932" i="1"/>
  <c r="A2932" i="1" s="1"/>
  <c r="B2929" i="1"/>
  <c r="A2929" i="1" s="1"/>
  <c r="B2925" i="1"/>
  <c r="A2925" i="1" s="1"/>
  <c r="B2923" i="1"/>
  <c r="A2923" i="1" s="1"/>
  <c r="B2920" i="1"/>
  <c r="A2920" i="1" s="1"/>
  <c r="B2917" i="1"/>
  <c r="A2917" i="1" s="1"/>
  <c r="B2913" i="1"/>
  <c r="A2913" i="1" s="1"/>
  <c r="B2909" i="1"/>
  <c r="A2909" i="1" s="1"/>
  <c r="B2906" i="1"/>
  <c r="A2906" i="1" s="1"/>
  <c r="B2902" i="1"/>
  <c r="A2902" i="1" s="1"/>
  <c r="B2899" i="1"/>
  <c r="A2899" i="1" s="1"/>
  <c r="B2895" i="1"/>
  <c r="A2895" i="1" s="1"/>
  <c r="B2891" i="1"/>
  <c r="A2891" i="1" s="1"/>
  <c r="B2889" i="1"/>
  <c r="A2889" i="1" s="1"/>
  <c r="B2886" i="1"/>
  <c r="A2886" i="1" s="1"/>
  <c r="B2882" i="1"/>
  <c r="A2882" i="1" s="1"/>
  <c r="B2878" i="1"/>
  <c r="A2878" i="1" s="1"/>
  <c r="B2874" i="1"/>
  <c r="A2874" i="1" s="1"/>
  <c r="B2870" i="1"/>
  <c r="A2870" i="1" s="1"/>
  <c r="B2866" i="1"/>
  <c r="A2866" i="1" s="1"/>
  <c r="B2862" i="1"/>
  <c r="A2862" i="1" s="1"/>
  <c r="B2858" i="1"/>
  <c r="A2858" i="1" s="1"/>
  <c r="B2854" i="1"/>
  <c r="A2854" i="1" s="1"/>
  <c r="B2850" i="1"/>
  <c r="A2850" i="1" s="1"/>
  <c r="B2846" i="1"/>
  <c r="A2846" i="1" s="1"/>
  <c r="B3086" i="1"/>
  <c r="A3086" i="1" s="1"/>
  <c r="B3072" i="1"/>
  <c r="A3072" i="1" s="1"/>
  <c r="B3056" i="1"/>
  <c r="A3056" i="1" s="1"/>
  <c r="B3051" i="1"/>
  <c r="A3051" i="1" s="1"/>
  <c r="B3048" i="1"/>
  <c r="A3048" i="1" s="1"/>
  <c r="B3044" i="1"/>
  <c r="A3044" i="1" s="1"/>
  <c r="B3040" i="1"/>
  <c r="A3040" i="1" s="1"/>
  <c r="B3036" i="1"/>
  <c r="A3036" i="1" s="1"/>
  <c r="B3032" i="1"/>
  <c r="A3032" i="1" s="1"/>
  <c r="B3028" i="1"/>
  <c r="A3028" i="1" s="1"/>
  <c r="B3024" i="1"/>
  <c r="A3024" i="1" s="1"/>
  <c r="B3020" i="1"/>
  <c r="A3020" i="1" s="1"/>
  <c r="B3013" i="1"/>
  <c r="A3013" i="1" s="1"/>
  <c r="B3009" i="1"/>
  <c r="A3009" i="1" s="1"/>
  <c r="B3006" i="1"/>
  <c r="A3006" i="1" s="1"/>
  <c r="B3002" i="1"/>
  <c r="A3002" i="1" s="1"/>
  <c r="B2998" i="1"/>
  <c r="A2998" i="1" s="1"/>
  <c r="B2994" i="1"/>
  <c r="A2994" i="1" s="1"/>
  <c r="B2990" i="1"/>
  <c r="A2990" i="1" s="1"/>
  <c r="B2986" i="1"/>
  <c r="A2986" i="1" s="1"/>
  <c r="B2982" i="1"/>
  <c r="A2982" i="1" s="1"/>
  <c r="B2978" i="1"/>
  <c r="A2978" i="1" s="1"/>
  <c r="B2974" i="1"/>
  <c r="A2974" i="1" s="1"/>
  <c r="B2970" i="1"/>
  <c r="A2970" i="1" s="1"/>
  <c r="B2966" i="1"/>
  <c r="A2966" i="1" s="1"/>
  <c r="B2962" i="1"/>
  <c r="A2962" i="1" s="1"/>
  <c r="B2958" i="1"/>
  <c r="A2958" i="1" s="1"/>
  <c r="B2954" i="1"/>
  <c r="A2954" i="1" s="1"/>
  <c r="B2950" i="1"/>
  <c r="A2950" i="1" s="1"/>
  <c r="B2946" i="1"/>
  <c r="A2946" i="1" s="1"/>
  <c r="B2942" i="1"/>
  <c r="A2942" i="1" s="1"/>
  <c r="B2938" i="1"/>
  <c r="A2938" i="1" s="1"/>
  <c r="B2934" i="1"/>
  <c r="A2934" i="1" s="1"/>
  <c r="B2928" i="1"/>
  <c r="A2928" i="1" s="1"/>
  <c r="B2919" i="1"/>
  <c r="A2919" i="1" s="1"/>
  <c r="B2916" i="1"/>
  <c r="A2916" i="1" s="1"/>
  <c r="B2911" i="1"/>
  <c r="A2911" i="1" s="1"/>
  <c r="B2908" i="1"/>
  <c r="A2908" i="1" s="1"/>
  <c r="B2905" i="1"/>
  <c r="A2905" i="1" s="1"/>
  <c r="B2901" i="1"/>
  <c r="A2901" i="1" s="1"/>
  <c r="B2898" i="1"/>
  <c r="A2898" i="1" s="1"/>
  <c r="B2894" i="1"/>
  <c r="A2894" i="1" s="1"/>
  <c r="B2888" i="1"/>
  <c r="A2888" i="1" s="1"/>
  <c r="B2885" i="1"/>
  <c r="A2885" i="1" s="1"/>
  <c r="B2881" i="1"/>
  <c r="A2881" i="1" s="1"/>
  <c r="B2877" i="1"/>
  <c r="A2877" i="1" s="1"/>
  <c r="B2873" i="1"/>
  <c r="A2873" i="1" s="1"/>
  <c r="B2869" i="1"/>
  <c r="A2869" i="1" s="1"/>
  <c r="B2865" i="1"/>
  <c r="A2865" i="1" s="1"/>
  <c r="B2861" i="1"/>
  <c r="A2861" i="1" s="1"/>
  <c r="B2857" i="1"/>
  <c r="A2857" i="1" s="1"/>
  <c r="B2853" i="1"/>
  <c r="A2853" i="1" s="1"/>
  <c r="B2849" i="1"/>
  <c r="A2849" i="1" s="1"/>
  <c r="B2845" i="1"/>
  <c r="A2845" i="1" s="1"/>
  <c r="B2841" i="1"/>
  <c r="A2841" i="1" s="1"/>
  <c r="B2837" i="1"/>
  <c r="A2837" i="1" s="1"/>
  <c r="B2833" i="1"/>
  <c r="A2833" i="1" s="1"/>
  <c r="B2829" i="1"/>
  <c r="A2829" i="1" s="1"/>
  <c r="B3090" i="1"/>
  <c r="A3090" i="1" s="1"/>
  <c r="B3076" i="1"/>
  <c r="A3076" i="1" s="1"/>
  <c r="B3060" i="1"/>
  <c r="A3060" i="1" s="1"/>
  <c r="B3050" i="1"/>
  <c r="A3050" i="1" s="1"/>
  <c r="B3047" i="1"/>
  <c r="A3047" i="1" s="1"/>
  <c r="B3043" i="1"/>
  <c r="A3043" i="1" s="1"/>
  <c r="B3039" i="1"/>
  <c r="A3039" i="1" s="1"/>
  <c r="B3035" i="1"/>
  <c r="A3035" i="1" s="1"/>
  <c r="B3031" i="1"/>
  <c r="A3031" i="1" s="1"/>
  <c r="B3027" i="1"/>
  <c r="A3027" i="1" s="1"/>
  <c r="B3023" i="1"/>
  <c r="A3023" i="1" s="1"/>
  <c r="B3019" i="1"/>
  <c r="A3019" i="1" s="1"/>
  <c r="B3016" i="1"/>
  <c r="A3016" i="1" s="1"/>
  <c r="B3012" i="1"/>
  <c r="A3012" i="1" s="1"/>
  <c r="B3008" i="1"/>
  <c r="A3008" i="1" s="1"/>
  <c r="B3005" i="1"/>
  <c r="A3005" i="1" s="1"/>
  <c r="B3001" i="1"/>
  <c r="A3001" i="1" s="1"/>
  <c r="B2997" i="1"/>
  <c r="A2997" i="1" s="1"/>
  <c r="B2993" i="1"/>
  <c r="A2993" i="1" s="1"/>
  <c r="B2989" i="1"/>
  <c r="A2989" i="1" s="1"/>
  <c r="B2985" i="1"/>
  <c r="A2985" i="1" s="1"/>
  <c r="B2981" i="1"/>
  <c r="A2981" i="1" s="1"/>
  <c r="B2977" i="1"/>
  <c r="A2977" i="1" s="1"/>
  <c r="B2973" i="1"/>
  <c r="A2973" i="1" s="1"/>
  <c r="B2969" i="1"/>
  <c r="A2969" i="1" s="1"/>
  <c r="B2965" i="1"/>
  <c r="A2965" i="1" s="1"/>
  <c r="B2961" i="1"/>
  <c r="A2961" i="1" s="1"/>
  <c r="B2957" i="1"/>
  <c r="A2957" i="1" s="1"/>
  <c r="B2953" i="1"/>
  <c r="A2953" i="1" s="1"/>
  <c r="B2949" i="1"/>
  <c r="A2949" i="1" s="1"/>
  <c r="B2945" i="1"/>
  <c r="A2945" i="1" s="1"/>
  <c r="B2941" i="1"/>
  <c r="A2941" i="1" s="1"/>
  <c r="B2937" i="1"/>
  <c r="A2937" i="1" s="1"/>
  <c r="B2931" i="1"/>
  <c r="A2931" i="1" s="1"/>
  <c r="B2927" i="1"/>
  <c r="A2927" i="1" s="1"/>
  <c r="B2924" i="1"/>
  <c r="A2924" i="1" s="1"/>
  <c r="B2922" i="1"/>
  <c r="A2922" i="1" s="1"/>
  <c r="B2915" i="1"/>
  <c r="A2915" i="1" s="1"/>
  <c r="B2907" i="1"/>
  <c r="A2907" i="1" s="1"/>
  <c r="B2904" i="1"/>
  <c r="A2904" i="1" s="1"/>
  <c r="B2897" i="1"/>
  <c r="A2897" i="1" s="1"/>
  <c r="B2893" i="1"/>
  <c r="A2893" i="1" s="1"/>
  <c r="B2890" i="1"/>
  <c r="A2890" i="1" s="1"/>
  <c r="B2884" i="1"/>
  <c r="A2884" i="1" s="1"/>
  <c r="B2880" i="1"/>
  <c r="A2880" i="1" s="1"/>
  <c r="B2876" i="1"/>
  <c r="A2876" i="1" s="1"/>
  <c r="B2872" i="1"/>
  <c r="A2872" i="1" s="1"/>
  <c r="B2868" i="1"/>
  <c r="A2868" i="1" s="1"/>
  <c r="B2864" i="1"/>
  <c r="A2864" i="1" s="1"/>
  <c r="B2860" i="1"/>
  <c r="A2860" i="1" s="1"/>
  <c r="B2856" i="1"/>
  <c r="A2856" i="1" s="1"/>
  <c r="B2852" i="1"/>
  <c r="A2852" i="1" s="1"/>
  <c r="B2848" i="1"/>
  <c r="A2848" i="1" s="1"/>
  <c r="B3078" i="1"/>
  <c r="A3078" i="1" s="1"/>
  <c r="B3064" i="1"/>
  <c r="A3064" i="1" s="1"/>
  <c r="B3046" i="1"/>
  <c r="A3046" i="1" s="1"/>
  <c r="B3042" i="1"/>
  <c r="A3042" i="1" s="1"/>
  <c r="B3038" i="1"/>
  <c r="A3038" i="1" s="1"/>
  <c r="B3034" i="1"/>
  <c r="A3034" i="1" s="1"/>
  <c r="B3030" i="1"/>
  <c r="A3030" i="1" s="1"/>
  <c r="B3026" i="1"/>
  <c r="A3026" i="1" s="1"/>
  <c r="B3022" i="1"/>
  <c r="A3022" i="1" s="1"/>
  <c r="B3018" i="1"/>
  <c r="A3018" i="1" s="1"/>
  <c r="B3015" i="1"/>
  <c r="A3015" i="1" s="1"/>
  <c r="B3011" i="1"/>
  <c r="A3011" i="1" s="1"/>
  <c r="B3004" i="1"/>
  <c r="A3004" i="1" s="1"/>
  <c r="B3000" i="1"/>
  <c r="A3000" i="1" s="1"/>
  <c r="B2996" i="1"/>
  <c r="A2996" i="1" s="1"/>
  <c r="B2992" i="1"/>
  <c r="A2992" i="1" s="1"/>
  <c r="B2988" i="1"/>
  <c r="A2988" i="1" s="1"/>
  <c r="B2984" i="1"/>
  <c r="A2984" i="1" s="1"/>
  <c r="B2980" i="1"/>
  <c r="A2980" i="1" s="1"/>
  <c r="B2976" i="1"/>
  <c r="A2976" i="1" s="1"/>
  <c r="B2972" i="1"/>
  <c r="A2972" i="1" s="1"/>
  <c r="B2968" i="1"/>
  <c r="A2968" i="1" s="1"/>
  <c r="B2964" i="1"/>
  <c r="A2964" i="1" s="1"/>
  <c r="B2960" i="1"/>
  <c r="A2960" i="1" s="1"/>
  <c r="B2956" i="1"/>
  <c r="A2956" i="1" s="1"/>
  <c r="B2952" i="1"/>
  <c r="A2952" i="1" s="1"/>
  <c r="B2948" i="1"/>
  <c r="A2948" i="1" s="1"/>
  <c r="B2944" i="1"/>
  <c r="A2944" i="1" s="1"/>
  <c r="B2940" i="1"/>
  <c r="A2940" i="1" s="1"/>
  <c r="B2936" i="1"/>
  <c r="A2936" i="1" s="1"/>
  <c r="B2933" i="1"/>
  <c r="A2933" i="1" s="1"/>
  <c r="B2930" i="1"/>
  <c r="A2930" i="1" s="1"/>
  <c r="B2926" i="1"/>
  <c r="A2926" i="1" s="1"/>
  <c r="B2921" i="1"/>
  <c r="A2921" i="1" s="1"/>
  <c r="B2918" i="1"/>
  <c r="A2918" i="1" s="1"/>
  <c r="B2914" i="1"/>
  <c r="A2914" i="1" s="1"/>
  <c r="B2912" i="1"/>
  <c r="A2912" i="1" s="1"/>
  <c r="B2910" i="1"/>
  <c r="A2910" i="1" s="1"/>
  <c r="B2903" i="1"/>
  <c r="A2903" i="1" s="1"/>
  <c r="B2900" i="1"/>
  <c r="A2900" i="1" s="1"/>
  <c r="B2896" i="1"/>
  <c r="A2896" i="1" s="1"/>
  <c r="B2892" i="1"/>
  <c r="A2892" i="1" s="1"/>
  <c r="B2887" i="1"/>
  <c r="A2887" i="1" s="1"/>
  <c r="B2883" i="1"/>
  <c r="A2883" i="1" s="1"/>
  <c r="B2879" i="1"/>
  <c r="A2879" i="1" s="1"/>
  <c r="B2875" i="1"/>
  <c r="A2875" i="1" s="1"/>
  <c r="B2871" i="1"/>
  <c r="A2871" i="1" s="1"/>
  <c r="B2867" i="1"/>
  <c r="A2867" i="1" s="1"/>
  <c r="B2863" i="1"/>
  <c r="A2863" i="1" s="1"/>
  <c r="B2859" i="1"/>
  <c r="A2859" i="1" s="1"/>
  <c r="B2855" i="1"/>
  <c r="A2855" i="1" s="1"/>
  <c r="B2851" i="1"/>
  <c r="A2851" i="1" s="1"/>
  <c r="B2847" i="1"/>
  <c r="A2847" i="1" s="1"/>
  <c r="B2843" i="1"/>
  <c r="A2843" i="1" s="1"/>
  <c r="B2839" i="1"/>
  <c r="A2839" i="1" s="1"/>
  <c r="B2835" i="1"/>
  <c r="A2835" i="1" s="1"/>
  <c r="B2831" i="1"/>
  <c r="A2831" i="1" s="1"/>
  <c r="B2838" i="1"/>
  <c r="A2838" i="1" s="1"/>
  <c r="B2825" i="1"/>
  <c r="A2825" i="1" s="1"/>
  <c r="B2821" i="1"/>
  <c r="A2821" i="1" s="1"/>
  <c r="B2817" i="1"/>
  <c r="A2817" i="1" s="1"/>
  <c r="B2813" i="1"/>
  <c r="A2813" i="1" s="1"/>
  <c r="B2809" i="1"/>
  <c r="A2809" i="1" s="1"/>
  <c r="B2805" i="1"/>
  <c r="A2805" i="1" s="1"/>
  <c r="B2801" i="1"/>
  <c r="A2801" i="1" s="1"/>
  <c r="B2797" i="1"/>
  <c r="A2797" i="1" s="1"/>
  <c r="B2793" i="1"/>
  <c r="A2793" i="1" s="1"/>
  <c r="B2789" i="1"/>
  <c r="A2789" i="1" s="1"/>
  <c r="B2785" i="1"/>
  <c r="A2785" i="1" s="1"/>
  <c r="B2781" i="1"/>
  <c r="A2781" i="1" s="1"/>
  <c r="B2777" i="1"/>
  <c r="A2777" i="1" s="1"/>
  <c r="B2773" i="1"/>
  <c r="A2773" i="1" s="1"/>
  <c r="B2769" i="1"/>
  <c r="A2769" i="1" s="1"/>
  <c r="B2765" i="1"/>
  <c r="A2765" i="1" s="1"/>
  <c r="B2761" i="1"/>
  <c r="A2761" i="1" s="1"/>
  <c r="B2757" i="1"/>
  <c r="A2757" i="1" s="1"/>
  <c r="B2753" i="1"/>
  <c r="A2753" i="1" s="1"/>
  <c r="B2749" i="1"/>
  <c r="A2749" i="1" s="1"/>
  <c r="B2745" i="1"/>
  <c r="A2745" i="1" s="1"/>
  <c r="B2741" i="1"/>
  <c r="A2741" i="1" s="1"/>
  <c r="B2737" i="1"/>
  <c r="A2737" i="1" s="1"/>
  <c r="B2733" i="1"/>
  <c r="A2733" i="1" s="1"/>
  <c r="B2729" i="1"/>
  <c r="A2729" i="1" s="1"/>
  <c r="B2725" i="1"/>
  <c r="A2725" i="1" s="1"/>
  <c r="B2721" i="1"/>
  <c r="A2721" i="1" s="1"/>
  <c r="B2717" i="1"/>
  <c r="A2717" i="1" s="1"/>
  <c r="B2713" i="1"/>
  <c r="A2713" i="1" s="1"/>
  <c r="B2709" i="1"/>
  <c r="A2709" i="1" s="1"/>
  <c r="B2705" i="1"/>
  <c r="A2705" i="1" s="1"/>
  <c r="B2701" i="1"/>
  <c r="A2701" i="1" s="1"/>
  <c r="B2697" i="1"/>
  <c r="A2697" i="1" s="1"/>
  <c r="B2693" i="1"/>
  <c r="A2693" i="1" s="1"/>
  <c r="B2690" i="1"/>
  <c r="A2690" i="1" s="1"/>
  <c r="B2686" i="1"/>
  <c r="A2686" i="1" s="1"/>
  <c r="B2682" i="1"/>
  <c r="A2682" i="1" s="1"/>
  <c r="B2678" i="1"/>
  <c r="A2678" i="1" s="1"/>
  <c r="B2674" i="1"/>
  <c r="A2674" i="1" s="1"/>
  <c r="B2670" i="1"/>
  <c r="A2670" i="1" s="1"/>
  <c r="B2666" i="1"/>
  <c r="A2666" i="1" s="1"/>
  <c r="B2662" i="1"/>
  <c r="A2662" i="1" s="1"/>
  <c r="B2658" i="1"/>
  <c r="A2658" i="1" s="1"/>
  <c r="B2654" i="1"/>
  <c r="A2654" i="1" s="1"/>
  <c r="B2642" i="1"/>
  <c r="A2642" i="1" s="1"/>
  <c r="B2640" i="1"/>
  <c r="A2640" i="1" s="1"/>
  <c r="B2638" i="1"/>
  <c r="A2638" i="1" s="1"/>
  <c r="B2636" i="1"/>
  <c r="A2636" i="1" s="1"/>
  <c r="B2634" i="1"/>
  <c r="A2634" i="1" s="1"/>
  <c r="B2632" i="1"/>
  <c r="A2632" i="1" s="1"/>
  <c r="B2630" i="1"/>
  <c r="A2630" i="1" s="1"/>
  <c r="B2628" i="1"/>
  <c r="A2628" i="1" s="1"/>
  <c r="B2626" i="1"/>
  <c r="A2626" i="1" s="1"/>
  <c r="B2624" i="1"/>
  <c r="A2624" i="1" s="1"/>
  <c r="B2622" i="1"/>
  <c r="A2622" i="1" s="1"/>
  <c r="B2620" i="1"/>
  <c r="A2620" i="1" s="1"/>
  <c r="B2618" i="1"/>
  <c r="A2618" i="1" s="1"/>
  <c r="B2616" i="1"/>
  <c r="A2616" i="1" s="1"/>
  <c r="B2609" i="1"/>
  <c r="A2609" i="1" s="1"/>
  <c r="B2602" i="1"/>
  <c r="A2602" i="1" s="1"/>
  <c r="B2600" i="1"/>
  <c r="A2600" i="1" s="1"/>
  <c r="B2598" i="1"/>
  <c r="A2598" i="1" s="1"/>
  <c r="B2596" i="1"/>
  <c r="A2596" i="1" s="1"/>
  <c r="B2594" i="1"/>
  <c r="A2594" i="1" s="1"/>
  <c r="B2592" i="1"/>
  <c r="A2592" i="1" s="1"/>
  <c r="B2840" i="1"/>
  <c r="A2840" i="1" s="1"/>
  <c r="B2832" i="1"/>
  <c r="A2832" i="1" s="1"/>
  <c r="B2830" i="1"/>
  <c r="A2830" i="1" s="1"/>
  <c r="B2828" i="1"/>
  <c r="A2828" i="1" s="1"/>
  <c r="B2824" i="1"/>
  <c r="A2824" i="1" s="1"/>
  <c r="B2820" i="1"/>
  <c r="A2820" i="1" s="1"/>
  <c r="B2816" i="1"/>
  <c r="A2816" i="1" s="1"/>
  <c r="B2812" i="1"/>
  <c r="A2812" i="1" s="1"/>
  <c r="B2808" i="1"/>
  <c r="A2808" i="1" s="1"/>
  <c r="B2804" i="1"/>
  <c r="A2804" i="1" s="1"/>
  <c r="B2800" i="1"/>
  <c r="A2800" i="1" s="1"/>
  <c r="B2796" i="1"/>
  <c r="A2796" i="1" s="1"/>
  <c r="B2792" i="1"/>
  <c r="A2792" i="1" s="1"/>
  <c r="B2788" i="1"/>
  <c r="A2788" i="1" s="1"/>
  <c r="B2784" i="1"/>
  <c r="A2784" i="1" s="1"/>
  <c r="B2780" i="1"/>
  <c r="A2780" i="1" s="1"/>
  <c r="B2776" i="1"/>
  <c r="A2776" i="1" s="1"/>
  <c r="B2772" i="1"/>
  <c r="A2772" i="1" s="1"/>
  <c r="B2768" i="1"/>
  <c r="A2768" i="1" s="1"/>
  <c r="B2764" i="1"/>
  <c r="A2764" i="1" s="1"/>
  <c r="B2760" i="1"/>
  <c r="A2760" i="1" s="1"/>
  <c r="B2756" i="1"/>
  <c r="A2756" i="1" s="1"/>
  <c r="B2752" i="1"/>
  <c r="A2752" i="1" s="1"/>
  <c r="B2748" i="1"/>
  <c r="A2748" i="1" s="1"/>
  <c r="B2744" i="1"/>
  <c r="A2744" i="1" s="1"/>
  <c r="B2740" i="1"/>
  <c r="A2740" i="1" s="1"/>
  <c r="B2736" i="1"/>
  <c r="A2736" i="1" s="1"/>
  <c r="B2732" i="1"/>
  <c r="A2732" i="1" s="1"/>
  <c r="B2728" i="1"/>
  <c r="A2728" i="1" s="1"/>
  <c r="B2724" i="1"/>
  <c r="A2724" i="1" s="1"/>
  <c r="B2720" i="1"/>
  <c r="A2720" i="1" s="1"/>
  <c r="B2716" i="1"/>
  <c r="A2716" i="1" s="1"/>
  <c r="B2712" i="1"/>
  <c r="A2712" i="1" s="1"/>
  <c r="B2708" i="1"/>
  <c r="A2708" i="1" s="1"/>
  <c r="B2704" i="1"/>
  <c r="A2704" i="1" s="1"/>
  <c r="B2700" i="1"/>
  <c r="A2700" i="1" s="1"/>
  <c r="B2696" i="1"/>
  <c r="A2696" i="1" s="1"/>
  <c r="B2689" i="1"/>
  <c r="A2689" i="1" s="1"/>
  <c r="B2685" i="1"/>
  <c r="A2685" i="1" s="1"/>
  <c r="B2681" i="1"/>
  <c r="A2681" i="1" s="1"/>
  <c r="B2677" i="1"/>
  <c r="A2677" i="1" s="1"/>
  <c r="B2673" i="1"/>
  <c r="A2673" i="1" s="1"/>
  <c r="B2669" i="1"/>
  <c r="A2669" i="1" s="1"/>
  <c r="B2665" i="1"/>
  <c r="A2665" i="1" s="1"/>
  <c r="B2661" i="1"/>
  <c r="A2661" i="1" s="1"/>
  <c r="B2657" i="1"/>
  <c r="A2657" i="1" s="1"/>
  <c r="B2653" i="1"/>
  <c r="A2653" i="1" s="1"/>
  <c r="B2650" i="1"/>
  <c r="A2650" i="1" s="1"/>
  <c r="B2648" i="1"/>
  <c r="A2648" i="1" s="1"/>
  <c r="B2646" i="1"/>
  <c r="A2646" i="1" s="1"/>
  <c r="B2644" i="1"/>
  <c r="A2644" i="1" s="1"/>
  <c r="B2613" i="1"/>
  <c r="A2613" i="1" s="1"/>
  <c r="B2611" i="1"/>
  <c r="A2611" i="1" s="1"/>
  <c r="B2608" i="1"/>
  <c r="A2608" i="1" s="1"/>
  <c r="B2606" i="1"/>
  <c r="A2606" i="1" s="1"/>
  <c r="B2604" i="1"/>
  <c r="A2604" i="1" s="1"/>
  <c r="B2589" i="1"/>
  <c r="A2589" i="1" s="1"/>
  <c r="B2587" i="1"/>
  <c r="A2587" i="1" s="1"/>
  <c r="B2585" i="1"/>
  <c r="A2585" i="1" s="1"/>
  <c r="B2583" i="1"/>
  <c r="A2583" i="1" s="1"/>
  <c r="B2581" i="1"/>
  <c r="A2581" i="1" s="1"/>
  <c r="B2579" i="1"/>
  <c r="A2579" i="1" s="1"/>
  <c r="B2577" i="1"/>
  <c r="A2577" i="1" s="1"/>
  <c r="B2575" i="1"/>
  <c r="A2575" i="1" s="1"/>
  <c r="B2573" i="1"/>
  <c r="A2573" i="1" s="1"/>
  <c r="B2571" i="1"/>
  <c r="A2571" i="1" s="1"/>
  <c r="B2569" i="1"/>
  <c r="A2569" i="1" s="1"/>
  <c r="B2567" i="1"/>
  <c r="A2567" i="1" s="1"/>
  <c r="B2842" i="1"/>
  <c r="A2842" i="1" s="1"/>
  <c r="B2834" i="1"/>
  <c r="A2834" i="1" s="1"/>
  <c r="B2827" i="1"/>
  <c r="A2827" i="1" s="1"/>
  <c r="B2823" i="1"/>
  <c r="A2823" i="1" s="1"/>
  <c r="B2819" i="1"/>
  <c r="A2819" i="1" s="1"/>
  <c r="B2815" i="1"/>
  <c r="A2815" i="1" s="1"/>
  <c r="B2811" i="1"/>
  <c r="A2811" i="1" s="1"/>
  <c r="B2807" i="1"/>
  <c r="A2807" i="1" s="1"/>
  <c r="B2803" i="1"/>
  <c r="A2803" i="1" s="1"/>
  <c r="B2799" i="1"/>
  <c r="A2799" i="1" s="1"/>
  <c r="B2795" i="1"/>
  <c r="A2795" i="1" s="1"/>
  <c r="B2791" i="1"/>
  <c r="A2791" i="1" s="1"/>
  <c r="B2787" i="1"/>
  <c r="A2787" i="1" s="1"/>
  <c r="B2783" i="1"/>
  <c r="A2783" i="1" s="1"/>
  <c r="B2779" i="1"/>
  <c r="A2779" i="1" s="1"/>
  <c r="B2775" i="1"/>
  <c r="A2775" i="1" s="1"/>
  <c r="B2771" i="1"/>
  <c r="A2771" i="1" s="1"/>
  <c r="B2767" i="1"/>
  <c r="A2767" i="1" s="1"/>
  <c r="B2763" i="1"/>
  <c r="A2763" i="1" s="1"/>
  <c r="B2759" i="1"/>
  <c r="A2759" i="1" s="1"/>
  <c r="B2755" i="1"/>
  <c r="A2755" i="1" s="1"/>
  <c r="B2751" i="1"/>
  <c r="A2751" i="1" s="1"/>
  <c r="B2747" i="1"/>
  <c r="A2747" i="1" s="1"/>
  <c r="B2743" i="1"/>
  <c r="A2743" i="1" s="1"/>
  <c r="B2739" i="1"/>
  <c r="A2739" i="1" s="1"/>
  <c r="B2735" i="1"/>
  <c r="A2735" i="1" s="1"/>
  <c r="B2731" i="1"/>
  <c r="A2731" i="1" s="1"/>
  <c r="B2727" i="1"/>
  <c r="A2727" i="1" s="1"/>
  <c r="B2723" i="1"/>
  <c r="A2723" i="1" s="1"/>
  <c r="B2719" i="1"/>
  <c r="A2719" i="1" s="1"/>
  <c r="B2715" i="1"/>
  <c r="A2715" i="1" s="1"/>
  <c r="B2711" i="1"/>
  <c r="A2711" i="1" s="1"/>
  <c r="B2707" i="1"/>
  <c r="A2707" i="1" s="1"/>
  <c r="B2703" i="1"/>
  <c r="A2703" i="1" s="1"/>
  <c r="B2699" i="1"/>
  <c r="A2699" i="1" s="1"/>
  <c r="B2695" i="1"/>
  <c r="A2695" i="1" s="1"/>
  <c r="B2692" i="1"/>
  <c r="A2692" i="1" s="1"/>
  <c r="B2688" i="1"/>
  <c r="A2688" i="1" s="1"/>
  <c r="B2684" i="1"/>
  <c r="A2684" i="1" s="1"/>
  <c r="B2680" i="1"/>
  <c r="A2680" i="1" s="1"/>
  <c r="B2676" i="1"/>
  <c r="A2676" i="1" s="1"/>
  <c r="B2672" i="1"/>
  <c r="A2672" i="1" s="1"/>
  <c r="B2668" i="1"/>
  <c r="A2668" i="1" s="1"/>
  <c r="B2664" i="1"/>
  <c r="A2664" i="1" s="1"/>
  <c r="B2660" i="1"/>
  <c r="A2660" i="1" s="1"/>
  <c r="B2656" i="1"/>
  <c r="A2656" i="1" s="1"/>
  <c r="B2652" i="1"/>
  <c r="A2652" i="1" s="1"/>
  <c r="B2643" i="1"/>
  <c r="A2643" i="1" s="1"/>
  <c r="B2641" i="1"/>
  <c r="A2641" i="1" s="1"/>
  <c r="B2639" i="1"/>
  <c r="A2639" i="1" s="1"/>
  <c r="B2637" i="1"/>
  <c r="A2637" i="1" s="1"/>
  <c r="B2635" i="1"/>
  <c r="A2635" i="1" s="1"/>
  <c r="B2633" i="1"/>
  <c r="A2633" i="1" s="1"/>
  <c r="B2631" i="1"/>
  <c r="A2631" i="1" s="1"/>
  <c r="B2629" i="1"/>
  <c r="A2629" i="1" s="1"/>
  <c r="B2627" i="1"/>
  <c r="A2627" i="1" s="1"/>
  <c r="B2625" i="1"/>
  <c r="A2625" i="1" s="1"/>
  <c r="B2844" i="1"/>
  <c r="A2844" i="1" s="1"/>
  <c r="B2836" i="1"/>
  <c r="A2836" i="1" s="1"/>
  <c r="B2826" i="1"/>
  <c r="A2826" i="1" s="1"/>
  <c r="B2822" i="1"/>
  <c r="A2822" i="1" s="1"/>
  <c r="B2818" i="1"/>
  <c r="A2818" i="1" s="1"/>
  <c r="B2814" i="1"/>
  <c r="A2814" i="1" s="1"/>
  <c r="B2810" i="1"/>
  <c r="A2810" i="1" s="1"/>
  <c r="B2806" i="1"/>
  <c r="A2806" i="1" s="1"/>
  <c r="B2802" i="1"/>
  <c r="A2802" i="1" s="1"/>
  <c r="B2798" i="1"/>
  <c r="A2798" i="1" s="1"/>
  <c r="B2794" i="1"/>
  <c r="A2794" i="1" s="1"/>
  <c r="B2790" i="1"/>
  <c r="A2790" i="1" s="1"/>
  <c r="B2786" i="1"/>
  <c r="A2786" i="1" s="1"/>
  <c r="B2782" i="1"/>
  <c r="A2782" i="1" s="1"/>
  <c r="B2778" i="1"/>
  <c r="A2778" i="1" s="1"/>
  <c r="B2774" i="1"/>
  <c r="A2774" i="1" s="1"/>
  <c r="B2770" i="1"/>
  <c r="A2770" i="1" s="1"/>
  <c r="B2766" i="1"/>
  <c r="A2766" i="1" s="1"/>
  <c r="B2762" i="1"/>
  <c r="A2762" i="1" s="1"/>
  <c r="B2758" i="1"/>
  <c r="A2758" i="1" s="1"/>
  <c r="B2754" i="1"/>
  <c r="A2754" i="1" s="1"/>
  <c r="B2750" i="1"/>
  <c r="A2750" i="1" s="1"/>
  <c r="B2746" i="1"/>
  <c r="A2746" i="1" s="1"/>
  <c r="B2742" i="1"/>
  <c r="A2742" i="1" s="1"/>
  <c r="B2738" i="1"/>
  <c r="A2738" i="1" s="1"/>
  <c r="B2734" i="1"/>
  <c r="A2734" i="1" s="1"/>
  <c r="B2730" i="1"/>
  <c r="A2730" i="1" s="1"/>
  <c r="B2726" i="1"/>
  <c r="A2726" i="1" s="1"/>
  <c r="B2722" i="1"/>
  <c r="A2722" i="1" s="1"/>
  <c r="B2718" i="1"/>
  <c r="A2718" i="1" s="1"/>
  <c r="B2714" i="1"/>
  <c r="A2714" i="1" s="1"/>
  <c r="B2710" i="1"/>
  <c r="A2710" i="1" s="1"/>
  <c r="B2706" i="1"/>
  <c r="A2706" i="1" s="1"/>
  <c r="B2702" i="1"/>
  <c r="A2702" i="1" s="1"/>
  <c r="B2698" i="1"/>
  <c r="A2698" i="1" s="1"/>
  <c r="B2694" i="1"/>
  <c r="A2694" i="1" s="1"/>
  <c r="B2691" i="1"/>
  <c r="A2691" i="1" s="1"/>
  <c r="B2687" i="1"/>
  <c r="A2687" i="1" s="1"/>
  <c r="B2683" i="1"/>
  <c r="A2683" i="1" s="1"/>
  <c r="B2679" i="1"/>
  <c r="A2679" i="1" s="1"/>
  <c r="B2675" i="1"/>
  <c r="A2675" i="1" s="1"/>
  <c r="B2671" i="1"/>
  <c r="A2671" i="1" s="1"/>
  <c r="B2667" i="1"/>
  <c r="A2667" i="1" s="1"/>
  <c r="B2663" i="1"/>
  <c r="A2663" i="1" s="1"/>
  <c r="B2659" i="1"/>
  <c r="A2659" i="1" s="1"/>
  <c r="B2655" i="1"/>
  <c r="A2655" i="1" s="1"/>
  <c r="B2651" i="1"/>
  <c r="A2651" i="1" s="1"/>
  <c r="B2649" i="1"/>
  <c r="A2649" i="1" s="1"/>
  <c r="B2647" i="1"/>
  <c r="A2647" i="1" s="1"/>
  <c r="B2645" i="1"/>
  <c r="A2645" i="1" s="1"/>
  <c r="B2614" i="1"/>
  <c r="A2614" i="1" s="1"/>
  <c r="B2612" i="1"/>
  <c r="A2612" i="1" s="1"/>
  <c r="B2610" i="1"/>
  <c r="A2610" i="1" s="1"/>
  <c r="B2607" i="1"/>
  <c r="A2607" i="1" s="1"/>
  <c r="B2605" i="1"/>
  <c r="A2605" i="1" s="1"/>
  <c r="B2603" i="1"/>
  <c r="A2603" i="1" s="1"/>
  <c r="B2590" i="1"/>
  <c r="A2590" i="1" s="1"/>
  <c r="B2588" i="1"/>
  <c r="A2588" i="1" s="1"/>
  <c r="B2586" i="1"/>
  <c r="A2586" i="1" s="1"/>
  <c r="B2584" i="1"/>
  <c r="A2584" i="1" s="1"/>
  <c r="B2582" i="1"/>
  <c r="A2582" i="1" s="1"/>
  <c r="B2580" i="1"/>
  <c r="A2580" i="1" s="1"/>
  <c r="B2578" i="1"/>
  <c r="A2578" i="1" s="1"/>
  <c r="B2576" i="1"/>
  <c r="A2576" i="1" s="1"/>
  <c r="B2574" i="1"/>
  <c r="A2574" i="1" s="1"/>
  <c r="B2572" i="1"/>
  <c r="A2572" i="1" s="1"/>
  <c r="B2570" i="1"/>
  <c r="A2570" i="1" s="1"/>
  <c r="B2568" i="1"/>
  <c r="A2568" i="1" s="1"/>
  <c r="B2566" i="1"/>
  <c r="A2566" i="1" s="1"/>
  <c r="B2564" i="1"/>
  <c r="A2564" i="1" s="1"/>
  <c r="B2619" i="1"/>
  <c r="A2619" i="1" s="1"/>
  <c r="B2599" i="1"/>
  <c r="A2599" i="1" s="1"/>
  <c r="B2591" i="1"/>
  <c r="A2591" i="1" s="1"/>
  <c r="B2565" i="1"/>
  <c r="A2565" i="1" s="1"/>
  <c r="B2556" i="1"/>
  <c r="A2556" i="1" s="1"/>
  <c r="B2554" i="1"/>
  <c r="A2554" i="1" s="1"/>
  <c r="B2547" i="1"/>
  <c r="A2547" i="1" s="1"/>
  <c r="B2545" i="1"/>
  <c r="A2545" i="1" s="1"/>
  <c r="B2543" i="1"/>
  <c r="A2543" i="1" s="1"/>
  <c r="B2541" i="1"/>
  <c r="A2541" i="1" s="1"/>
  <c r="B2539" i="1"/>
  <c r="A2539" i="1" s="1"/>
  <c r="B2537" i="1"/>
  <c r="A2537" i="1" s="1"/>
  <c r="B2515" i="1"/>
  <c r="A2515" i="1" s="1"/>
  <c r="B2511" i="1"/>
  <c r="A2511" i="1" s="1"/>
  <c r="B2507" i="1"/>
  <c r="A2507" i="1" s="1"/>
  <c r="B2503" i="1"/>
  <c r="A2503" i="1" s="1"/>
  <c r="B2499" i="1"/>
  <c r="A2499" i="1" s="1"/>
  <c r="B2495" i="1"/>
  <c r="A2495" i="1" s="1"/>
  <c r="B2492" i="1"/>
  <c r="A2492" i="1" s="1"/>
  <c r="B2488" i="1"/>
  <c r="A2488" i="1" s="1"/>
  <c r="B2484" i="1"/>
  <c r="A2484" i="1" s="1"/>
  <c r="B2480" i="1"/>
  <c r="A2480" i="1" s="1"/>
  <c r="B2476" i="1"/>
  <c r="A2476" i="1" s="1"/>
  <c r="B2473" i="1"/>
  <c r="A2473" i="1" s="1"/>
  <c r="B2469" i="1"/>
  <c r="A2469" i="1" s="1"/>
  <c r="B2465" i="1"/>
  <c r="A2465" i="1" s="1"/>
  <c r="B2461" i="1"/>
  <c r="A2461" i="1" s="1"/>
  <c r="B2457" i="1"/>
  <c r="A2457" i="1" s="1"/>
  <c r="B2453" i="1"/>
  <c r="A2453" i="1" s="1"/>
  <c r="B2449" i="1"/>
  <c r="A2449" i="1" s="1"/>
  <c r="B2445" i="1"/>
  <c r="A2445" i="1" s="1"/>
  <c r="B2441" i="1"/>
  <c r="A2441" i="1" s="1"/>
  <c r="B2437" i="1"/>
  <c r="A2437" i="1" s="1"/>
  <c r="B2430" i="1"/>
  <c r="A2430" i="1" s="1"/>
  <c r="B2426" i="1"/>
  <c r="A2426" i="1" s="1"/>
  <c r="B2422" i="1"/>
  <c r="A2422" i="1" s="1"/>
  <c r="B2418" i="1"/>
  <c r="A2418" i="1" s="1"/>
  <c r="B2414" i="1"/>
  <c r="A2414" i="1" s="1"/>
  <c r="B2411" i="1"/>
  <c r="A2411" i="1" s="1"/>
  <c r="B2407" i="1"/>
  <c r="A2407" i="1" s="1"/>
  <c r="B2403" i="1"/>
  <c r="A2403" i="1" s="1"/>
  <c r="B2399" i="1"/>
  <c r="A2399" i="1" s="1"/>
  <c r="B2395" i="1"/>
  <c r="A2395" i="1" s="1"/>
  <c r="B2391" i="1"/>
  <c r="A2391" i="1" s="1"/>
  <c r="B2387" i="1"/>
  <c r="A2387" i="1" s="1"/>
  <c r="B2383" i="1"/>
  <c r="A2383" i="1" s="1"/>
  <c r="B2380" i="1"/>
  <c r="A2380" i="1" s="1"/>
  <c r="B2376" i="1"/>
  <c r="A2376" i="1" s="1"/>
  <c r="B2369" i="1"/>
  <c r="A2369" i="1" s="1"/>
  <c r="B2621" i="1"/>
  <c r="A2621" i="1" s="1"/>
  <c r="B2601" i="1"/>
  <c r="A2601" i="1" s="1"/>
  <c r="B2593" i="1"/>
  <c r="A2593" i="1" s="1"/>
  <c r="B2562" i="1"/>
  <c r="A2562" i="1" s="1"/>
  <c r="B2560" i="1"/>
  <c r="A2560" i="1" s="1"/>
  <c r="B2558" i="1"/>
  <c r="A2558" i="1" s="1"/>
  <c r="B2551" i="1"/>
  <c r="A2551" i="1" s="1"/>
  <c r="B2549" i="1"/>
  <c r="A2549" i="1" s="1"/>
  <c r="B2536" i="1"/>
  <c r="A2536" i="1" s="1"/>
  <c r="B2534" i="1"/>
  <c r="A2534" i="1" s="1"/>
  <c r="B2532" i="1"/>
  <c r="A2532" i="1" s="1"/>
  <c r="B2530" i="1"/>
  <c r="A2530" i="1" s="1"/>
  <c r="B2528" i="1"/>
  <c r="A2528" i="1" s="1"/>
  <c r="B2526" i="1"/>
  <c r="A2526" i="1" s="1"/>
  <c r="B2524" i="1"/>
  <c r="A2524" i="1" s="1"/>
  <c r="B2522" i="1"/>
  <c r="A2522" i="1" s="1"/>
  <c r="B2520" i="1"/>
  <c r="A2520" i="1" s="1"/>
  <c r="B2518" i="1"/>
  <c r="A2518" i="1" s="1"/>
  <c r="B2514" i="1"/>
  <c r="A2514" i="1" s="1"/>
  <c r="B2510" i="1"/>
  <c r="A2510" i="1" s="1"/>
  <c r="B2506" i="1"/>
  <c r="A2506" i="1" s="1"/>
  <c r="B2502" i="1"/>
  <c r="A2502" i="1" s="1"/>
  <c r="B2498" i="1"/>
  <c r="A2498" i="1" s="1"/>
  <c r="B2491" i="1"/>
  <c r="A2491" i="1" s="1"/>
  <c r="B2487" i="1"/>
  <c r="A2487" i="1" s="1"/>
  <c r="B2483" i="1"/>
  <c r="A2483" i="1" s="1"/>
  <c r="B2479" i="1"/>
  <c r="A2479" i="1" s="1"/>
  <c r="B2472" i="1"/>
  <c r="A2472" i="1" s="1"/>
  <c r="B2468" i="1"/>
  <c r="A2468" i="1" s="1"/>
  <c r="B2464" i="1"/>
  <c r="A2464" i="1" s="1"/>
  <c r="B2460" i="1"/>
  <c r="A2460" i="1" s="1"/>
  <c r="B2456" i="1"/>
  <c r="A2456" i="1" s="1"/>
  <c r="B2452" i="1"/>
  <c r="A2452" i="1" s="1"/>
  <c r="B2448" i="1"/>
  <c r="A2448" i="1" s="1"/>
  <c r="B2444" i="1"/>
  <c r="A2444" i="1" s="1"/>
  <c r="B2440" i="1"/>
  <c r="A2440" i="1" s="1"/>
  <c r="B2436" i="1"/>
  <c r="A2436" i="1" s="1"/>
  <c r="B2433" i="1"/>
  <c r="A2433" i="1" s="1"/>
  <c r="B2429" i="1"/>
  <c r="A2429" i="1" s="1"/>
  <c r="B2425" i="1"/>
  <c r="A2425" i="1" s="1"/>
  <c r="B2421" i="1"/>
  <c r="A2421" i="1" s="1"/>
  <c r="B2417" i="1"/>
  <c r="A2417" i="1" s="1"/>
  <c r="B2410" i="1"/>
  <c r="A2410" i="1" s="1"/>
  <c r="B2406" i="1"/>
  <c r="A2406" i="1" s="1"/>
  <c r="B2402" i="1"/>
  <c r="A2402" i="1" s="1"/>
  <c r="B2398" i="1"/>
  <c r="A2398" i="1" s="1"/>
  <c r="B2394" i="1"/>
  <c r="A2394" i="1" s="1"/>
  <c r="B2390" i="1"/>
  <c r="A2390" i="1" s="1"/>
  <c r="B2623" i="1"/>
  <c r="A2623" i="1" s="1"/>
  <c r="B2615" i="1"/>
  <c r="A2615" i="1" s="1"/>
  <c r="B2595" i="1"/>
  <c r="A2595" i="1" s="1"/>
  <c r="B2555" i="1"/>
  <c r="A2555" i="1" s="1"/>
  <c r="B2553" i="1"/>
  <c r="A2553" i="1" s="1"/>
  <c r="B2548" i="1"/>
  <c r="A2548" i="1" s="1"/>
  <c r="B2546" i="1"/>
  <c r="A2546" i="1" s="1"/>
  <c r="B2544" i="1"/>
  <c r="A2544" i="1" s="1"/>
  <c r="B2542" i="1"/>
  <c r="A2542" i="1" s="1"/>
  <c r="B2540" i="1"/>
  <c r="A2540" i="1" s="1"/>
  <c r="B2538" i="1"/>
  <c r="A2538" i="1" s="1"/>
  <c r="B2517" i="1"/>
  <c r="A2517" i="1" s="1"/>
  <c r="B2513" i="1"/>
  <c r="A2513" i="1" s="1"/>
  <c r="B2509" i="1"/>
  <c r="A2509" i="1" s="1"/>
  <c r="B2505" i="1"/>
  <c r="A2505" i="1" s="1"/>
  <c r="B2501" i="1"/>
  <c r="A2501" i="1" s="1"/>
  <c r="B2497" i="1"/>
  <c r="A2497" i="1" s="1"/>
  <c r="B2494" i="1"/>
  <c r="A2494" i="1" s="1"/>
  <c r="B2490" i="1"/>
  <c r="A2490" i="1" s="1"/>
  <c r="B2486" i="1"/>
  <c r="A2486" i="1" s="1"/>
  <c r="B2482" i="1"/>
  <c r="A2482" i="1" s="1"/>
  <c r="B2478" i="1"/>
  <c r="A2478" i="1" s="1"/>
  <c r="B2475" i="1"/>
  <c r="A2475" i="1" s="1"/>
  <c r="B2471" i="1"/>
  <c r="A2471" i="1" s="1"/>
  <c r="B2467" i="1"/>
  <c r="A2467" i="1" s="1"/>
  <c r="B2463" i="1"/>
  <c r="A2463" i="1" s="1"/>
  <c r="B2459" i="1"/>
  <c r="A2459" i="1" s="1"/>
  <c r="B2455" i="1"/>
  <c r="A2455" i="1" s="1"/>
  <c r="B2451" i="1"/>
  <c r="A2451" i="1" s="1"/>
  <c r="B2447" i="1"/>
  <c r="A2447" i="1" s="1"/>
  <c r="B2443" i="1"/>
  <c r="A2443" i="1" s="1"/>
  <c r="B2439" i="1"/>
  <c r="A2439" i="1" s="1"/>
  <c r="B2435" i="1"/>
  <c r="A2435" i="1" s="1"/>
  <c r="B2432" i="1"/>
  <c r="A2432" i="1" s="1"/>
  <c r="B2428" i="1"/>
  <c r="A2428" i="1" s="1"/>
  <c r="B2424" i="1"/>
  <c r="A2424" i="1" s="1"/>
  <c r="B2420" i="1"/>
  <c r="A2420" i="1" s="1"/>
  <c r="B2416" i="1"/>
  <c r="A2416" i="1" s="1"/>
  <c r="B2413" i="1"/>
  <c r="A2413" i="1" s="1"/>
  <c r="B2409" i="1"/>
  <c r="A2409" i="1" s="1"/>
  <c r="B2405" i="1"/>
  <c r="A2405" i="1" s="1"/>
  <c r="B2401" i="1"/>
  <c r="A2401" i="1" s="1"/>
  <c r="B2397" i="1"/>
  <c r="A2397" i="1" s="1"/>
  <c r="B2393" i="1"/>
  <c r="A2393" i="1" s="1"/>
  <c r="B2389" i="1"/>
  <c r="A2389" i="1" s="1"/>
  <c r="B2385" i="1"/>
  <c r="A2385" i="1" s="1"/>
  <c r="B2378" i="1"/>
  <c r="A2378" i="1" s="1"/>
  <c r="B2374" i="1"/>
  <c r="A2374" i="1" s="1"/>
  <c r="B2371" i="1"/>
  <c r="A2371" i="1" s="1"/>
  <c r="B2367" i="1"/>
  <c r="A2367" i="1" s="1"/>
  <c r="B2360" i="1"/>
  <c r="A2360" i="1" s="1"/>
  <c r="B2356" i="1"/>
  <c r="A2356" i="1" s="1"/>
  <c r="B2617" i="1"/>
  <c r="A2617" i="1" s="1"/>
  <c r="B2557" i="1"/>
  <c r="A2557" i="1" s="1"/>
  <c r="B2552" i="1"/>
  <c r="A2552" i="1" s="1"/>
  <c r="B2529" i="1"/>
  <c r="A2529" i="1" s="1"/>
  <c r="B2521" i="1"/>
  <c r="A2521" i="1" s="1"/>
  <c r="B2516" i="1"/>
  <c r="A2516" i="1" s="1"/>
  <c r="B2512" i="1"/>
  <c r="A2512" i="1" s="1"/>
  <c r="B2508" i="1"/>
  <c r="A2508" i="1" s="1"/>
  <c r="B2504" i="1"/>
  <c r="A2504" i="1" s="1"/>
  <c r="B2500" i="1"/>
  <c r="A2500" i="1" s="1"/>
  <c r="B2496" i="1"/>
  <c r="A2496" i="1" s="1"/>
  <c r="B2431" i="1"/>
  <c r="A2431" i="1" s="1"/>
  <c r="B2427" i="1"/>
  <c r="A2427" i="1" s="1"/>
  <c r="B2423" i="1"/>
  <c r="A2423" i="1" s="1"/>
  <c r="B2419" i="1"/>
  <c r="A2419" i="1" s="1"/>
  <c r="B2415" i="1"/>
  <c r="A2415" i="1" s="1"/>
  <c r="B2382" i="1"/>
  <c r="A2382" i="1" s="1"/>
  <c r="B2381" i="1"/>
  <c r="A2381" i="1" s="1"/>
  <c r="B2373" i="1"/>
  <c r="A2373" i="1" s="1"/>
  <c r="B2372" i="1"/>
  <c r="A2372" i="1" s="1"/>
  <c r="B2362" i="1"/>
  <c r="A2362" i="1" s="1"/>
  <c r="B2359" i="1"/>
  <c r="A2359" i="1" s="1"/>
  <c r="B2349" i="1"/>
  <c r="A2349" i="1" s="1"/>
  <c r="B2346" i="1"/>
  <c r="A2346" i="1" s="1"/>
  <c r="B2343" i="1"/>
  <c r="A2343" i="1" s="1"/>
  <c r="B2338" i="1"/>
  <c r="A2338" i="1" s="1"/>
  <c r="B2334" i="1"/>
  <c r="A2334" i="1" s="1"/>
  <c r="B2330" i="1"/>
  <c r="A2330" i="1" s="1"/>
  <c r="B2326" i="1"/>
  <c r="A2326" i="1" s="1"/>
  <c r="B2322" i="1"/>
  <c r="A2322" i="1" s="1"/>
  <c r="B2318" i="1"/>
  <c r="A2318" i="1" s="1"/>
  <c r="B2314" i="1"/>
  <c r="A2314" i="1" s="1"/>
  <c r="B2310" i="1"/>
  <c r="A2310" i="1" s="1"/>
  <c r="B2307" i="1"/>
  <c r="A2307" i="1" s="1"/>
  <c r="B2303" i="1"/>
  <c r="A2303" i="1" s="1"/>
  <c r="B2299" i="1"/>
  <c r="A2299" i="1" s="1"/>
  <c r="B2295" i="1"/>
  <c r="A2295" i="1" s="1"/>
  <c r="B2291" i="1"/>
  <c r="A2291" i="1" s="1"/>
  <c r="B2287" i="1"/>
  <c r="A2287" i="1" s="1"/>
  <c r="B2283" i="1"/>
  <c r="A2283" i="1" s="1"/>
  <c r="B2279" i="1"/>
  <c r="A2279" i="1" s="1"/>
  <c r="B2275" i="1"/>
  <c r="A2275" i="1" s="1"/>
  <c r="B2271" i="1"/>
  <c r="A2271" i="1" s="1"/>
  <c r="B2267" i="1"/>
  <c r="A2267" i="1" s="1"/>
  <c r="B2263" i="1"/>
  <c r="A2263" i="1" s="1"/>
  <c r="B2259" i="1"/>
  <c r="A2259" i="1" s="1"/>
  <c r="B2255" i="1"/>
  <c r="A2255" i="1" s="1"/>
  <c r="B2251" i="1"/>
  <c r="A2251" i="1" s="1"/>
  <c r="B2247" i="1"/>
  <c r="A2247" i="1" s="1"/>
  <c r="B2243" i="1"/>
  <c r="A2243" i="1" s="1"/>
  <c r="B2239" i="1"/>
  <c r="A2239" i="1" s="1"/>
  <c r="B2235" i="1"/>
  <c r="A2235" i="1" s="1"/>
  <c r="B2231" i="1"/>
  <c r="A2231" i="1" s="1"/>
  <c r="B2227" i="1"/>
  <c r="A2227" i="1" s="1"/>
  <c r="B2220" i="1"/>
  <c r="A2220" i="1" s="1"/>
  <c r="B2216" i="1"/>
  <c r="A2216" i="1" s="1"/>
  <c r="B2212" i="1"/>
  <c r="A2212" i="1" s="1"/>
  <c r="B2208" i="1"/>
  <c r="A2208" i="1" s="1"/>
  <c r="B2206" i="1"/>
  <c r="A2206" i="1" s="1"/>
  <c r="B2204" i="1"/>
  <c r="A2204" i="1" s="1"/>
  <c r="B2202" i="1"/>
  <c r="A2202" i="1" s="1"/>
  <c r="B2200" i="1"/>
  <c r="A2200" i="1" s="1"/>
  <c r="B2196" i="1"/>
  <c r="A2196" i="1" s="1"/>
  <c r="B2192" i="1"/>
  <c r="A2192" i="1" s="1"/>
  <c r="B2188" i="1"/>
  <c r="A2188" i="1" s="1"/>
  <c r="B2184" i="1"/>
  <c r="A2184" i="1" s="1"/>
  <c r="B2180" i="1"/>
  <c r="A2180" i="1" s="1"/>
  <c r="B2176" i="1"/>
  <c r="A2176" i="1" s="1"/>
  <c r="B2169" i="1"/>
  <c r="A2169" i="1" s="1"/>
  <c r="B2165" i="1"/>
  <c r="A2165" i="1" s="1"/>
  <c r="B2161" i="1"/>
  <c r="A2161" i="1" s="1"/>
  <c r="B2157" i="1"/>
  <c r="A2157" i="1" s="1"/>
  <c r="B2153" i="1"/>
  <c r="A2153" i="1" s="1"/>
  <c r="B2149" i="1"/>
  <c r="A2149" i="1" s="1"/>
  <c r="B2145" i="1"/>
  <c r="A2145" i="1" s="1"/>
  <c r="B2141" i="1"/>
  <c r="A2141" i="1" s="1"/>
  <c r="B2137" i="1"/>
  <c r="A2137" i="1" s="1"/>
  <c r="B2133" i="1"/>
  <c r="A2133" i="1" s="1"/>
  <c r="B2129" i="1"/>
  <c r="A2129" i="1" s="1"/>
  <c r="B2125" i="1"/>
  <c r="A2125" i="1" s="1"/>
  <c r="B2121" i="1"/>
  <c r="A2121" i="1" s="1"/>
  <c r="B2118" i="1"/>
  <c r="A2118" i="1" s="1"/>
  <c r="B2115" i="1"/>
  <c r="A2115" i="1" s="1"/>
  <c r="B2112" i="1"/>
  <c r="A2112" i="1" s="1"/>
  <c r="B2108" i="1"/>
  <c r="A2108" i="1" s="1"/>
  <c r="B2104" i="1"/>
  <c r="A2104" i="1" s="1"/>
  <c r="B2100" i="1"/>
  <c r="A2100" i="1" s="1"/>
  <c r="B2096" i="1"/>
  <c r="A2096" i="1" s="1"/>
  <c r="B2092" i="1"/>
  <c r="A2092" i="1" s="1"/>
  <c r="B2088" i="1"/>
  <c r="A2088" i="1" s="1"/>
  <c r="B2084" i="1"/>
  <c r="A2084" i="1" s="1"/>
  <c r="B2080" i="1"/>
  <c r="A2080" i="1" s="1"/>
  <c r="B2076" i="1"/>
  <c r="A2076" i="1" s="1"/>
  <c r="B2072" i="1"/>
  <c r="A2072" i="1" s="1"/>
  <c r="B2068" i="1"/>
  <c r="A2068" i="1" s="1"/>
  <c r="B2064" i="1"/>
  <c r="A2064" i="1" s="1"/>
  <c r="B2060" i="1"/>
  <c r="A2060" i="1" s="1"/>
  <c r="B2056" i="1"/>
  <c r="A2056" i="1" s="1"/>
  <c r="B2052" i="1"/>
  <c r="A2052" i="1" s="1"/>
  <c r="B2048" i="1"/>
  <c r="A2048" i="1" s="1"/>
  <c r="B2046" i="1"/>
  <c r="A2046" i="1" s="1"/>
  <c r="B2042" i="1"/>
  <c r="A2042" i="1" s="1"/>
  <c r="B2038" i="1"/>
  <c r="A2038" i="1" s="1"/>
  <c r="B2034" i="1"/>
  <c r="A2034" i="1" s="1"/>
  <c r="B2030" i="1"/>
  <c r="A2030" i="1" s="1"/>
  <c r="B2026" i="1"/>
  <c r="A2026" i="1" s="1"/>
  <c r="B2022" i="1"/>
  <c r="A2022" i="1" s="1"/>
  <c r="B2018" i="1"/>
  <c r="A2018" i="1" s="1"/>
  <c r="B2014" i="1"/>
  <c r="A2014" i="1" s="1"/>
  <c r="B2010" i="1"/>
  <c r="A2010" i="1" s="1"/>
  <c r="B2006" i="1"/>
  <c r="A2006" i="1" s="1"/>
  <c r="B2003" i="1"/>
  <c r="A2003" i="1" s="1"/>
  <c r="B1999" i="1"/>
  <c r="A1999" i="1" s="1"/>
  <c r="B1995" i="1"/>
  <c r="A1995" i="1" s="1"/>
  <c r="B1991" i="1"/>
  <c r="A1991" i="1" s="1"/>
  <c r="B1987" i="1"/>
  <c r="A1987" i="1" s="1"/>
  <c r="B1983" i="1"/>
  <c r="A1983" i="1" s="1"/>
  <c r="B1979" i="1"/>
  <c r="A1979" i="1" s="1"/>
  <c r="B1975" i="1"/>
  <c r="A1975" i="1" s="1"/>
  <c r="B1971" i="1"/>
  <c r="A1971" i="1" s="1"/>
  <c r="B1967" i="1"/>
  <c r="A1967" i="1" s="1"/>
  <c r="B1963" i="1"/>
  <c r="A1963" i="1" s="1"/>
  <c r="B2559" i="1"/>
  <c r="A2559" i="1" s="1"/>
  <c r="B2531" i="1"/>
  <c r="A2531" i="1" s="1"/>
  <c r="B2523" i="1"/>
  <c r="A2523" i="1" s="1"/>
  <c r="B2384" i="1"/>
  <c r="A2384" i="1" s="1"/>
  <c r="B2375" i="1"/>
  <c r="A2375" i="1" s="1"/>
  <c r="B2366" i="1"/>
  <c r="A2366" i="1" s="1"/>
  <c r="B2361" i="1"/>
  <c r="A2361" i="1" s="1"/>
  <c r="B2358" i="1"/>
  <c r="A2358" i="1" s="1"/>
  <c r="B2355" i="1"/>
  <c r="A2355" i="1" s="1"/>
  <c r="B2352" i="1"/>
  <c r="A2352" i="1" s="1"/>
  <c r="B2345" i="1"/>
  <c r="A2345" i="1" s="1"/>
  <c r="B2342" i="1"/>
  <c r="A2342" i="1" s="1"/>
  <c r="B2339" i="1"/>
  <c r="A2339" i="1" s="1"/>
  <c r="B2337" i="1"/>
  <c r="A2337" i="1" s="1"/>
  <c r="B2333" i="1"/>
  <c r="A2333" i="1" s="1"/>
  <c r="B2329" i="1"/>
  <c r="A2329" i="1" s="1"/>
  <c r="B2325" i="1"/>
  <c r="A2325" i="1" s="1"/>
  <c r="B2321" i="1"/>
  <c r="A2321" i="1" s="1"/>
  <c r="B2317" i="1"/>
  <c r="A2317" i="1" s="1"/>
  <c r="B2313" i="1"/>
  <c r="A2313" i="1" s="1"/>
  <c r="B2309" i="1"/>
  <c r="A2309" i="1" s="1"/>
  <c r="B2306" i="1"/>
  <c r="A2306" i="1" s="1"/>
  <c r="B2302" i="1"/>
  <c r="A2302" i="1" s="1"/>
  <c r="B2298" i="1"/>
  <c r="A2298" i="1" s="1"/>
  <c r="B2294" i="1"/>
  <c r="A2294" i="1" s="1"/>
  <c r="B2290" i="1"/>
  <c r="A2290" i="1" s="1"/>
  <c r="B2286" i="1"/>
  <c r="A2286" i="1" s="1"/>
  <c r="B2282" i="1"/>
  <c r="A2282" i="1" s="1"/>
  <c r="B2278" i="1"/>
  <c r="A2278" i="1" s="1"/>
  <c r="B2274" i="1"/>
  <c r="A2274" i="1" s="1"/>
  <c r="B2270" i="1"/>
  <c r="A2270" i="1" s="1"/>
  <c r="B2266" i="1"/>
  <c r="A2266" i="1" s="1"/>
  <c r="B2262" i="1"/>
  <c r="A2262" i="1" s="1"/>
  <c r="B2258" i="1"/>
  <c r="A2258" i="1" s="1"/>
  <c r="B2254" i="1"/>
  <c r="A2254" i="1" s="1"/>
  <c r="B2250" i="1"/>
  <c r="A2250" i="1" s="1"/>
  <c r="B2246" i="1"/>
  <c r="A2246" i="1" s="1"/>
  <c r="B2242" i="1"/>
  <c r="A2242" i="1" s="1"/>
  <c r="B2238" i="1"/>
  <c r="A2238" i="1" s="1"/>
  <c r="B2234" i="1"/>
  <c r="A2234" i="1" s="1"/>
  <c r="B2230" i="1"/>
  <c r="A2230" i="1" s="1"/>
  <c r="B2226" i="1"/>
  <c r="A2226" i="1" s="1"/>
  <c r="B2223" i="1"/>
  <c r="A2223" i="1" s="1"/>
  <c r="B2219" i="1"/>
  <c r="A2219" i="1" s="1"/>
  <c r="B2215" i="1"/>
  <c r="A2215" i="1" s="1"/>
  <c r="B2211" i="1"/>
  <c r="A2211" i="1" s="1"/>
  <c r="B2199" i="1"/>
  <c r="A2199" i="1" s="1"/>
  <c r="B2195" i="1"/>
  <c r="A2195" i="1" s="1"/>
  <c r="B2191" i="1"/>
  <c r="A2191" i="1" s="1"/>
  <c r="B2187" i="1"/>
  <c r="A2187" i="1" s="1"/>
  <c r="B2183" i="1"/>
  <c r="A2183" i="1" s="1"/>
  <c r="B2179" i="1"/>
  <c r="A2179" i="1" s="1"/>
  <c r="B2175" i="1"/>
  <c r="A2175" i="1" s="1"/>
  <c r="B2172" i="1"/>
  <c r="A2172" i="1" s="1"/>
  <c r="B2168" i="1"/>
  <c r="A2168" i="1" s="1"/>
  <c r="B2164" i="1"/>
  <c r="A2164" i="1" s="1"/>
  <c r="B2160" i="1"/>
  <c r="A2160" i="1" s="1"/>
  <c r="B2156" i="1"/>
  <c r="A2156" i="1" s="1"/>
  <c r="B2152" i="1"/>
  <c r="A2152" i="1" s="1"/>
  <c r="B2148" i="1"/>
  <c r="A2148" i="1" s="1"/>
  <c r="B2144" i="1"/>
  <c r="A2144" i="1" s="1"/>
  <c r="B2140" i="1"/>
  <c r="A2140" i="1" s="1"/>
  <c r="B2136" i="1"/>
  <c r="A2136" i="1" s="1"/>
  <c r="B2132" i="1"/>
  <c r="A2132" i="1" s="1"/>
  <c r="B2128" i="1"/>
  <c r="A2128" i="1" s="1"/>
  <c r="B2124" i="1"/>
  <c r="A2124" i="1" s="1"/>
  <c r="B2120" i="1"/>
  <c r="A2120" i="1" s="1"/>
  <c r="B2117" i="1"/>
  <c r="A2117" i="1" s="1"/>
  <c r="B2114" i="1"/>
  <c r="A2114" i="1" s="1"/>
  <c r="B2111" i="1"/>
  <c r="A2111" i="1" s="1"/>
  <c r="B2107" i="1"/>
  <c r="A2107" i="1" s="1"/>
  <c r="B2103" i="1"/>
  <c r="A2103" i="1" s="1"/>
  <c r="B2099" i="1"/>
  <c r="A2099" i="1" s="1"/>
  <c r="B2095" i="1"/>
  <c r="A2095" i="1" s="1"/>
  <c r="B2091" i="1"/>
  <c r="A2091" i="1" s="1"/>
  <c r="B2087" i="1"/>
  <c r="A2087" i="1" s="1"/>
  <c r="B2083" i="1"/>
  <c r="A2083" i="1" s="1"/>
  <c r="B2079" i="1"/>
  <c r="A2079" i="1" s="1"/>
  <c r="B2075" i="1"/>
  <c r="A2075" i="1" s="1"/>
  <c r="B2071" i="1"/>
  <c r="A2071" i="1" s="1"/>
  <c r="B2067" i="1"/>
  <c r="A2067" i="1" s="1"/>
  <c r="B2063" i="1"/>
  <c r="A2063" i="1" s="1"/>
  <c r="B2059" i="1"/>
  <c r="A2059" i="1" s="1"/>
  <c r="B2055" i="1"/>
  <c r="A2055" i="1" s="1"/>
  <c r="B2051" i="1"/>
  <c r="A2051" i="1" s="1"/>
  <c r="B2045" i="1"/>
  <c r="A2045" i="1" s="1"/>
  <c r="B2041" i="1"/>
  <c r="A2041" i="1" s="1"/>
  <c r="B2037" i="1"/>
  <c r="A2037" i="1" s="1"/>
  <c r="B2033" i="1"/>
  <c r="A2033" i="1" s="1"/>
  <c r="B2029" i="1"/>
  <c r="A2029" i="1" s="1"/>
  <c r="B2025" i="1"/>
  <c r="A2025" i="1" s="1"/>
  <c r="B2021" i="1"/>
  <c r="A2021" i="1" s="1"/>
  <c r="B2017" i="1"/>
  <c r="A2017" i="1" s="1"/>
  <c r="B2013" i="1"/>
  <c r="A2013" i="1" s="1"/>
  <c r="B2009" i="1"/>
  <c r="A2009" i="1" s="1"/>
  <c r="B2005" i="1"/>
  <c r="A2005" i="1" s="1"/>
  <c r="B2002" i="1"/>
  <c r="A2002" i="1" s="1"/>
  <c r="B2597" i="1"/>
  <c r="A2597" i="1" s="1"/>
  <c r="B2561" i="1"/>
  <c r="A2561" i="1" s="1"/>
  <c r="B2533" i="1"/>
  <c r="A2533" i="1" s="1"/>
  <c r="B2525" i="1"/>
  <c r="A2525" i="1" s="1"/>
  <c r="B2474" i="1"/>
  <c r="A2474" i="1" s="1"/>
  <c r="B2470" i="1"/>
  <c r="A2470" i="1" s="1"/>
  <c r="B2466" i="1"/>
  <c r="A2466" i="1" s="1"/>
  <c r="B2462" i="1"/>
  <c r="A2462" i="1" s="1"/>
  <c r="B2458" i="1"/>
  <c r="A2458" i="1" s="1"/>
  <c r="B2454" i="1"/>
  <c r="A2454" i="1" s="1"/>
  <c r="B2450" i="1"/>
  <c r="A2450" i="1" s="1"/>
  <c r="B2446" i="1"/>
  <c r="A2446" i="1" s="1"/>
  <c r="B2442" i="1"/>
  <c r="A2442" i="1" s="1"/>
  <c r="B2438" i="1"/>
  <c r="A2438" i="1" s="1"/>
  <c r="B2434" i="1"/>
  <c r="A2434" i="1" s="1"/>
  <c r="B2386" i="1"/>
  <c r="A2386" i="1" s="1"/>
  <c r="B2377" i="1"/>
  <c r="A2377" i="1" s="1"/>
  <c r="B2368" i="1"/>
  <c r="A2368" i="1" s="1"/>
  <c r="B2365" i="1"/>
  <c r="A2365" i="1" s="1"/>
  <c r="B2357" i="1"/>
  <c r="A2357" i="1" s="1"/>
  <c r="B2354" i="1"/>
  <c r="A2354" i="1" s="1"/>
  <c r="B2351" i="1"/>
  <c r="A2351" i="1" s="1"/>
  <c r="B2348" i="1"/>
  <c r="A2348" i="1" s="1"/>
  <c r="B2344" i="1"/>
  <c r="A2344" i="1" s="1"/>
  <c r="B2341" i="1"/>
  <c r="A2341" i="1" s="1"/>
  <c r="B2336" i="1"/>
  <c r="A2336" i="1" s="1"/>
  <c r="B2332" i="1"/>
  <c r="A2332" i="1" s="1"/>
  <c r="B2328" i="1"/>
  <c r="A2328" i="1" s="1"/>
  <c r="B2324" i="1"/>
  <c r="A2324" i="1" s="1"/>
  <c r="B2320" i="1"/>
  <c r="A2320" i="1" s="1"/>
  <c r="B2316" i="1"/>
  <c r="A2316" i="1" s="1"/>
  <c r="B2312" i="1"/>
  <c r="A2312" i="1" s="1"/>
  <c r="B2305" i="1"/>
  <c r="A2305" i="1" s="1"/>
  <c r="B2301" i="1"/>
  <c r="A2301" i="1" s="1"/>
  <c r="B2297" i="1"/>
  <c r="A2297" i="1" s="1"/>
  <c r="B2293" i="1"/>
  <c r="A2293" i="1" s="1"/>
  <c r="B2289" i="1"/>
  <c r="A2289" i="1" s="1"/>
  <c r="B2285" i="1"/>
  <c r="A2285" i="1" s="1"/>
  <c r="B2281" i="1"/>
  <c r="A2281" i="1" s="1"/>
  <c r="B2277" i="1"/>
  <c r="A2277" i="1" s="1"/>
  <c r="B2273" i="1"/>
  <c r="A2273" i="1" s="1"/>
  <c r="B2269" i="1"/>
  <c r="A2269" i="1" s="1"/>
  <c r="B2265" i="1"/>
  <c r="A2265" i="1" s="1"/>
  <c r="B2261" i="1"/>
  <c r="A2261" i="1" s="1"/>
  <c r="B2257" i="1"/>
  <c r="A2257" i="1" s="1"/>
  <c r="B2253" i="1"/>
  <c r="A2253" i="1" s="1"/>
  <c r="B2249" i="1"/>
  <c r="A2249" i="1" s="1"/>
  <c r="B2245" i="1"/>
  <c r="A2245" i="1" s="1"/>
  <c r="B2241" i="1"/>
  <c r="A2241" i="1" s="1"/>
  <c r="B2237" i="1"/>
  <c r="A2237" i="1" s="1"/>
  <c r="B2233" i="1"/>
  <c r="A2233" i="1" s="1"/>
  <c r="B2229" i="1"/>
  <c r="A2229" i="1" s="1"/>
  <c r="B2225" i="1"/>
  <c r="A2225" i="1" s="1"/>
  <c r="B2222" i="1"/>
  <c r="A2222" i="1" s="1"/>
  <c r="B2218" i="1"/>
  <c r="A2218" i="1" s="1"/>
  <c r="B2214" i="1"/>
  <c r="A2214" i="1" s="1"/>
  <c r="B2210" i="1"/>
  <c r="A2210" i="1" s="1"/>
  <c r="B2207" i="1"/>
  <c r="A2207" i="1" s="1"/>
  <c r="B2205" i="1"/>
  <c r="A2205" i="1" s="1"/>
  <c r="B2203" i="1"/>
  <c r="A2203" i="1" s="1"/>
  <c r="B2201" i="1"/>
  <c r="A2201" i="1" s="1"/>
  <c r="B2198" i="1"/>
  <c r="A2198" i="1" s="1"/>
  <c r="B2194" i="1"/>
  <c r="A2194" i="1" s="1"/>
  <c r="B2190" i="1"/>
  <c r="A2190" i="1" s="1"/>
  <c r="B2186" i="1"/>
  <c r="A2186" i="1" s="1"/>
  <c r="B2182" i="1"/>
  <c r="A2182" i="1" s="1"/>
  <c r="B2178" i="1"/>
  <c r="A2178" i="1" s="1"/>
  <c r="B2174" i="1"/>
  <c r="A2174" i="1" s="1"/>
  <c r="B2171" i="1"/>
  <c r="A2171" i="1" s="1"/>
  <c r="B2167" i="1"/>
  <c r="A2167" i="1" s="1"/>
  <c r="B2163" i="1"/>
  <c r="A2163" i="1" s="1"/>
  <c r="B2159" i="1"/>
  <c r="A2159" i="1" s="1"/>
  <c r="B2155" i="1"/>
  <c r="A2155" i="1" s="1"/>
  <c r="B2151" i="1"/>
  <c r="A2151" i="1" s="1"/>
  <c r="B2147" i="1"/>
  <c r="A2147" i="1" s="1"/>
  <c r="B2143" i="1"/>
  <c r="A2143" i="1" s="1"/>
  <c r="B2139" i="1"/>
  <c r="A2139" i="1" s="1"/>
  <c r="B2135" i="1"/>
  <c r="A2135" i="1" s="1"/>
  <c r="B2131" i="1"/>
  <c r="A2131" i="1" s="1"/>
  <c r="B2127" i="1"/>
  <c r="A2127" i="1" s="1"/>
  <c r="B2123" i="1"/>
  <c r="A2123" i="1" s="1"/>
  <c r="B2110" i="1"/>
  <c r="A2110" i="1" s="1"/>
  <c r="B2106" i="1"/>
  <c r="A2106" i="1" s="1"/>
  <c r="B2102" i="1"/>
  <c r="A2102" i="1" s="1"/>
  <c r="B2098" i="1"/>
  <c r="A2098" i="1" s="1"/>
  <c r="B2094" i="1"/>
  <c r="A2094" i="1" s="1"/>
  <c r="B2090" i="1"/>
  <c r="A2090" i="1" s="1"/>
  <c r="B2086" i="1"/>
  <c r="A2086" i="1" s="1"/>
  <c r="B2082" i="1"/>
  <c r="A2082" i="1" s="1"/>
  <c r="B2078" i="1"/>
  <c r="A2078" i="1" s="1"/>
  <c r="B2074" i="1"/>
  <c r="A2074" i="1" s="1"/>
  <c r="B2070" i="1"/>
  <c r="A2070" i="1" s="1"/>
  <c r="B2066" i="1"/>
  <c r="A2066" i="1" s="1"/>
  <c r="B2062" i="1"/>
  <c r="A2062" i="1" s="1"/>
  <c r="B2058" i="1"/>
  <c r="A2058" i="1" s="1"/>
  <c r="B2054" i="1"/>
  <c r="A2054" i="1" s="1"/>
  <c r="B2050" i="1"/>
  <c r="A2050" i="1" s="1"/>
  <c r="B2047" i="1"/>
  <c r="A2047" i="1" s="1"/>
  <c r="B2044" i="1"/>
  <c r="A2044" i="1" s="1"/>
  <c r="B2040" i="1"/>
  <c r="A2040" i="1" s="1"/>
  <c r="B2036" i="1"/>
  <c r="A2036" i="1" s="1"/>
  <c r="B2032" i="1"/>
  <c r="A2032" i="1" s="1"/>
  <c r="B2028" i="1"/>
  <c r="A2028" i="1" s="1"/>
  <c r="B2024" i="1"/>
  <c r="A2024" i="1" s="1"/>
  <c r="B2020" i="1"/>
  <c r="A2020" i="1" s="1"/>
  <c r="B2016" i="1"/>
  <c r="A2016" i="1" s="1"/>
  <c r="B2012" i="1"/>
  <c r="A2012" i="1" s="1"/>
  <c r="B2008" i="1"/>
  <c r="A2008" i="1" s="1"/>
  <c r="B2001" i="1"/>
  <c r="A2001" i="1" s="1"/>
  <c r="B1997" i="1"/>
  <c r="A1997" i="1" s="1"/>
  <c r="B1993" i="1"/>
  <c r="A1993" i="1" s="1"/>
  <c r="B1989" i="1"/>
  <c r="A1989" i="1" s="1"/>
  <c r="B1985" i="1"/>
  <c r="A1985" i="1" s="1"/>
  <c r="B1981" i="1"/>
  <c r="A1981" i="1" s="1"/>
  <c r="B1977" i="1"/>
  <c r="A1977" i="1" s="1"/>
  <c r="B1973" i="1"/>
  <c r="A1973" i="1" s="1"/>
  <c r="B1969" i="1"/>
  <c r="A1969" i="1" s="1"/>
  <c r="B1965" i="1"/>
  <c r="A1965" i="1" s="1"/>
  <c r="B1961" i="1"/>
  <c r="A1961" i="1" s="1"/>
  <c r="B1957" i="1"/>
  <c r="A1957" i="1" s="1"/>
  <c r="B2563" i="1"/>
  <c r="A2563" i="1" s="1"/>
  <c r="B2550" i="1"/>
  <c r="A2550" i="1" s="1"/>
  <c r="B2535" i="1"/>
  <c r="A2535" i="1" s="1"/>
  <c r="B2527" i="1"/>
  <c r="A2527" i="1" s="1"/>
  <c r="B2519" i="1"/>
  <c r="A2519" i="1" s="1"/>
  <c r="B2493" i="1"/>
  <c r="A2493" i="1" s="1"/>
  <c r="B2489" i="1"/>
  <c r="A2489" i="1" s="1"/>
  <c r="B2485" i="1"/>
  <c r="A2485" i="1" s="1"/>
  <c r="B2481" i="1"/>
  <c r="A2481" i="1" s="1"/>
  <c r="B2477" i="1"/>
  <c r="A2477" i="1" s="1"/>
  <c r="B2412" i="1"/>
  <c r="A2412" i="1" s="1"/>
  <c r="B2408" i="1"/>
  <c r="A2408" i="1" s="1"/>
  <c r="B2404" i="1"/>
  <c r="A2404" i="1" s="1"/>
  <c r="B2400" i="1"/>
  <c r="A2400" i="1" s="1"/>
  <c r="B2396" i="1"/>
  <c r="A2396" i="1" s="1"/>
  <c r="B2392" i="1"/>
  <c r="A2392" i="1" s="1"/>
  <c r="B2388" i="1"/>
  <c r="A2388" i="1" s="1"/>
  <c r="B2379" i="1"/>
  <c r="A2379" i="1" s="1"/>
  <c r="B2370" i="1"/>
  <c r="A2370" i="1" s="1"/>
  <c r="B2364" i="1"/>
  <c r="A2364" i="1" s="1"/>
  <c r="B2363" i="1"/>
  <c r="A2363" i="1" s="1"/>
  <c r="B2353" i="1"/>
  <c r="A2353" i="1" s="1"/>
  <c r="B2350" i="1"/>
  <c r="A2350" i="1" s="1"/>
  <c r="B2347" i="1"/>
  <c r="A2347" i="1" s="1"/>
  <c r="B2340" i="1"/>
  <c r="A2340" i="1" s="1"/>
  <c r="B2335" i="1"/>
  <c r="A2335" i="1" s="1"/>
  <c r="B2331" i="1"/>
  <c r="A2331" i="1" s="1"/>
  <c r="B2327" i="1"/>
  <c r="A2327" i="1" s="1"/>
  <c r="B2323" i="1"/>
  <c r="A2323" i="1" s="1"/>
  <c r="B2319" i="1"/>
  <c r="A2319" i="1" s="1"/>
  <c r="B2315" i="1"/>
  <c r="A2315" i="1" s="1"/>
  <c r="B2311" i="1"/>
  <c r="A2311" i="1" s="1"/>
  <c r="B2308" i="1"/>
  <c r="A2308" i="1" s="1"/>
  <c r="B2304" i="1"/>
  <c r="A2304" i="1" s="1"/>
  <c r="B2300" i="1"/>
  <c r="A2300" i="1" s="1"/>
  <c r="B2296" i="1"/>
  <c r="A2296" i="1" s="1"/>
  <c r="B2292" i="1"/>
  <c r="A2292" i="1" s="1"/>
  <c r="B2288" i="1"/>
  <c r="A2288" i="1" s="1"/>
  <c r="B2284" i="1"/>
  <c r="A2284" i="1" s="1"/>
  <c r="B2280" i="1"/>
  <c r="A2280" i="1" s="1"/>
  <c r="B2276" i="1"/>
  <c r="A2276" i="1" s="1"/>
  <c r="B2272" i="1"/>
  <c r="A2272" i="1" s="1"/>
  <c r="B2268" i="1"/>
  <c r="A2268" i="1" s="1"/>
  <c r="B2264" i="1"/>
  <c r="A2264" i="1" s="1"/>
  <c r="B2260" i="1"/>
  <c r="A2260" i="1" s="1"/>
  <c r="B2256" i="1"/>
  <c r="A2256" i="1" s="1"/>
  <c r="B2252" i="1"/>
  <c r="A2252" i="1" s="1"/>
  <c r="B2248" i="1"/>
  <c r="A2248" i="1" s="1"/>
  <c r="B2244" i="1"/>
  <c r="A2244" i="1" s="1"/>
  <c r="B2240" i="1"/>
  <c r="A2240" i="1" s="1"/>
  <c r="B2236" i="1"/>
  <c r="A2236" i="1" s="1"/>
  <c r="B2232" i="1"/>
  <c r="A2232" i="1" s="1"/>
  <c r="B2228" i="1"/>
  <c r="A2228" i="1" s="1"/>
  <c r="B2224" i="1"/>
  <c r="A2224" i="1" s="1"/>
  <c r="B2221" i="1"/>
  <c r="A2221" i="1" s="1"/>
  <c r="B2217" i="1"/>
  <c r="A2217" i="1" s="1"/>
  <c r="B2213" i="1"/>
  <c r="A2213" i="1" s="1"/>
  <c r="B2209" i="1"/>
  <c r="A2209" i="1" s="1"/>
  <c r="B2197" i="1"/>
  <c r="A2197" i="1" s="1"/>
  <c r="B2193" i="1"/>
  <c r="A2193" i="1" s="1"/>
  <c r="B2189" i="1"/>
  <c r="A2189" i="1" s="1"/>
  <c r="B2185" i="1"/>
  <c r="A2185" i="1" s="1"/>
  <c r="B2181" i="1"/>
  <c r="A2181" i="1" s="1"/>
  <c r="B2177" i="1"/>
  <c r="A2177" i="1" s="1"/>
  <c r="B2173" i="1"/>
  <c r="A2173" i="1" s="1"/>
  <c r="B2170" i="1"/>
  <c r="A2170" i="1" s="1"/>
  <c r="B2166" i="1"/>
  <c r="A2166" i="1" s="1"/>
  <c r="B2162" i="1"/>
  <c r="A2162" i="1" s="1"/>
  <c r="B2158" i="1"/>
  <c r="A2158" i="1" s="1"/>
  <c r="B2154" i="1"/>
  <c r="A2154" i="1" s="1"/>
  <c r="B2150" i="1"/>
  <c r="A2150" i="1" s="1"/>
  <c r="B2146" i="1"/>
  <c r="A2146" i="1" s="1"/>
  <c r="B2142" i="1"/>
  <c r="A2142" i="1" s="1"/>
  <c r="B2138" i="1"/>
  <c r="A2138" i="1" s="1"/>
  <c r="B2134" i="1"/>
  <c r="A2134" i="1" s="1"/>
  <c r="B2130" i="1"/>
  <c r="A2130" i="1" s="1"/>
  <c r="B2126" i="1"/>
  <c r="A2126" i="1" s="1"/>
  <c r="B2122" i="1"/>
  <c r="A2122" i="1" s="1"/>
  <c r="B2119" i="1"/>
  <c r="A2119" i="1" s="1"/>
  <c r="B2116" i="1"/>
  <c r="A2116" i="1" s="1"/>
  <c r="B2113" i="1"/>
  <c r="A2113" i="1" s="1"/>
  <c r="B2109" i="1"/>
  <c r="A2109" i="1" s="1"/>
  <c r="B2105" i="1"/>
  <c r="A2105" i="1" s="1"/>
  <c r="B2101" i="1"/>
  <c r="A2101" i="1" s="1"/>
  <c r="B2097" i="1"/>
  <c r="A2097" i="1" s="1"/>
  <c r="B2093" i="1"/>
  <c r="A2093" i="1" s="1"/>
  <c r="B2089" i="1"/>
  <c r="A2089" i="1" s="1"/>
  <c r="B2085" i="1"/>
  <c r="A2085" i="1" s="1"/>
  <c r="B2081" i="1"/>
  <c r="A2081" i="1" s="1"/>
  <c r="B2077" i="1"/>
  <c r="A2077" i="1" s="1"/>
  <c r="B2073" i="1"/>
  <c r="A2073" i="1" s="1"/>
  <c r="B2069" i="1"/>
  <c r="A2069" i="1" s="1"/>
  <c r="B2065" i="1"/>
  <c r="A2065" i="1" s="1"/>
  <c r="B2061" i="1"/>
  <c r="A2061" i="1" s="1"/>
  <c r="B2057" i="1"/>
  <c r="A2057" i="1" s="1"/>
  <c r="B2053" i="1"/>
  <c r="A2053" i="1" s="1"/>
  <c r="B2049" i="1"/>
  <c r="A2049" i="1" s="1"/>
  <c r="B2043" i="1"/>
  <c r="A2043" i="1" s="1"/>
  <c r="B2039" i="1"/>
  <c r="A2039" i="1" s="1"/>
  <c r="B2035" i="1"/>
  <c r="A2035" i="1" s="1"/>
  <c r="B2031" i="1"/>
  <c r="A2031" i="1" s="1"/>
  <c r="B2027" i="1"/>
  <c r="A2027" i="1" s="1"/>
  <c r="B2023" i="1"/>
  <c r="A2023" i="1" s="1"/>
  <c r="B2019" i="1"/>
  <c r="A2019" i="1" s="1"/>
  <c r="B2015" i="1"/>
  <c r="A2015" i="1" s="1"/>
  <c r="B2011" i="1"/>
  <c r="A2011" i="1" s="1"/>
  <c r="B2007" i="1"/>
  <c r="A2007" i="1" s="1"/>
  <c r="B2004" i="1"/>
  <c r="A2004" i="1" s="1"/>
  <c r="B2000" i="1"/>
  <c r="A2000" i="1" s="1"/>
  <c r="B1996" i="1"/>
  <c r="A1996" i="1" s="1"/>
  <c r="B1992" i="1"/>
  <c r="A1992" i="1" s="1"/>
  <c r="B1984" i="1"/>
  <c r="A1984" i="1" s="1"/>
  <c r="B1976" i="1"/>
  <c r="A1976" i="1" s="1"/>
  <c r="B1968" i="1"/>
  <c r="A1968" i="1" s="1"/>
  <c r="B1954" i="1"/>
  <c r="A1954" i="1" s="1"/>
  <c r="B1951" i="1"/>
  <c r="A1951" i="1" s="1"/>
  <c r="B1947" i="1"/>
  <c r="A1947" i="1" s="1"/>
  <c r="B1943" i="1"/>
  <c r="A1943" i="1" s="1"/>
  <c r="B1939" i="1"/>
  <c r="A1939" i="1" s="1"/>
  <c r="B1935" i="1"/>
  <c r="A1935" i="1" s="1"/>
  <c r="B1931" i="1"/>
  <c r="A1931" i="1" s="1"/>
  <c r="B1927" i="1"/>
  <c r="A1927" i="1" s="1"/>
  <c r="B1923" i="1"/>
  <c r="A1923" i="1" s="1"/>
  <c r="B1919" i="1"/>
  <c r="A1919" i="1" s="1"/>
  <c r="B1915" i="1"/>
  <c r="A1915" i="1" s="1"/>
  <c r="B1911" i="1"/>
  <c r="A1911" i="1" s="1"/>
  <c r="B1907" i="1"/>
  <c r="A1907" i="1" s="1"/>
  <c r="B1904" i="1"/>
  <c r="A1904" i="1" s="1"/>
  <c r="B1901" i="1"/>
  <c r="A1901" i="1" s="1"/>
  <c r="B1898" i="1"/>
  <c r="A1898" i="1" s="1"/>
  <c r="B1895" i="1"/>
  <c r="A1895" i="1" s="1"/>
  <c r="B1890" i="1"/>
  <c r="A1890" i="1" s="1"/>
  <c r="B1888" i="1"/>
  <c r="A1888" i="1" s="1"/>
  <c r="B1885" i="1"/>
  <c r="A1885" i="1" s="1"/>
  <c r="B1882" i="1"/>
  <c r="A1882" i="1" s="1"/>
  <c r="B1878" i="1"/>
  <c r="A1878" i="1" s="1"/>
  <c r="B1875" i="1"/>
  <c r="A1875" i="1" s="1"/>
  <c r="B1872" i="1"/>
  <c r="A1872" i="1" s="1"/>
  <c r="B1865" i="1"/>
  <c r="A1865" i="1" s="1"/>
  <c r="B1861" i="1"/>
  <c r="A1861" i="1" s="1"/>
  <c r="B1857" i="1"/>
  <c r="A1857" i="1" s="1"/>
  <c r="B1853" i="1"/>
  <c r="A1853" i="1" s="1"/>
  <c r="B1849" i="1"/>
  <c r="A1849" i="1" s="1"/>
  <c r="B1845" i="1"/>
  <c r="A1845" i="1" s="1"/>
  <c r="B1841" i="1"/>
  <c r="A1841" i="1" s="1"/>
  <c r="B1837" i="1"/>
  <c r="A1837" i="1" s="1"/>
  <c r="B1833" i="1"/>
  <c r="A1833" i="1" s="1"/>
  <c r="B1829" i="1"/>
  <c r="A1829" i="1" s="1"/>
  <c r="B1825" i="1"/>
  <c r="A1825" i="1" s="1"/>
  <c r="B1821" i="1"/>
  <c r="A1821" i="1" s="1"/>
  <c r="B1817" i="1"/>
  <c r="A1817" i="1" s="1"/>
  <c r="B1813" i="1"/>
  <c r="A1813" i="1" s="1"/>
  <c r="B1809" i="1"/>
  <c r="A1809" i="1" s="1"/>
  <c r="B1805" i="1"/>
  <c r="A1805" i="1" s="1"/>
  <c r="B1801" i="1"/>
  <c r="A1801" i="1" s="1"/>
  <c r="B1797" i="1"/>
  <c r="A1797" i="1" s="1"/>
  <c r="B1793" i="1"/>
  <c r="A1793" i="1" s="1"/>
  <c r="B1789" i="1"/>
  <c r="A1789" i="1" s="1"/>
  <c r="B1785" i="1"/>
  <c r="A1785" i="1" s="1"/>
  <c r="B1781" i="1"/>
  <c r="A1781" i="1" s="1"/>
  <c r="B1777" i="1"/>
  <c r="A1777" i="1" s="1"/>
  <c r="B1773" i="1"/>
  <c r="A1773" i="1" s="1"/>
  <c r="B1769" i="1"/>
  <c r="A1769" i="1" s="1"/>
  <c r="B1765" i="1"/>
  <c r="A1765" i="1" s="1"/>
  <c r="B1761" i="1"/>
  <c r="A1761" i="1" s="1"/>
  <c r="B1757" i="1"/>
  <c r="A1757" i="1" s="1"/>
  <c r="B1753" i="1"/>
  <c r="A1753" i="1" s="1"/>
  <c r="B1749" i="1"/>
  <c r="A1749" i="1" s="1"/>
  <c r="B1745" i="1"/>
  <c r="A1745" i="1" s="1"/>
  <c r="B1741" i="1"/>
  <c r="A1741" i="1" s="1"/>
  <c r="B1737" i="1"/>
  <c r="A1737" i="1" s="1"/>
  <c r="B1733" i="1"/>
  <c r="A1733" i="1" s="1"/>
  <c r="B1729" i="1"/>
  <c r="A1729" i="1" s="1"/>
  <c r="B1725" i="1"/>
  <c r="A1725" i="1" s="1"/>
  <c r="B1721" i="1"/>
  <c r="A1721" i="1" s="1"/>
  <c r="B1717" i="1"/>
  <c r="A1717" i="1" s="1"/>
  <c r="B1713" i="1"/>
  <c r="A1713" i="1" s="1"/>
  <c r="B1709" i="1"/>
  <c r="A1709" i="1" s="1"/>
  <c r="B1705" i="1"/>
  <c r="A1705" i="1" s="1"/>
  <c r="B1701" i="1"/>
  <c r="A1701" i="1" s="1"/>
  <c r="B1697" i="1"/>
  <c r="A1697" i="1" s="1"/>
  <c r="B1693" i="1"/>
  <c r="A1693" i="1" s="1"/>
  <c r="B1689" i="1"/>
  <c r="A1689" i="1" s="1"/>
  <c r="B1685" i="1"/>
  <c r="A1685" i="1" s="1"/>
  <c r="B1681" i="1"/>
  <c r="A1681" i="1" s="1"/>
  <c r="B1677" i="1"/>
  <c r="A1677" i="1" s="1"/>
  <c r="B1673" i="1"/>
  <c r="A1673" i="1" s="1"/>
  <c r="B1669" i="1"/>
  <c r="A1669" i="1" s="1"/>
  <c r="B1665" i="1"/>
  <c r="A1665" i="1" s="1"/>
  <c r="B1661" i="1"/>
  <c r="A1661" i="1" s="1"/>
  <c r="B1657" i="1"/>
  <c r="A1657" i="1" s="1"/>
  <c r="B1653" i="1"/>
  <c r="A1653" i="1" s="1"/>
  <c r="B1649" i="1"/>
  <c r="A1649" i="1" s="1"/>
  <c r="B1645" i="1"/>
  <c r="A1645" i="1" s="1"/>
  <c r="B1641" i="1"/>
  <c r="A1641" i="1" s="1"/>
  <c r="B1637" i="1"/>
  <c r="A1637" i="1" s="1"/>
  <c r="B1633" i="1"/>
  <c r="A1633" i="1" s="1"/>
  <c r="B1629" i="1"/>
  <c r="A1629" i="1" s="1"/>
  <c r="B1625" i="1"/>
  <c r="A1625" i="1" s="1"/>
  <c r="B1621" i="1"/>
  <c r="A1621" i="1" s="1"/>
  <c r="B1617" i="1"/>
  <c r="A1617" i="1" s="1"/>
  <c r="B1613" i="1"/>
  <c r="A1613" i="1" s="1"/>
  <c r="B1609" i="1"/>
  <c r="A1609" i="1" s="1"/>
  <c r="B1605" i="1"/>
  <c r="A1605" i="1" s="1"/>
  <c r="B1601" i="1"/>
  <c r="A1601" i="1" s="1"/>
  <c r="B1597" i="1"/>
  <c r="A1597" i="1" s="1"/>
  <c r="B1593" i="1"/>
  <c r="A1593" i="1" s="1"/>
  <c r="B1589" i="1"/>
  <c r="A1589" i="1" s="1"/>
  <c r="B1585" i="1"/>
  <c r="A1585" i="1" s="1"/>
  <c r="B1581" i="1"/>
  <c r="A1581" i="1" s="1"/>
  <c r="B1577" i="1"/>
  <c r="A1577" i="1" s="1"/>
  <c r="B1573" i="1"/>
  <c r="A1573" i="1" s="1"/>
  <c r="B1569" i="1"/>
  <c r="A1569" i="1" s="1"/>
  <c r="B1565" i="1"/>
  <c r="A1565" i="1" s="1"/>
  <c r="B1561" i="1"/>
  <c r="A1561" i="1" s="1"/>
  <c r="B1557" i="1"/>
  <c r="A1557" i="1" s="1"/>
  <c r="B1986" i="1"/>
  <c r="A1986" i="1" s="1"/>
  <c r="B1978" i="1"/>
  <c r="A1978" i="1" s="1"/>
  <c r="B1970" i="1"/>
  <c r="A1970" i="1" s="1"/>
  <c r="B1960" i="1"/>
  <c r="A1960" i="1" s="1"/>
  <c r="B1950" i="1"/>
  <c r="A1950" i="1" s="1"/>
  <c r="B1946" i="1"/>
  <c r="A1946" i="1" s="1"/>
  <c r="B1942" i="1"/>
  <c r="A1942" i="1" s="1"/>
  <c r="B1938" i="1"/>
  <c r="A1938" i="1" s="1"/>
  <c r="B1934" i="1"/>
  <c r="A1934" i="1" s="1"/>
  <c r="B1930" i="1"/>
  <c r="A1930" i="1" s="1"/>
  <c r="B1926" i="1"/>
  <c r="A1926" i="1" s="1"/>
  <c r="B1922" i="1"/>
  <c r="A1922" i="1" s="1"/>
  <c r="B1918" i="1"/>
  <c r="A1918" i="1" s="1"/>
  <c r="B1914" i="1"/>
  <c r="A1914" i="1" s="1"/>
  <c r="B1910" i="1"/>
  <c r="A1910" i="1" s="1"/>
  <c r="B1906" i="1"/>
  <c r="A1906" i="1" s="1"/>
  <c r="B1903" i="1"/>
  <c r="A1903" i="1" s="1"/>
  <c r="B1897" i="1"/>
  <c r="A1897" i="1" s="1"/>
  <c r="B1892" i="1"/>
  <c r="A1892" i="1" s="1"/>
  <c r="B1887" i="1"/>
  <c r="A1887" i="1" s="1"/>
  <c r="B1881" i="1"/>
  <c r="A1881" i="1" s="1"/>
  <c r="B1877" i="1"/>
  <c r="A1877" i="1" s="1"/>
  <c r="B1874" i="1"/>
  <c r="A1874" i="1" s="1"/>
  <c r="B1871" i="1"/>
  <c r="A1871" i="1" s="1"/>
  <c r="B1868" i="1"/>
  <c r="A1868" i="1" s="1"/>
  <c r="B1864" i="1"/>
  <c r="A1864" i="1" s="1"/>
  <c r="B1860" i="1"/>
  <c r="A1860" i="1" s="1"/>
  <c r="B1856" i="1"/>
  <c r="A1856" i="1" s="1"/>
  <c r="B1852" i="1"/>
  <c r="A1852" i="1" s="1"/>
  <c r="B1848" i="1"/>
  <c r="A1848" i="1" s="1"/>
  <c r="B1844" i="1"/>
  <c r="A1844" i="1" s="1"/>
  <c r="B1840" i="1"/>
  <c r="A1840" i="1" s="1"/>
  <c r="B1836" i="1"/>
  <c r="A1836" i="1" s="1"/>
  <c r="B1832" i="1"/>
  <c r="A1832" i="1" s="1"/>
  <c r="B1828" i="1"/>
  <c r="A1828" i="1" s="1"/>
  <c r="B1824" i="1"/>
  <c r="A1824" i="1" s="1"/>
  <c r="B1820" i="1"/>
  <c r="A1820" i="1" s="1"/>
  <c r="B1816" i="1"/>
  <c r="A1816" i="1" s="1"/>
  <c r="B1812" i="1"/>
  <c r="A1812" i="1" s="1"/>
  <c r="B1808" i="1"/>
  <c r="A1808" i="1" s="1"/>
  <c r="B1804" i="1"/>
  <c r="A1804" i="1" s="1"/>
  <c r="B1800" i="1"/>
  <c r="A1800" i="1" s="1"/>
  <c r="B1796" i="1"/>
  <c r="A1796" i="1" s="1"/>
  <c r="B1792" i="1"/>
  <c r="A1792" i="1" s="1"/>
  <c r="B1788" i="1"/>
  <c r="A1788" i="1" s="1"/>
  <c r="B1784" i="1"/>
  <c r="A1784" i="1" s="1"/>
  <c r="B1780" i="1"/>
  <c r="A1780" i="1" s="1"/>
  <c r="B1776" i="1"/>
  <c r="A1776" i="1" s="1"/>
  <c r="B1772" i="1"/>
  <c r="A1772" i="1" s="1"/>
  <c r="B1768" i="1"/>
  <c r="A1768" i="1" s="1"/>
  <c r="B1764" i="1"/>
  <c r="A1764" i="1" s="1"/>
  <c r="B1760" i="1"/>
  <c r="A1760" i="1" s="1"/>
  <c r="B1756" i="1"/>
  <c r="A1756" i="1" s="1"/>
  <c r="B1752" i="1"/>
  <c r="A1752" i="1" s="1"/>
  <c r="B1748" i="1"/>
  <c r="A1748" i="1" s="1"/>
  <c r="B1744" i="1"/>
  <c r="A1744" i="1" s="1"/>
  <c r="B1740" i="1"/>
  <c r="A1740" i="1" s="1"/>
  <c r="B1736" i="1"/>
  <c r="A1736" i="1" s="1"/>
  <c r="B1732" i="1"/>
  <c r="A1732" i="1" s="1"/>
  <c r="B1728" i="1"/>
  <c r="A1728" i="1" s="1"/>
  <c r="B1724" i="1"/>
  <c r="A1724" i="1" s="1"/>
  <c r="B1720" i="1"/>
  <c r="A1720" i="1" s="1"/>
  <c r="B1716" i="1"/>
  <c r="A1716" i="1" s="1"/>
  <c r="B1712" i="1"/>
  <c r="A1712" i="1" s="1"/>
  <c r="B1708" i="1"/>
  <c r="A1708" i="1" s="1"/>
  <c r="B1704" i="1"/>
  <c r="A1704" i="1" s="1"/>
  <c r="B1700" i="1"/>
  <c r="A1700" i="1" s="1"/>
  <c r="B1696" i="1"/>
  <c r="A1696" i="1" s="1"/>
  <c r="B1692" i="1"/>
  <c r="A1692" i="1" s="1"/>
  <c r="B1688" i="1"/>
  <c r="A1688" i="1" s="1"/>
  <c r="B1684" i="1"/>
  <c r="A1684" i="1" s="1"/>
  <c r="B1680" i="1"/>
  <c r="A1680" i="1" s="1"/>
  <c r="B1676" i="1"/>
  <c r="A1676" i="1" s="1"/>
  <c r="B1672" i="1"/>
  <c r="A1672" i="1" s="1"/>
  <c r="B1668" i="1"/>
  <c r="A1668" i="1" s="1"/>
  <c r="B1664" i="1"/>
  <c r="A1664" i="1" s="1"/>
  <c r="B1660" i="1"/>
  <c r="A1660" i="1" s="1"/>
  <c r="B1656" i="1"/>
  <c r="A1656" i="1" s="1"/>
  <c r="B1652" i="1"/>
  <c r="A1652" i="1" s="1"/>
  <c r="B1648" i="1"/>
  <c r="A1648" i="1" s="1"/>
  <c r="B1644" i="1"/>
  <c r="A1644" i="1" s="1"/>
  <c r="B1640" i="1"/>
  <c r="A1640" i="1" s="1"/>
  <c r="B1636" i="1"/>
  <c r="A1636" i="1" s="1"/>
  <c r="B1632" i="1"/>
  <c r="A1632" i="1" s="1"/>
  <c r="B1628" i="1"/>
  <c r="A1628" i="1" s="1"/>
  <c r="B1624" i="1"/>
  <c r="A1624" i="1" s="1"/>
  <c r="B1620" i="1"/>
  <c r="A1620" i="1" s="1"/>
  <c r="B1616" i="1"/>
  <c r="A1616" i="1" s="1"/>
  <c r="B1612" i="1"/>
  <c r="A1612" i="1" s="1"/>
  <c r="B1608" i="1"/>
  <c r="A1608" i="1" s="1"/>
  <c r="B1604" i="1"/>
  <c r="A1604" i="1" s="1"/>
  <c r="B1600" i="1"/>
  <c r="A1600" i="1" s="1"/>
  <c r="B1596" i="1"/>
  <c r="A1596" i="1" s="1"/>
  <c r="B1592" i="1"/>
  <c r="A1592" i="1" s="1"/>
  <c r="B1588" i="1"/>
  <c r="A1588" i="1" s="1"/>
  <c r="B1584" i="1"/>
  <c r="A1584" i="1" s="1"/>
  <c r="B1580" i="1"/>
  <c r="A1580" i="1" s="1"/>
  <c r="B1576" i="1"/>
  <c r="A1576" i="1" s="1"/>
  <c r="B1572" i="1"/>
  <c r="A1572" i="1" s="1"/>
  <c r="B1568" i="1"/>
  <c r="A1568" i="1" s="1"/>
  <c r="B1564" i="1"/>
  <c r="A1564" i="1" s="1"/>
  <c r="B1560" i="1"/>
  <c r="A1560" i="1" s="1"/>
  <c r="B1556" i="1"/>
  <c r="A1556" i="1" s="1"/>
  <c r="B1552" i="1"/>
  <c r="A1552" i="1" s="1"/>
  <c r="B1548" i="1"/>
  <c r="A1548" i="1" s="1"/>
  <c r="B1544" i="1"/>
  <c r="A1544" i="1" s="1"/>
  <c r="B1540" i="1"/>
  <c r="A1540" i="1" s="1"/>
  <c r="B1536" i="1"/>
  <c r="A1536" i="1" s="1"/>
  <c r="B1532" i="1"/>
  <c r="A1532" i="1" s="1"/>
  <c r="B1528" i="1"/>
  <c r="A1528" i="1" s="1"/>
  <c r="B1524" i="1"/>
  <c r="A1524" i="1" s="1"/>
  <c r="B1520" i="1"/>
  <c r="A1520" i="1" s="1"/>
  <c r="B1516" i="1"/>
  <c r="A1516" i="1" s="1"/>
  <c r="B1512" i="1"/>
  <c r="A1512" i="1" s="1"/>
  <c r="B1988" i="1"/>
  <c r="A1988" i="1" s="1"/>
  <c r="B1980" i="1"/>
  <c r="A1980" i="1" s="1"/>
  <c r="B1972" i="1"/>
  <c r="A1972" i="1" s="1"/>
  <c r="B1964" i="1"/>
  <c r="A1964" i="1" s="1"/>
  <c r="B1962" i="1"/>
  <c r="A1962" i="1" s="1"/>
  <c r="B1959" i="1"/>
  <c r="A1959" i="1" s="1"/>
  <c r="B1956" i="1"/>
  <c r="A1956" i="1" s="1"/>
  <c r="B1953" i="1"/>
  <c r="A1953" i="1" s="1"/>
  <c r="B1949" i="1"/>
  <c r="A1949" i="1" s="1"/>
  <c r="B1945" i="1"/>
  <c r="A1945" i="1" s="1"/>
  <c r="B1941" i="1"/>
  <c r="A1941" i="1" s="1"/>
  <c r="B1937" i="1"/>
  <c r="A1937" i="1" s="1"/>
  <c r="B1933" i="1"/>
  <c r="A1933" i="1" s="1"/>
  <c r="B1929" i="1"/>
  <c r="A1929" i="1" s="1"/>
  <c r="B1925" i="1"/>
  <c r="A1925" i="1" s="1"/>
  <c r="B1921" i="1"/>
  <c r="A1921" i="1" s="1"/>
  <c r="B1917" i="1"/>
  <c r="A1917" i="1" s="1"/>
  <c r="B1913" i="1"/>
  <c r="A1913" i="1" s="1"/>
  <c r="B1909" i="1"/>
  <c r="A1909" i="1" s="1"/>
  <c r="B1900" i="1"/>
  <c r="A1900" i="1" s="1"/>
  <c r="B1894" i="1"/>
  <c r="A1894" i="1" s="1"/>
  <c r="B1891" i="1"/>
  <c r="A1891" i="1" s="1"/>
  <c r="B1889" i="1"/>
  <c r="A1889" i="1" s="1"/>
  <c r="B1886" i="1"/>
  <c r="A1886" i="1" s="1"/>
  <c r="B1884" i="1"/>
  <c r="A1884" i="1" s="1"/>
  <c r="B1880" i="1"/>
  <c r="A1880" i="1" s="1"/>
  <c r="B1870" i="1"/>
  <c r="A1870" i="1" s="1"/>
  <c r="B1867" i="1"/>
  <c r="A1867" i="1" s="1"/>
  <c r="B1863" i="1"/>
  <c r="A1863" i="1" s="1"/>
  <c r="B1859" i="1"/>
  <c r="A1859" i="1" s="1"/>
  <c r="B1855" i="1"/>
  <c r="A1855" i="1" s="1"/>
  <c r="B1851" i="1"/>
  <c r="A1851" i="1" s="1"/>
  <c r="B1847" i="1"/>
  <c r="A1847" i="1" s="1"/>
  <c r="B1843" i="1"/>
  <c r="A1843" i="1" s="1"/>
  <c r="B1839" i="1"/>
  <c r="A1839" i="1" s="1"/>
  <c r="B1835" i="1"/>
  <c r="A1835" i="1" s="1"/>
  <c r="B1831" i="1"/>
  <c r="A1831" i="1" s="1"/>
  <c r="B1827" i="1"/>
  <c r="A1827" i="1" s="1"/>
  <c r="B1823" i="1"/>
  <c r="A1823" i="1" s="1"/>
  <c r="B1819" i="1"/>
  <c r="A1819" i="1" s="1"/>
  <c r="B1815" i="1"/>
  <c r="A1815" i="1" s="1"/>
  <c r="B1811" i="1"/>
  <c r="A1811" i="1" s="1"/>
  <c r="B1807" i="1"/>
  <c r="A1807" i="1" s="1"/>
  <c r="B1803" i="1"/>
  <c r="A1803" i="1" s="1"/>
  <c r="B1799" i="1"/>
  <c r="A1799" i="1" s="1"/>
  <c r="B1795" i="1"/>
  <c r="A1795" i="1" s="1"/>
  <c r="B1791" i="1"/>
  <c r="A1791" i="1" s="1"/>
  <c r="B1787" i="1"/>
  <c r="A1787" i="1" s="1"/>
  <c r="B1783" i="1"/>
  <c r="A1783" i="1" s="1"/>
  <c r="B1779" i="1"/>
  <c r="A1779" i="1" s="1"/>
  <c r="B1775" i="1"/>
  <c r="A1775" i="1" s="1"/>
  <c r="B1771" i="1"/>
  <c r="A1771" i="1" s="1"/>
  <c r="B1767" i="1"/>
  <c r="A1767" i="1" s="1"/>
  <c r="B1763" i="1"/>
  <c r="A1763" i="1" s="1"/>
  <c r="B1759" i="1"/>
  <c r="A1759" i="1" s="1"/>
  <c r="B1755" i="1"/>
  <c r="A1755" i="1" s="1"/>
  <c r="B1751" i="1"/>
  <c r="A1751" i="1" s="1"/>
  <c r="B1747" i="1"/>
  <c r="A1747" i="1" s="1"/>
  <c r="B1743" i="1"/>
  <c r="A1743" i="1" s="1"/>
  <c r="B1739" i="1"/>
  <c r="A1739" i="1" s="1"/>
  <c r="B1735" i="1"/>
  <c r="A1735" i="1" s="1"/>
  <c r="B1731" i="1"/>
  <c r="A1731" i="1" s="1"/>
  <c r="B1727" i="1"/>
  <c r="A1727" i="1" s="1"/>
  <c r="B1723" i="1"/>
  <c r="A1723" i="1" s="1"/>
  <c r="B1719" i="1"/>
  <c r="A1719" i="1" s="1"/>
  <c r="B1715" i="1"/>
  <c r="A1715" i="1" s="1"/>
  <c r="B1711" i="1"/>
  <c r="A1711" i="1" s="1"/>
  <c r="B1707" i="1"/>
  <c r="A1707" i="1" s="1"/>
  <c r="B1703" i="1"/>
  <c r="A1703" i="1" s="1"/>
  <c r="B1699" i="1"/>
  <c r="A1699" i="1" s="1"/>
  <c r="B1695" i="1"/>
  <c r="A1695" i="1" s="1"/>
  <c r="B1691" i="1"/>
  <c r="A1691" i="1" s="1"/>
  <c r="B1687" i="1"/>
  <c r="A1687" i="1" s="1"/>
  <c r="B1683" i="1"/>
  <c r="A1683" i="1" s="1"/>
  <c r="B1679" i="1"/>
  <c r="A1679" i="1" s="1"/>
  <c r="B1675" i="1"/>
  <c r="A1675" i="1" s="1"/>
  <c r="B1671" i="1"/>
  <c r="A1671" i="1" s="1"/>
  <c r="B1667" i="1"/>
  <c r="A1667" i="1" s="1"/>
  <c r="B1663" i="1"/>
  <c r="A1663" i="1" s="1"/>
  <c r="B1659" i="1"/>
  <c r="A1659" i="1" s="1"/>
  <c r="B1655" i="1"/>
  <c r="A1655" i="1" s="1"/>
  <c r="B1651" i="1"/>
  <c r="A1651" i="1" s="1"/>
  <c r="B1647" i="1"/>
  <c r="A1647" i="1" s="1"/>
  <c r="B1643" i="1"/>
  <c r="A1643" i="1" s="1"/>
  <c r="B1639" i="1"/>
  <c r="A1639" i="1" s="1"/>
  <c r="B1635" i="1"/>
  <c r="A1635" i="1" s="1"/>
  <c r="B1631" i="1"/>
  <c r="A1631" i="1" s="1"/>
  <c r="B1627" i="1"/>
  <c r="A1627" i="1" s="1"/>
  <c r="B1623" i="1"/>
  <c r="A1623" i="1" s="1"/>
  <c r="B1619" i="1"/>
  <c r="A1619" i="1" s="1"/>
  <c r="B1615" i="1"/>
  <c r="A1615" i="1" s="1"/>
  <c r="B1611" i="1"/>
  <c r="A1611" i="1" s="1"/>
  <c r="B1607" i="1"/>
  <c r="A1607" i="1" s="1"/>
  <c r="B1603" i="1"/>
  <c r="A1603" i="1" s="1"/>
  <c r="B1599" i="1"/>
  <c r="A1599" i="1" s="1"/>
  <c r="B1595" i="1"/>
  <c r="A1595" i="1" s="1"/>
  <c r="B1591" i="1"/>
  <c r="A1591" i="1" s="1"/>
  <c r="B1587" i="1"/>
  <c r="A1587" i="1" s="1"/>
  <c r="B1583" i="1"/>
  <c r="A1583" i="1" s="1"/>
  <c r="B1579" i="1"/>
  <c r="A1579" i="1" s="1"/>
  <c r="B1575" i="1"/>
  <c r="A1575" i="1" s="1"/>
  <c r="B1571" i="1"/>
  <c r="A1571" i="1" s="1"/>
  <c r="B1567" i="1"/>
  <c r="A1567" i="1" s="1"/>
  <c r="B1998" i="1"/>
  <c r="A1998" i="1" s="1"/>
  <c r="B1994" i="1"/>
  <c r="A1994" i="1" s="1"/>
  <c r="B1990" i="1"/>
  <c r="A1990" i="1" s="1"/>
  <c r="B1982" i="1"/>
  <c r="A1982" i="1" s="1"/>
  <c r="B1974" i="1"/>
  <c r="A1974" i="1" s="1"/>
  <c r="B1966" i="1"/>
  <c r="A1966" i="1" s="1"/>
  <c r="B1958" i="1"/>
  <c r="A1958" i="1" s="1"/>
  <c r="B1955" i="1"/>
  <c r="A1955" i="1" s="1"/>
  <c r="B1952" i="1"/>
  <c r="A1952" i="1" s="1"/>
  <c r="B1948" i="1"/>
  <c r="A1948" i="1" s="1"/>
  <c r="B1944" i="1"/>
  <c r="A1944" i="1" s="1"/>
  <c r="B1940" i="1"/>
  <c r="A1940" i="1" s="1"/>
  <c r="B1936" i="1"/>
  <c r="A1936" i="1" s="1"/>
  <c r="B1932" i="1"/>
  <c r="A1932" i="1" s="1"/>
  <c r="B1928" i="1"/>
  <c r="A1928" i="1" s="1"/>
  <c r="B1924" i="1"/>
  <c r="A1924" i="1" s="1"/>
  <c r="B1920" i="1"/>
  <c r="A1920" i="1" s="1"/>
  <c r="B1916" i="1"/>
  <c r="A1916" i="1" s="1"/>
  <c r="B1912" i="1"/>
  <c r="A1912" i="1" s="1"/>
  <c r="B1908" i="1"/>
  <c r="A1908" i="1" s="1"/>
  <c r="B1905" i="1"/>
  <c r="A1905" i="1" s="1"/>
  <c r="B1902" i="1"/>
  <c r="A1902" i="1" s="1"/>
  <c r="B1899" i="1"/>
  <c r="A1899" i="1" s="1"/>
  <c r="B1896" i="1"/>
  <c r="A1896" i="1" s="1"/>
  <c r="B1893" i="1"/>
  <c r="A1893" i="1" s="1"/>
  <c r="B1883" i="1"/>
  <c r="A1883" i="1" s="1"/>
  <c r="B1879" i="1"/>
  <c r="A1879" i="1" s="1"/>
  <c r="B1876" i="1"/>
  <c r="A1876" i="1" s="1"/>
  <c r="B1873" i="1"/>
  <c r="A1873" i="1" s="1"/>
  <c r="B1869" i="1"/>
  <c r="A1869" i="1" s="1"/>
  <c r="B1866" i="1"/>
  <c r="A1866" i="1" s="1"/>
  <c r="B1862" i="1"/>
  <c r="A1862" i="1" s="1"/>
  <c r="B1858" i="1"/>
  <c r="A1858" i="1" s="1"/>
  <c r="B1854" i="1"/>
  <c r="A1854" i="1" s="1"/>
  <c r="B1850" i="1"/>
  <c r="A1850" i="1" s="1"/>
  <c r="B1846" i="1"/>
  <c r="A1846" i="1" s="1"/>
  <c r="B1842" i="1"/>
  <c r="A1842" i="1" s="1"/>
  <c r="B1838" i="1"/>
  <c r="A1838" i="1" s="1"/>
  <c r="B1834" i="1"/>
  <c r="A1834" i="1" s="1"/>
  <c r="B1830" i="1"/>
  <c r="A1830" i="1" s="1"/>
  <c r="B1826" i="1"/>
  <c r="A1826" i="1" s="1"/>
  <c r="B1822" i="1"/>
  <c r="A1822" i="1" s="1"/>
  <c r="B1818" i="1"/>
  <c r="A1818" i="1" s="1"/>
  <c r="B1814" i="1"/>
  <c r="A1814" i="1" s="1"/>
  <c r="B1810" i="1"/>
  <c r="A1810" i="1" s="1"/>
  <c r="B1806" i="1"/>
  <c r="A1806" i="1" s="1"/>
  <c r="B1802" i="1"/>
  <c r="A1802" i="1" s="1"/>
  <c r="B1798" i="1"/>
  <c r="A1798" i="1" s="1"/>
  <c r="B1794" i="1"/>
  <c r="A1794" i="1" s="1"/>
  <c r="B1790" i="1"/>
  <c r="A1790" i="1" s="1"/>
  <c r="B1786" i="1"/>
  <c r="A1786" i="1" s="1"/>
  <c r="B1782" i="1"/>
  <c r="A1782" i="1" s="1"/>
  <c r="B1778" i="1"/>
  <c r="A1778" i="1" s="1"/>
  <c r="B1774" i="1"/>
  <c r="A1774" i="1" s="1"/>
  <c r="B1770" i="1"/>
  <c r="A1770" i="1" s="1"/>
  <c r="B1766" i="1"/>
  <c r="A1766" i="1" s="1"/>
  <c r="B1762" i="1"/>
  <c r="A1762" i="1" s="1"/>
  <c r="B1758" i="1"/>
  <c r="A1758" i="1" s="1"/>
  <c r="B1754" i="1"/>
  <c r="A1754" i="1" s="1"/>
  <c r="B1750" i="1"/>
  <c r="A1750" i="1" s="1"/>
  <c r="B1746" i="1"/>
  <c r="A1746" i="1" s="1"/>
  <c r="B1742" i="1"/>
  <c r="A1742" i="1" s="1"/>
  <c r="B1738" i="1"/>
  <c r="A1738" i="1" s="1"/>
  <c r="B1734" i="1"/>
  <c r="A1734" i="1" s="1"/>
  <c r="B1730" i="1"/>
  <c r="A1730" i="1" s="1"/>
  <c r="B1726" i="1"/>
  <c r="A1726" i="1" s="1"/>
  <c r="B1722" i="1"/>
  <c r="A1722" i="1" s="1"/>
  <c r="B1718" i="1"/>
  <c r="A1718" i="1" s="1"/>
  <c r="B1714" i="1"/>
  <c r="A1714" i="1" s="1"/>
  <c r="B1710" i="1"/>
  <c r="A1710" i="1" s="1"/>
  <c r="B1706" i="1"/>
  <c r="A1706" i="1" s="1"/>
  <c r="B1702" i="1"/>
  <c r="A1702" i="1" s="1"/>
  <c r="B1698" i="1"/>
  <c r="A1698" i="1" s="1"/>
  <c r="B1694" i="1"/>
  <c r="A1694" i="1" s="1"/>
  <c r="B1690" i="1"/>
  <c r="A1690" i="1" s="1"/>
  <c r="B1686" i="1"/>
  <c r="A1686" i="1" s="1"/>
  <c r="B1682" i="1"/>
  <c r="A1682" i="1" s="1"/>
  <c r="B1678" i="1"/>
  <c r="A1678" i="1" s="1"/>
  <c r="B1674" i="1"/>
  <c r="A1674" i="1" s="1"/>
  <c r="B1670" i="1"/>
  <c r="A1670" i="1" s="1"/>
  <c r="B1666" i="1"/>
  <c r="A1666" i="1" s="1"/>
  <c r="B1662" i="1"/>
  <c r="A1662" i="1" s="1"/>
  <c r="B1658" i="1"/>
  <c r="A1658" i="1" s="1"/>
  <c r="B1654" i="1"/>
  <c r="A1654" i="1" s="1"/>
  <c r="B1650" i="1"/>
  <c r="A1650" i="1" s="1"/>
  <c r="B1646" i="1"/>
  <c r="A1646" i="1" s="1"/>
  <c r="B1642" i="1"/>
  <c r="A1642" i="1" s="1"/>
  <c r="B1638" i="1"/>
  <c r="A1638" i="1" s="1"/>
  <c r="B1634" i="1"/>
  <c r="A1634" i="1" s="1"/>
  <c r="B1630" i="1"/>
  <c r="A1630" i="1" s="1"/>
  <c r="B1626" i="1"/>
  <c r="A1626" i="1" s="1"/>
  <c r="B1622" i="1"/>
  <c r="A1622" i="1" s="1"/>
  <c r="B1618" i="1"/>
  <c r="A1618" i="1" s="1"/>
  <c r="B1614" i="1"/>
  <c r="A1614" i="1" s="1"/>
  <c r="B1610" i="1"/>
  <c r="A1610" i="1" s="1"/>
  <c r="B1606" i="1"/>
  <c r="A1606" i="1" s="1"/>
  <c r="B1602" i="1"/>
  <c r="A1602" i="1" s="1"/>
  <c r="B1598" i="1"/>
  <c r="A1598" i="1" s="1"/>
  <c r="B1594" i="1"/>
  <c r="A1594" i="1" s="1"/>
  <c r="B1590" i="1"/>
  <c r="A1590" i="1" s="1"/>
  <c r="B1586" i="1"/>
  <c r="A1586" i="1" s="1"/>
  <c r="B1582" i="1"/>
  <c r="A1582" i="1" s="1"/>
  <c r="B1578" i="1"/>
  <c r="A1578" i="1" s="1"/>
  <c r="B1574" i="1"/>
  <c r="A1574" i="1" s="1"/>
  <c r="B1570" i="1"/>
  <c r="A1570" i="1" s="1"/>
  <c r="B1566" i="1"/>
  <c r="A1566" i="1" s="1"/>
  <c r="B1562" i="1"/>
  <c r="A1562" i="1" s="1"/>
  <c r="B1558" i="1"/>
  <c r="A1558" i="1" s="1"/>
  <c r="B1554" i="1"/>
  <c r="A1554" i="1" s="1"/>
  <c r="B1550" i="1"/>
  <c r="A1550" i="1" s="1"/>
  <c r="B1546" i="1"/>
  <c r="A1546" i="1" s="1"/>
  <c r="B1542" i="1"/>
  <c r="A1542" i="1" s="1"/>
  <c r="B1538" i="1"/>
  <c r="A1538" i="1" s="1"/>
  <c r="B1534" i="1"/>
  <c r="A1534" i="1" s="1"/>
  <c r="B1530" i="1"/>
  <c r="A1530" i="1" s="1"/>
  <c r="B1526" i="1"/>
  <c r="A1526" i="1" s="1"/>
  <c r="B1522" i="1"/>
  <c r="A1522" i="1" s="1"/>
  <c r="B1518" i="1"/>
  <c r="A1518" i="1" s="1"/>
  <c r="B1514" i="1"/>
  <c r="A1514" i="1" s="1"/>
  <c r="B1510" i="1"/>
  <c r="A1510" i="1" s="1"/>
  <c r="B1506" i="1"/>
  <c r="A1506" i="1" s="1"/>
  <c r="B1123" i="1"/>
  <c r="A1123" i="1" s="1"/>
  <c r="B1129" i="1"/>
  <c r="A1129" i="1" s="1"/>
  <c r="B1134" i="1"/>
  <c r="A1134" i="1" s="1"/>
  <c r="B1144" i="1"/>
  <c r="A1144" i="1" s="1"/>
  <c r="B1148" i="1"/>
  <c r="A1148" i="1" s="1"/>
  <c r="B1152" i="1"/>
  <c r="A1152" i="1" s="1"/>
  <c r="B1155" i="1"/>
  <c r="A1155" i="1" s="1"/>
  <c r="B1159" i="1"/>
  <c r="A1159" i="1" s="1"/>
  <c r="B1163" i="1"/>
  <c r="A1163" i="1" s="1"/>
  <c r="B1167" i="1"/>
  <c r="A1167" i="1" s="1"/>
  <c r="B1171" i="1"/>
  <c r="A1171" i="1" s="1"/>
  <c r="B1175" i="1"/>
  <c r="A1175" i="1" s="1"/>
  <c r="B1179" i="1"/>
  <c r="A1179" i="1" s="1"/>
  <c r="B1183" i="1"/>
  <c r="A1183" i="1" s="1"/>
  <c r="B1187" i="1"/>
  <c r="A1187" i="1" s="1"/>
  <c r="B1191" i="1"/>
  <c r="A1191" i="1" s="1"/>
  <c r="B1195" i="1"/>
  <c r="A1195" i="1" s="1"/>
  <c r="B1199" i="1"/>
  <c r="A1199" i="1" s="1"/>
  <c r="B1203" i="1"/>
  <c r="A1203" i="1" s="1"/>
  <c r="B1207" i="1"/>
  <c r="A1207" i="1" s="1"/>
  <c r="B1211" i="1"/>
  <c r="A1211" i="1" s="1"/>
  <c r="B1215" i="1"/>
  <c r="A1215" i="1" s="1"/>
  <c r="B1219" i="1"/>
  <c r="A1219" i="1" s="1"/>
  <c r="B1223" i="1"/>
  <c r="A1223" i="1" s="1"/>
  <c r="B1227" i="1"/>
  <c r="A1227" i="1" s="1"/>
  <c r="B1231" i="1"/>
  <c r="A1231" i="1" s="1"/>
  <c r="B1235" i="1"/>
  <c r="A1235" i="1" s="1"/>
  <c r="B1239" i="1"/>
  <c r="A1239" i="1" s="1"/>
  <c r="B1243" i="1"/>
  <c r="A1243" i="1" s="1"/>
  <c r="B1247" i="1"/>
  <c r="A1247" i="1" s="1"/>
  <c r="B1251" i="1"/>
  <c r="A1251" i="1" s="1"/>
  <c r="B1255" i="1"/>
  <c r="A1255" i="1" s="1"/>
  <c r="B1259" i="1"/>
  <c r="A1259" i="1" s="1"/>
  <c r="B1263" i="1"/>
  <c r="A1263" i="1" s="1"/>
  <c r="B1267" i="1"/>
  <c r="A1267" i="1" s="1"/>
  <c r="B1271" i="1"/>
  <c r="A1271" i="1" s="1"/>
  <c r="B1275" i="1"/>
  <c r="A1275" i="1" s="1"/>
  <c r="B1279" i="1"/>
  <c r="A1279" i="1" s="1"/>
  <c r="B1283" i="1"/>
  <c r="A1283" i="1" s="1"/>
  <c r="B1287" i="1"/>
  <c r="A1287" i="1" s="1"/>
  <c r="B1291" i="1"/>
  <c r="A1291" i="1" s="1"/>
  <c r="B1295" i="1"/>
  <c r="A1295" i="1" s="1"/>
  <c r="B1299" i="1"/>
  <c r="A1299" i="1" s="1"/>
  <c r="B1303" i="1"/>
  <c r="A1303" i="1" s="1"/>
  <c r="B1307" i="1"/>
  <c r="A1307" i="1" s="1"/>
  <c r="B1311" i="1"/>
  <c r="A1311" i="1" s="1"/>
  <c r="B1314" i="1"/>
  <c r="A1314" i="1" s="1"/>
  <c r="B1317" i="1"/>
  <c r="A1317" i="1" s="1"/>
  <c r="B1321" i="1"/>
  <c r="A1321" i="1" s="1"/>
  <c r="B1325" i="1"/>
  <c r="A1325" i="1" s="1"/>
  <c r="B1329" i="1"/>
  <c r="A1329" i="1" s="1"/>
  <c r="B1333" i="1"/>
  <c r="A1333" i="1" s="1"/>
  <c r="B1337" i="1"/>
  <c r="A1337" i="1" s="1"/>
  <c r="B1341" i="1"/>
  <c r="A1341" i="1" s="1"/>
  <c r="B1345" i="1"/>
  <c r="A1345" i="1" s="1"/>
  <c r="B1349" i="1"/>
  <c r="A1349" i="1" s="1"/>
  <c r="B1353" i="1"/>
  <c r="A1353" i="1" s="1"/>
  <c r="B1357" i="1"/>
  <c r="A1357" i="1" s="1"/>
  <c r="B1361" i="1"/>
  <c r="A1361" i="1" s="1"/>
  <c r="B1365" i="1"/>
  <c r="A1365" i="1" s="1"/>
  <c r="B1369" i="1"/>
  <c r="A1369" i="1" s="1"/>
  <c r="B1373" i="1"/>
  <c r="A1373" i="1" s="1"/>
  <c r="B1375" i="1"/>
  <c r="A1375" i="1" s="1"/>
  <c r="B1379" i="1"/>
  <c r="A1379" i="1" s="1"/>
  <c r="B1383" i="1"/>
  <c r="A1383" i="1" s="1"/>
  <c r="B1387" i="1"/>
  <c r="A1387" i="1" s="1"/>
  <c r="B1391" i="1"/>
  <c r="A1391" i="1" s="1"/>
  <c r="B1395" i="1"/>
  <c r="A1395" i="1" s="1"/>
  <c r="B1399" i="1"/>
  <c r="A1399" i="1" s="1"/>
  <c r="B1403" i="1"/>
  <c r="A1403" i="1" s="1"/>
  <c r="B1407" i="1"/>
  <c r="A1407" i="1" s="1"/>
  <c r="B1411" i="1"/>
  <c r="A1411" i="1" s="1"/>
  <c r="B1415" i="1"/>
  <c r="A1415" i="1" s="1"/>
  <c r="B1419" i="1"/>
  <c r="A1419" i="1" s="1"/>
  <c r="B1423" i="1"/>
  <c r="A1423" i="1" s="1"/>
  <c r="B1427" i="1"/>
  <c r="A1427" i="1" s="1"/>
  <c r="B1431" i="1"/>
  <c r="A1431" i="1" s="1"/>
  <c r="B1435" i="1"/>
  <c r="A1435" i="1" s="1"/>
  <c r="B1439" i="1"/>
  <c r="A1439" i="1" s="1"/>
  <c r="B1443" i="1"/>
  <c r="A1443" i="1" s="1"/>
  <c r="B1447" i="1"/>
  <c r="A1447" i="1" s="1"/>
  <c r="B1451" i="1"/>
  <c r="A1451" i="1" s="1"/>
  <c r="B1455" i="1"/>
  <c r="A1455" i="1" s="1"/>
  <c r="B1459" i="1"/>
  <c r="A1459" i="1" s="1"/>
  <c r="B1463" i="1"/>
  <c r="A1463" i="1" s="1"/>
  <c r="B1467" i="1"/>
  <c r="A1467" i="1" s="1"/>
  <c r="B1471" i="1"/>
  <c r="A1471" i="1" s="1"/>
  <c r="B1475" i="1"/>
  <c r="A1475" i="1" s="1"/>
  <c r="B1479" i="1"/>
  <c r="A1479" i="1" s="1"/>
  <c r="B1483" i="1"/>
  <c r="A1483" i="1" s="1"/>
  <c r="B1487" i="1"/>
  <c r="A1487" i="1" s="1"/>
  <c r="B1491" i="1"/>
  <c r="A1491" i="1" s="1"/>
  <c r="B1495" i="1"/>
  <c r="A1495" i="1" s="1"/>
  <c r="B1499" i="1"/>
  <c r="A1499" i="1" s="1"/>
  <c r="B1503" i="1"/>
  <c r="A1503" i="1" s="1"/>
  <c r="B1517" i="1"/>
  <c r="A1517" i="1" s="1"/>
  <c r="B1525" i="1"/>
  <c r="A1525" i="1" s="1"/>
  <c r="B1533" i="1"/>
  <c r="A1533" i="1" s="1"/>
  <c r="B1541" i="1"/>
  <c r="A1541" i="1" s="1"/>
  <c r="B1549" i="1"/>
  <c r="A1549" i="1" s="1"/>
  <c r="B1127" i="1"/>
  <c r="A1127" i="1" s="1"/>
  <c r="B1130" i="1"/>
  <c r="A1130" i="1" s="1"/>
  <c r="B1133" i="1"/>
  <c r="A1133" i="1" s="1"/>
  <c r="B1138" i="1"/>
  <c r="A1138" i="1" s="1"/>
  <c r="G3683" i="1" s="1"/>
  <c r="B1140" i="1"/>
  <c r="A1140" i="1" s="1"/>
  <c r="B1143" i="1"/>
  <c r="A1143" i="1" s="1"/>
  <c r="B1147" i="1"/>
  <c r="A1147" i="1" s="1"/>
  <c r="B1151" i="1"/>
  <c r="A1151" i="1" s="1"/>
  <c r="B1154" i="1"/>
  <c r="A1154" i="1" s="1"/>
  <c r="B1158" i="1"/>
  <c r="A1158" i="1" s="1"/>
  <c r="B1162" i="1"/>
  <c r="A1162" i="1" s="1"/>
  <c r="B1166" i="1"/>
  <c r="A1166" i="1" s="1"/>
  <c r="B1170" i="1"/>
  <c r="A1170" i="1" s="1"/>
  <c r="B1174" i="1"/>
  <c r="A1174" i="1" s="1"/>
  <c r="B1178" i="1"/>
  <c r="A1178" i="1" s="1"/>
  <c r="B1182" i="1"/>
  <c r="A1182" i="1" s="1"/>
  <c r="B1186" i="1"/>
  <c r="A1186" i="1" s="1"/>
  <c r="B1190" i="1"/>
  <c r="A1190" i="1" s="1"/>
  <c r="B1194" i="1"/>
  <c r="A1194" i="1" s="1"/>
  <c r="B1198" i="1"/>
  <c r="A1198" i="1" s="1"/>
  <c r="B1202" i="1"/>
  <c r="A1202" i="1" s="1"/>
  <c r="B1206" i="1"/>
  <c r="A1206" i="1" s="1"/>
  <c r="B1210" i="1"/>
  <c r="A1210" i="1" s="1"/>
  <c r="B1214" i="1"/>
  <c r="A1214" i="1" s="1"/>
  <c r="B1218" i="1"/>
  <c r="A1218" i="1" s="1"/>
  <c r="B1222" i="1"/>
  <c r="A1222" i="1" s="1"/>
  <c r="B1226" i="1"/>
  <c r="A1226" i="1" s="1"/>
  <c r="B1230" i="1"/>
  <c r="A1230" i="1" s="1"/>
  <c r="B1234" i="1"/>
  <c r="A1234" i="1" s="1"/>
  <c r="B1238" i="1"/>
  <c r="A1238" i="1" s="1"/>
  <c r="B1242" i="1"/>
  <c r="A1242" i="1" s="1"/>
  <c r="B1246" i="1"/>
  <c r="A1246" i="1" s="1"/>
  <c r="B1250" i="1"/>
  <c r="A1250" i="1" s="1"/>
  <c r="B1254" i="1"/>
  <c r="A1254" i="1" s="1"/>
  <c r="B1258" i="1"/>
  <c r="A1258" i="1" s="1"/>
  <c r="B1262" i="1"/>
  <c r="A1262" i="1" s="1"/>
  <c r="B1266" i="1"/>
  <c r="A1266" i="1" s="1"/>
  <c r="B1270" i="1"/>
  <c r="A1270" i="1" s="1"/>
  <c r="B1274" i="1"/>
  <c r="A1274" i="1" s="1"/>
  <c r="B1278" i="1"/>
  <c r="A1278" i="1" s="1"/>
  <c r="B1282" i="1"/>
  <c r="A1282" i="1" s="1"/>
  <c r="B1286" i="1"/>
  <c r="A1286" i="1" s="1"/>
  <c r="B1290" i="1"/>
  <c r="A1290" i="1" s="1"/>
  <c r="B1294" i="1"/>
  <c r="A1294" i="1" s="1"/>
  <c r="B1298" i="1"/>
  <c r="A1298" i="1" s="1"/>
  <c r="B1302" i="1"/>
  <c r="A1302" i="1" s="1"/>
  <c r="B1306" i="1"/>
  <c r="A1306" i="1" s="1"/>
  <c r="B1310" i="1"/>
  <c r="A1310" i="1" s="1"/>
  <c r="B1316" i="1"/>
  <c r="A1316" i="1" s="1"/>
  <c r="B1320" i="1"/>
  <c r="A1320" i="1" s="1"/>
  <c r="B1324" i="1"/>
  <c r="A1324" i="1" s="1"/>
  <c r="B1328" i="1"/>
  <c r="A1328" i="1" s="1"/>
  <c r="B1332" i="1"/>
  <c r="A1332" i="1" s="1"/>
  <c r="B1336" i="1"/>
  <c r="A1336" i="1" s="1"/>
  <c r="B1340" i="1"/>
  <c r="A1340" i="1" s="1"/>
  <c r="B1344" i="1"/>
  <c r="A1344" i="1" s="1"/>
  <c r="B1348" i="1"/>
  <c r="A1348" i="1" s="1"/>
  <c r="B1352" i="1"/>
  <c r="A1352" i="1" s="1"/>
  <c r="B1356" i="1"/>
  <c r="A1356" i="1" s="1"/>
  <c r="B1360" i="1"/>
  <c r="A1360" i="1" s="1"/>
  <c r="B1364" i="1"/>
  <c r="A1364" i="1" s="1"/>
  <c r="B1368" i="1"/>
  <c r="A1368" i="1" s="1"/>
  <c r="B1372" i="1"/>
  <c r="A1372" i="1" s="1"/>
  <c r="B1376" i="1"/>
  <c r="A1376" i="1" s="1"/>
  <c r="B1380" i="1"/>
  <c r="A1380" i="1" s="1"/>
  <c r="B1384" i="1"/>
  <c r="A1384" i="1" s="1"/>
  <c r="B1388" i="1"/>
  <c r="A1388" i="1" s="1"/>
  <c r="B1392" i="1"/>
  <c r="A1392" i="1" s="1"/>
  <c r="B1396" i="1"/>
  <c r="A1396" i="1" s="1"/>
  <c r="B1400" i="1"/>
  <c r="A1400" i="1" s="1"/>
  <c r="B1404" i="1"/>
  <c r="A1404" i="1" s="1"/>
  <c r="B1408" i="1"/>
  <c r="A1408" i="1" s="1"/>
  <c r="B1412" i="1"/>
  <c r="A1412" i="1" s="1"/>
  <c r="B1416" i="1"/>
  <c r="A1416" i="1" s="1"/>
  <c r="B1420" i="1"/>
  <c r="A1420" i="1" s="1"/>
  <c r="B1424" i="1"/>
  <c r="A1424" i="1" s="1"/>
  <c r="B1428" i="1"/>
  <c r="A1428" i="1" s="1"/>
  <c r="B1432" i="1"/>
  <c r="A1432" i="1" s="1"/>
  <c r="B1436" i="1"/>
  <c r="A1436" i="1" s="1"/>
  <c r="B1440" i="1"/>
  <c r="A1440" i="1" s="1"/>
  <c r="B1444" i="1"/>
  <c r="A1444" i="1" s="1"/>
  <c r="B1448" i="1"/>
  <c r="A1448" i="1" s="1"/>
  <c r="B1452" i="1"/>
  <c r="A1452" i="1" s="1"/>
  <c r="B1456" i="1"/>
  <c r="A1456" i="1" s="1"/>
  <c r="B1460" i="1"/>
  <c r="A1460" i="1" s="1"/>
  <c r="B1464" i="1"/>
  <c r="A1464" i="1" s="1"/>
  <c r="B1468" i="1"/>
  <c r="A1468" i="1" s="1"/>
  <c r="B1472" i="1"/>
  <c r="A1472" i="1" s="1"/>
  <c r="B1476" i="1"/>
  <c r="A1476" i="1" s="1"/>
  <c r="B1480" i="1"/>
  <c r="A1480" i="1" s="1"/>
  <c r="B1484" i="1"/>
  <c r="A1484" i="1" s="1"/>
  <c r="B1488" i="1"/>
  <c r="A1488" i="1" s="1"/>
  <c r="B1492" i="1"/>
  <c r="A1492" i="1" s="1"/>
  <c r="B1496" i="1"/>
  <c r="A1496" i="1" s="1"/>
  <c r="B1500" i="1"/>
  <c r="A1500" i="1" s="1"/>
  <c r="B1504" i="1"/>
  <c r="A1504" i="1" s="1"/>
  <c r="B1507" i="1"/>
  <c r="A1507" i="1" s="1"/>
  <c r="B1515" i="1"/>
  <c r="A1515" i="1" s="1"/>
  <c r="B1523" i="1"/>
  <c r="A1523" i="1" s="1"/>
  <c r="B1531" i="1"/>
  <c r="A1531" i="1" s="1"/>
  <c r="B1539" i="1"/>
  <c r="A1539" i="1" s="1"/>
  <c r="B1547" i="1"/>
  <c r="A1547" i="1" s="1"/>
  <c r="B1555" i="1"/>
  <c r="A1555" i="1" s="1"/>
  <c r="B1559" i="1"/>
  <c r="A1559" i="1" s="1"/>
  <c r="B1563" i="1"/>
  <c r="A1563" i="1" s="1"/>
  <c r="M3313" i="1"/>
  <c r="M3" i="1" s="1"/>
  <c r="L2" i="1" s="1"/>
</calcChain>
</file>

<file path=xl/sharedStrings.xml><?xml version="1.0" encoding="utf-8"?>
<sst xmlns="http://schemas.openxmlformats.org/spreadsheetml/2006/main" count="8951" uniqueCount="2056">
  <si>
    <t xml:space="preserve"> </t>
  </si>
  <si>
    <t>JURNAL UMUM</t>
  </si>
  <si>
    <t>Akun</t>
  </si>
  <si>
    <t>Bantu</t>
  </si>
  <si>
    <t>Tanggal</t>
  </si>
  <si>
    <t>Due Date</t>
  </si>
  <si>
    <t>Bukti</t>
  </si>
  <si>
    <t>Keterangan</t>
  </si>
  <si>
    <t>Kode</t>
  </si>
  <si>
    <t>Debet</t>
  </si>
  <si>
    <t>Kredit</t>
  </si>
  <si>
    <t>REMARKS</t>
  </si>
  <si>
    <t>Nama Akun</t>
  </si>
  <si>
    <t>COD</t>
  </si>
  <si>
    <t>PII/INV-IDR-SG/22/01-0010</t>
  </si>
  <si>
    <t>CV. SEMESTA MULIA MEDIKA</t>
  </si>
  <si>
    <t>V</t>
  </si>
  <si>
    <t>PII/INV-IDR-SG/22/01-0009</t>
  </si>
  <si>
    <t>PT. ANUGERAH MAHIRA PRATAMA</t>
  </si>
  <si>
    <t>PII/INV-IDR-SG/22/01-0001</t>
  </si>
  <si>
    <t>PT. ANUGERAH PERSADA MULIA</t>
  </si>
  <si>
    <t>PII/INV-IDR-SG/22/01-0005</t>
  </si>
  <si>
    <t>PII/INV-IDR-SG/22/01-0004</t>
  </si>
  <si>
    <t>PII/INV-IDR-SG/22/01-0003</t>
  </si>
  <si>
    <t>PII/INV-IDR-SG/22/01-0002</t>
  </si>
  <si>
    <t>PII/INV-IDR-SG/22/01-0007</t>
  </si>
  <si>
    <t>PT. CENTRAL BANDUNG RAYA</t>
  </si>
  <si>
    <t>PII/INV-IDR-SG/22/01-0006</t>
  </si>
  <si>
    <t>YAYASAN RUMAH SAKIT ISLAM IBNU SINA PADANG</t>
  </si>
  <si>
    <t>PII/INV-IDR-SG/22/01-0013</t>
  </si>
  <si>
    <t>PII/INV-IDR-SG/22/01-0012</t>
  </si>
  <si>
    <t>PII/INV-IDR-SG/22/01-0008</t>
  </si>
  <si>
    <t>PT. EKAMAS INTERNATIONAL HOSPITAL</t>
  </si>
  <si>
    <t>PII/INV-IDR-SG/22/01-0011</t>
  </si>
  <si>
    <t>PT. PELITA RELIANCE INTERNATIONAL HOSPITAL</t>
  </si>
  <si>
    <t>PII/INV-IDR-SG/22/01-0018</t>
  </si>
  <si>
    <t>PII/INV-IDR-SG/22/01-0019</t>
  </si>
  <si>
    <t>PT. GLOBINDO MEGA PRATAMA</t>
  </si>
  <si>
    <t>PII/INV-IDR-SG/22/01-0014</t>
  </si>
  <si>
    <t>PII/INV-IDR-SG/22/01-0015</t>
  </si>
  <si>
    <t>PII/INV-IDR-SG/22/01-0020</t>
  </si>
  <si>
    <t>PT. ENDO MEDICA NUSANTARA</t>
  </si>
  <si>
    <t>PII/INV-IDR-SG/22/01-0017</t>
  </si>
  <si>
    <t>PII/INV-IDR-SG/22/01-0023</t>
  </si>
  <si>
    <t>CV. TRIJAYA DINAMIKA</t>
  </si>
  <si>
    <t>PII/INV-IDR-SG/22/01-0022</t>
  </si>
  <si>
    <t>PII/INV-DR-SG/22/01-0016</t>
  </si>
  <si>
    <t>PII/INV-IDR-SG/22/01-0021</t>
  </si>
  <si>
    <t>PT. SPIRIT SEHAT SUKSES</t>
  </si>
  <si>
    <t>PII/INV-IDR-SG/22/01-0024</t>
  </si>
  <si>
    <t>PII/INV-IDR-SG/22/01-0025</t>
  </si>
  <si>
    <t>PII/INV-IDR-SG/22/01-0026</t>
  </si>
  <si>
    <t>PII/INV-IDR-SG/22/01-0027</t>
  </si>
  <si>
    <t>PT. MEDIVA BERKAH PERMANA</t>
  </si>
  <si>
    <t>PII/INV-IDR-SG/22/01-0028</t>
  </si>
  <si>
    <t>PII/INV-IDR-SG/22/01-0029</t>
  </si>
  <si>
    <t>PII/INV-IDR-SG/22/01-0030</t>
  </si>
  <si>
    <t>PII/INV-IDR-SG/22/01-0041</t>
  </si>
  <si>
    <t>PT ERLIMPEX</t>
  </si>
  <si>
    <t>PII/INV-IDR-SG/22/01-0036</t>
  </si>
  <si>
    <t>PII/INV-IDR-SG/22/01-0031</t>
  </si>
  <si>
    <t>PII/INV-IDR-SG/22/01-0032</t>
  </si>
  <si>
    <t>PT. KAMARDI ISYE FAMILI</t>
  </si>
  <si>
    <t>PII/INV-IDR-SG/22/01-0035</t>
  </si>
  <si>
    <t>PII/INV-IDR-SG/22/01-0034</t>
  </si>
  <si>
    <t>PII/INV-IDR-SG/22/01-0033</t>
  </si>
  <si>
    <t>PII/INV-IDR-SG/22/01-0037</t>
  </si>
  <si>
    <t>PII/INV-IDR-SG/22/01-0038</t>
  </si>
  <si>
    <t>PII/INV-IDR-SG/22/01-0039</t>
  </si>
  <si>
    <t>PT ANUGERAH PERSADA MULIA</t>
  </si>
  <si>
    <t>PII/INV-IDR-SG/22/01-0040</t>
  </si>
  <si>
    <t>PII/INV-IDR-SG/22/01-0042</t>
  </si>
  <si>
    <t>PT. PADMA BUANA SUKSES</t>
  </si>
  <si>
    <t>PII/INV-IDR-SG/22/01-0043</t>
  </si>
  <si>
    <t>PII/INV-IDR-SG/22/01-0045</t>
  </si>
  <si>
    <t>PII/INV-IDR-SG/22/01-0044</t>
  </si>
  <si>
    <t>PII/INV-IDR-SG/22/01-0047</t>
  </si>
  <si>
    <t>PII/INV-IDR-SG/22/01-0048</t>
  </si>
  <si>
    <t>PII/NV-IDR-SG/22/01-0046</t>
  </si>
  <si>
    <t>PII/INV-IDR-SG/22/01-0049</t>
  </si>
  <si>
    <t>PII/INV-IDR-SG/22/01-0050</t>
  </si>
  <si>
    <t>PII/INV-IDR-SG/22/01-0051</t>
  </si>
  <si>
    <t>PII/INV-IDR-SG/22/01-0054</t>
  </si>
  <si>
    <t>PII/INV-IDR-SG/22/01-0052</t>
  </si>
  <si>
    <t>PII/INV-IDR-SG/22/01-0055</t>
  </si>
  <si>
    <t>PII/INV-IDR-SG/22/01-0058</t>
  </si>
  <si>
    <t>PII/INV-IDR-SG/22/01-0057</t>
  </si>
  <si>
    <t>PII/INV-IDR-SG/22/01-0053</t>
  </si>
  <si>
    <t>PII/INV-IDR-SG/22/01-0059</t>
  </si>
  <si>
    <t>PII/INV-IDR-SG/22/01-0056</t>
  </si>
  <si>
    <t>PII/INV-IDR-SG/22/01-0065</t>
  </si>
  <si>
    <t>PII/INV-IDR-SG/22/01-0060</t>
  </si>
  <si>
    <t>PII/INV-IDR-SG/22/01-0067</t>
  </si>
  <si>
    <t>PII/INV-IDR-SG/22/01-0061</t>
  </si>
  <si>
    <t>PII/INV-IDR-SG/22/01-0062</t>
  </si>
  <si>
    <t>PII/INV-IDR-SG/22/01-0064</t>
  </si>
  <si>
    <t>PII/INV-IDR-SG/22/01-0066</t>
  </si>
  <si>
    <t>PII/INV-IDR-SG/22/01-0063</t>
  </si>
  <si>
    <t>PII/INV-IDR-CO/22/01-0001</t>
  </si>
  <si>
    <t>BUDI SUJONO</t>
  </si>
  <si>
    <t>PII/INV-IDR-SG/22/01-0068</t>
  </si>
  <si>
    <t>PII/INV-IDR-SG/22/01-0069</t>
  </si>
  <si>
    <t>PII/INV-IDR-SG/22/01-0075</t>
  </si>
  <si>
    <t>PII/INV-IDR-SG/22/01-0071</t>
  </si>
  <si>
    <t>PII/INV-IDR-SG/22/01-0072</t>
  </si>
  <si>
    <t>PII/INV-IDR-SG/22/01-0076</t>
  </si>
  <si>
    <t>PII/INV-IDR-SG/22/01-0070</t>
  </si>
  <si>
    <t>PT. JAPAN PACK INDONESIA</t>
  </si>
  <si>
    <t>PII/INV-IDR-SG/22/01-0074</t>
  </si>
  <si>
    <t>PII/INV-IDR-SG/22/01-0073</t>
  </si>
  <si>
    <t>PII/INV-IDR-SG/22/01-0088</t>
  </si>
  <si>
    <t>PII/INV-IDR-SG/22/01-0089</t>
  </si>
  <si>
    <t>PII/INV-IDR-SG/22/01-0080</t>
  </si>
  <si>
    <t>PII/INV-IDR-SG/22/01-0078</t>
  </si>
  <si>
    <t>PII/INV-IDR-SG/22/01-0084</t>
  </si>
  <si>
    <t>PII/INV-IDR-SG/22/01-0085</t>
  </si>
  <si>
    <t>PII/INV-IDR-SG/22/01-0079</t>
  </si>
  <si>
    <t>PII/INV-IDR-SG/22/01-0090</t>
  </si>
  <si>
    <t>PII/INV-IDR-SG/22/01-0083</t>
  </si>
  <si>
    <t>PII/INV-IDR-SG/22/01-0081</t>
  </si>
  <si>
    <t>PII/INV-IDR-SG/22/01-0082</t>
  </si>
  <si>
    <t>PII/INV-IDR-SG/22/01-0087</t>
  </si>
  <si>
    <t>PT. RUMAH SAKIT IBU DAN ANAK ABBY</t>
  </si>
  <si>
    <t>PII/INV-IDR-SG/22/01-0077</t>
  </si>
  <si>
    <t>PT. SOLUSI SURYA DISTRINDO</t>
  </si>
  <si>
    <t>PII/INV-IDR-SG/22/01-0086</t>
  </si>
  <si>
    <t>PII/INV-IDR-SG/22/01-0094</t>
  </si>
  <si>
    <t>PII/INV-IDR-SG/22/01-0091</t>
  </si>
  <si>
    <t>PII/INV-IDR-SG/22/01-0092</t>
  </si>
  <si>
    <t>PII/INV-IDR-CO/22/01-0002</t>
  </si>
  <si>
    <t>PII/INV-IDR-SG/22/01-0093</t>
  </si>
  <si>
    <t>PT VIRTUS ANALITIKA MITRATAMA</t>
  </si>
  <si>
    <t>PII/INV-IDR-SG/22/01-0097</t>
  </si>
  <si>
    <t>PII/INV-IDR-SG/22/01-0095</t>
  </si>
  <si>
    <t>PII/INV-IDR-SG/22/01-0100</t>
  </si>
  <si>
    <t>PII/INV-IDR-SG/22/01-0098</t>
  </si>
  <si>
    <t>PII/INV-IDR-SG/22/01-0099</t>
  </si>
  <si>
    <t>PII/INV-IDR-SG/22/01-0101</t>
  </si>
  <si>
    <t>PII/INV-IDR-SG/22/01-0096</t>
  </si>
  <si>
    <t>PII/INV-IDR-SG/22/01-0104</t>
  </si>
  <si>
    <t>PII/INV-IDR-SG/22/01-0102</t>
  </si>
  <si>
    <t>PII/INV-IDR-SG/22/01-0109</t>
  </si>
  <si>
    <t>PII/INV-IDR-SG/22/01-0108</t>
  </si>
  <si>
    <t>PII/INV/IDR-SG/22/01-0105</t>
  </si>
  <si>
    <t>PII/INV-IDR-SG/22/01-0103</t>
  </si>
  <si>
    <t>PII/INV-IDR-SG/22/01-0107</t>
  </si>
  <si>
    <t>PII/INV-IDR-SG/22/01-0106</t>
  </si>
  <si>
    <t>PII/INV-IDR-CO/22/01-0003</t>
  </si>
  <si>
    <t>PII/INV-IDR-CO/22/01-0004</t>
  </si>
  <si>
    <t>-</t>
  </si>
  <si>
    <t>Acrual</t>
  </si>
  <si>
    <t>W5-0461 Intouch Powder Free USD 61.398 Kurs 14.294</t>
  </si>
  <si>
    <t>W5-0461 Intouch Powder Free USD 61.398 Kurs 14.294 ppn masukan</t>
  </si>
  <si>
    <t>dikreditkan bulan Jan</t>
  </si>
  <si>
    <t>W5-0461 Intouch Powder Free USD 61.398 Kurs 14.294 pph 22 impor</t>
  </si>
  <si>
    <t>210,01,47</t>
  </si>
  <si>
    <t>W5-0286/2022 Exam Size S PS68 USD 4.502,40 kurs 14.344</t>
  </si>
  <si>
    <t>W5-0286/2022 Exam Size S PS68 USD 4.502,40 kurs 14.344 - BM (Bea Masuk)</t>
  </si>
  <si>
    <t>210,01,48</t>
  </si>
  <si>
    <t>Beban Fee Konsultan HBB Jasa Pajak - Jan</t>
  </si>
  <si>
    <t>Beban Fee Konsultan HBB Jasa Pajak - PPH 23 Jan</t>
  </si>
  <si>
    <t>Karya Putra Mandiri_Pelunasan Partisi N7 (Total 12 JT) - Jasa</t>
  </si>
  <si>
    <t>Karya Putra Mandiri_Pelunasan Partisi N7 (Total 12 JT) - pph 23</t>
  </si>
  <si>
    <t>Dari list Payment 1.815.517</t>
  </si>
  <si>
    <t>Karya Putra Mandiri_Pelunasan Partisi N7 (Total 12 JT)</t>
  </si>
  <si>
    <t>Web Development bulan Jan 2022 Inv 1-Q003-20211230</t>
  </si>
  <si>
    <t>Web Development bulan Jan 2022 Inv 1-Q003-20211230 - pph 21</t>
  </si>
  <si>
    <t xml:space="preserve">Komisi Penjualan Ivana Dinkes Demak </t>
  </si>
  <si>
    <t>Komisi Penjualan Ivana Dinkes Demak - Pajak Komisi 5% PPH 21</t>
  </si>
  <si>
    <t>Komisi Penjualan Ivana Dinkes Demak</t>
  </si>
  <si>
    <t>Komisi Penjualan Dinkes Siak - Pak Syain 1</t>
  </si>
  <si>
    <t>Komisi Penjualan Dinkes Siak - Pak Syain 2</t>
  </si>
  <si>
    <t>Komisi Penjualan Dinkes Siak - Pak Syain 3</t>
  </si>
  <si>
    <t>PT. Berkat Terang Dunia Jaya Abadi - alat pemadam kebakaran 01170/INV/01/2022</t>
  </si>
  <si>
    <t>Komisi Dinkes Bieren</t>
  </si>
  <si>
    <t>Dari list Payment 1.324.267</t>
  </si>
  <si>
    <t>Accurate system Jan 2022</t>
  </si>
  <si>
    <t>Angsuran pph 25 Bulan Jan 2022</t>
  </si>
  <si>
    <t>Web Development bulan Feb 1-Q003-20220131 - Bulan Feb 2022</t>
  </si>
  <si>
    <t>Beban PPh 21 bulan Jan 2022</t>
  </si>
  <si>
    <t xml:space="preserve">PT. Pelayaran Caraka </t>
  </si>
  <si>
    <t>dikreditkan bulan Feb</t>
  </si>
  <si>
    <t>BNI768/BB/I/001</t>
  </si>
  <si>
    <t>PBK ke BCA</t>
  </si>
  <si>
    <t xml:space="preserve"> Setoran u/ bayaran supplier</t>
  </si>
  <si>
    <t>BNI768/BB/I/002</t>
  </si>
  <si>
    <t>PIB W5-0461/2021 USD 62248 IDR 14294</t>
  </si>
  <si>
    <t>BNI768/BB/I/003</t>
  </si>
  <si>
    <t>UM Unloading 758 PF Teguh Wicaksono</t>
  </si>
  <si>
    <t>BNI768/BB/I/004</t>
  </si>
  <si>
    <t xml:space="preserve"> UM Kirim Barang Januari 2022 Samhadi</t>
  </si>
  <si>
    <t>UM Unloading 758 PF</t>
  </si>
  <si>
    <t xml:space="preserve"> UM Kirim Barang Januari 2022</t>
  </si>
  <si>
    <t>BNI768/BB/I/005</t>
  </si>
  <si>
    <t>PT PELITA RELIANCE INTERNATIONAL HOSPITAL</t>
  </si>
  <si>
    <t>BNI768/BB/I/006</t>
  </si>
  <si>
    <t>BNI768/BB/I/007</t>
  </si>
  <si>
    <t>Setoran u/ bayaran supplier</t>
  </si>
  <si>
    <t>Biaya Bank</t>
  </si>
  <si>
    <t>BNI768/BB/I/008</t>
  </si>
  <si>
    <t>DINAS KESEHATAN KABUPATEN LANGKAT</t>
  </si>
  <si>
    <t>BNI768/BB/I/009</t>
  </si>
  <si>
    <t>BNI768/BB/I/010</t>
  </si>
  <si>
    <t xml:space="preserve">angsuran mobil HRV </t>
  </si>
  <si>
    <t>X</t>
  </si>
  <si>
    <t xml:space="preserve">CEK </t>
  </si>
  <si>
    <t>BNI768/BB/I/011</t>
  </si>
  <si>
    <t>BNI768/BB/I/012</t>
  </si>
  <si>
    <t>PT EKAMAS INTERNATIONAL HOSPITAL</t>
  </si>
  <si>
    <t>BNI768/BB/I/013</t>
  </si>
  <si>
    <t>Token Listrik 14 0400 51691 AL1/067</t>
  </si>
  <si>
    <t>BNI768/BB/I/014</t>
  </si>
  <si>
    <t xml:space="preserve"> Token Listrik 86012070362 RGLN 007</t>
  </si>
  <si>
    <t>BNI768/BB/I/015</t>
  </si>
  <si>
    <t>IPL 1 des-31 Des GLC N7</t>
  </si>
  <si>
    <t>Air 16 Nov - 15 Des GLC N7</t>
  </si>
  <si>
    <t>IPL 1 des-31 Des AL 067</t>
  </si>
  <si>
    <t>Air 16 Nov - 15 Des AL 067</t>
  </si>
  <si>
    <t>K5 IPL 1 Dec - 31 Dec 2021</t>
  </si>
  <si>
    <t>K5 Air  16 Nov - 15 Des 21</t>
  </si>
  <si>
    <t>BNI768/BB/I/016</t>
  </si>
  <si>
    <t>Angsuran AIR  RKAI-022 OKTOBER 2021_TOTAL 5.145.800</t>
  </si>
  <si>
    <t>BNI768/BB/I/017</t>
  </si>
  <si>
    <t>Indihome &amp; Telpon RGLN-007</t>
  </si>
  <si>
    <t>BIAYA ADMIN</t>
  </si>
  <si>
    <t>BNI768/BB/I/018</t>
  </si>
  <si>
    <t>Indihome &amp; Telpon AL01/67</t>
  </si>
  <si>
    <t>BNI768/BB/I/019</t>
  </si>
  <si>
    <t>UM pantry &amp; Cleaning Samhadi</t>
  </si>
  <si>
    <t>BNI768/BB/I/020</t>
  </si>
  <si>
    <t>Token Listrik 86013669055 RGLK005</t>
  </si>
  <si>
    <t>BNI768/BB/I/021</t>
  </si>
  <si>
    <t>IPL1 Des - 31 Des GLC12RKAI-022</t>
  </si>
  <si>
    <t>AIR 16 Nov - 15 Des GLC12RKAI-022</t>
  </si>
  <si>
    <t>BNI768/BB/I/022</t>
  </si>
  <si>
    <t>Hallo _Komunikasi 08113340406</t>
  </si>
  <si>
    <t>BNI768/BB/I/023</t>
  </si>
  <si>
    <t>Indihome &amp; Telpon RGLK-005</t>
  </si>
  <si>
    <t>BNI768/BB/I/024</t>
  </si>
  <si>
    <t>Claim Transportasi 25 okt - 24 Nov 2021</t>
  </si>
  <si>
    <t>BNI768/BB/I/025</t>
  </si>
  <si>
    <t>Claim transportasi 26 Agustus, 24 Sep - 25 Okt 20</t>
  </si>
  <si>
    <t>BNI768/BB/I/026</t>
  </si>
  <si>
    <t xml:space="preserve"> BPJS TK 220102502500</t>
  </si>
  <si>
    <t>BNI768/BB/I/027</t>
  </si>
  <si>
    <t>Fee Konsultan Pajak Jan 2022</t>
  </si>
  <si>
    <t>BNI768/BB/I/028</t>
  </si>
  <si>
    <t>Karya Putra Mandiri_Pelunasan DP 50% Partisi N7 (Total 12 JT)</t>
  </si>
  <si>
    <t>BNI768/BB/I/029</t>
  </si>
  <si>
    <t>BPJS KES</t>
  </si>
  <si>
    <t>K5 IPL (Blm ada Bukti)</t>
  </si>
  <si>
    <t>K5 Air  (Blm ada Bukti)</t>
  </si>
  <si>
    <t>BNI768/BB/I/030</t>
  </si>
  <si>
    <t>KREDIT LAIN-LAIN | 028 PT. CENTRAL BAN</t>
  </si>
  <si>
    <t>BNI768/BB/I/031</t>
  </si>
  <si>
    <t>KE 8805125111 Bpk TAN BOON CHOON Pembayaran Hutang Ke Direksi</t>
  </si>
  <si>
    <t>BNI768/BB/I/032</t>
  </si>
  <si>
    <t>KE 28053803 SYAHDU HILAL | kekurangan UM Dinas Padang, Surabaya, Bali, Semar</t>
  </si>
  <si>
    <t>BNI768/BB/I/033</t>
  </si>
  <si>
    <t>BNI768/BB/I/034</t>
  </si>
  <si>
    <t>TRANSFER KE | BILL PAYMENT (MPN G2 IDR ) NO :026024592459075</t>
  </si>
  <si>
    <t>BNI768/BB/I/035</t>
  </si>
  <si>
    <t>Penerimaan Negara ( List PPh 23 Tahun 2021)</t>
  </si>
  <si>
    <t>List Hutang pph 23 tahun 2021</t>
  </si>
  <si>
    <t>BNI768/BB/I/036</t>
  </si>
  <si>
    <t>TRANSFER KE | BILL PAYMENT (MPN G2 IDR ) NO :026024545969104</t>
  </si>
  <si>
    <t>BNI768/BB/I/037</t>
  </si>
  <si>
    <t>Penerimaan Negara Hutang PPh 25 Des 2021</t>
  </si>
  <si>
    <t>BNI768/BB/I/038</t>
  </si>
  <si>
    <t>SYAHDU HILAL | UM Dinas Jateng &amp; Jatim</t>
  </si>
  <si>
    <t>BNI768/BB/I/039</t>
  </si>
  <si>
    <t>TRANSFER KE | PEMINDAHAN KE 286134721 Bpk HARIO JUNIANTO | Pinjaman TRF TO:000000000286134721</t>
  </si>
  <si>
    <t>BNI768/BB/I/040</t>
  </si>
  <si>
    <t>TRANSFER KE | PEMINDAHAN KE 8006006009 PT TOKOPEDIA | 3 Clear Holder , map kancing TRF TO:0000000080060</t>
  </si>
  <si>
    <t>BNI768/BB/I/041</t>
  </si>
  <si>
    <t>TEGUH WICAKSONO | UM Kirim Barang Jan 2022</t>
  </si>
  <si>
    <t>BNI768/BB/I/042</t>
  </si>
  <si>
    <t>KE 8006006009 PT TOKOPEDIA | E-Money 7270</t>
  </si>
  <si>
    <t>BNI768/BB/I/043</t>
  </si>
  <si>
    <t>PT TOKOPEDIA | ink epsone 664 merah, kuning, biru, 2 hitam TRF T</t>
  </si>
  <si>
    <t>BNI768/BB/I/044</t>
  </si>
  <si>
    <t>TRF/PAY/TOP-UP ECHANNEL | PEMINDAHAN KE 1570243221 | 6010047890065508 | BNI DIRECT</t>
  </si>
  <si>
    <t>BY TRX ATM PRIMA</t>
  </si>
  <si>
    <t>BNI768/BB/I/045</t>
  </si>
  <si>
    <t>Komisi Penjualan Ivana</t>
  </si>
  <si>
    <t>BNI768/BB/I/046</t>
  </si>
  <si>
    <t>Komisi Penjualan Pak Syain</t>
  </si>
  <si>
    <t>BNI768/BB/I/047</t>
  </si>
  <si>
    <t>PT TOKOPEDIA | 1 Dus Odner Bindex 777, Kwitansi, Surat Jalan, Po</t>
  </si>
  <si>
    <t>BNI768/BB/I/048</t>
  </si>
  <si>
    <t>Tokopedia 6 Box File Folio 4011 TRF TO:000000008006006009</t>
  </si>
  <si>
    <t>BNI768/BB/I/049</t>
  </si>
  <si>
    <t>TEGUH WICAKSONO | UM Pindahan barang N7 TRF TO:000000000685303095</t>
  </si>
  <si>
    <t>BNI768/BB/I/050</t>
  </si>
  <si>
    <t>BNI768/BB/I/051</t>
  </si>
  <si>
    <t>ganti Oli B 2648 BRE</t>
  </si>
  <si>
    <t>BNI768/BB/I/052</t>
  </si>
  <si>
    <t>TRF/PAY/TOP-UP ECHANNEL | PEMINDAHAN KE 7105096504 | 6010047890068298 | BNI DIRECT</t>
  </si>
  <si>
    <t>BNI768/BB/I/053</t>
  </si>
  <si>
    <t>Komisi Penjualan Dinkes Siak - Inc Tax</t>
  </si>
  <si>
    <t>BNI768/BB/I/054</t>
  </si>
  <si>
    <t>TAFS PERIODE 17</t>
  </si>
  <si>
    <t>BNI768/BB/I/055</t>
  </si>
  <si>
    <t>KE 897702622 IMANUEL ARI SUSANTO | UM Dinas 12-13 Kebumen &amp; Banyumas TRF TO:00000000</t>
  </si>
  <si>
    <t>BNI768/BB/I/056</t>
  </si>
  <si>
    <t>KE 8006006009 PT TOKOPEDIA | HTC-2 Thermometer Suhu Hygrometer clock Temperatur</t>
  </si>
  <si>
    <t>BNI768/BB/I/057</t>
  </si>
  <si>
    <t>KE 5490146221 | 6010047890070259 | Beli Kertas paperone</t>
  </si>
  <si>
    <t>BNI768/BB/I/058</t>
  </si>
  <si>
    <t>KE 897702622 IMANUEL ARI SUSANTO | UM hadiah ke Azken TRF TO:000000000897702622</t>
  </si>
  <si>
    <t>BNI768/BB/I/059</t>
  </si>
  <si>
    <t>Masker</t>
  </si>
  <si>
    <t>KE 8805125111 Bpk TAN BOON CHOON | TRF TO:000000008805125111 Pembayaran Hutang Ke Direksi</t>
  </si>
  <si>
    <t>TRANSFER KE | PEMINDAHAN KE 8805125111 Bpk TAN BOON CHOON | TRF TO:000000008805125111</t>
  </si>
  <si>
    <t>TRANSFER KE | BILL PAYMENT (MPN G2 IDR ) NO :026024548921111</t>
  </si>
  <si>
    <t>TRANSFER KE | BILL PAYMENT (MPN G2 IDR ) NO :026024577026006</t>
  </si>
  <si>
    <t>TRF/PAY/TOP-UP ECHANNEL | PEMINDAHAN KE 7105096504 | 6010047890068294 | BNI DIRECT</t>
  </si>
  <si>
    <t>KE 5490146221 | 6010047890070259 | BNI DIRECT</t>
  </si>
  <si>
    <t>BNI768/BB/I/060</t>
  </si>
  <si>
    <t>KREDIT LAIN-LAIN | 451 TIRTA MEDICAL I 120122 PT TMI</t>
  </si>
  <si>
    <t>BNI768/BB/I/061</t>
  </si>
  <si>
    <t>UM Kirim Barang Januari 2022 TRF TO:0000000009542 | Sdr MUHAMMAD SYAMHADI</t>
  </si>
  <si>
    <t>BNI768/BB/I/062</t>
  </si>
  <si>
    <t>KREDIT LAIN-LAIN | 153 PT PELITA RELIA PT PELITA RELIANCE</t>
  </si>
  <si>
    <t>BNI768/BB/I/063</t>
  </si>
  <si>
    <t>KREDIT LAIN-LAIN | 129 PADMA BUANA SUK 0500111000314 Bayar Suplayer</t>
  </si>
  <si>
    <t>BNI768/BB/I/064</t>
  </si>
  <si>
    <t>TRANSFER DARI | Pngembalian UM des 2021 | SYAHDU HILAL</t>
  </si>
  <si>
    <t>BNI768/BB/I/065</t>
  </si>
  <si>
    <t>KREDIT LAIN-LAIN | 153 PT PELITA RELIN PT PELITA RELINCE INTERNATIONA</t>
  </si>
  <si>
    <t>BNI768/BB/I/066</t>
  </si>
  <si>
    <t>KREDIT LAIN-LAIN | 153 PT EKAMAS INT H PT EKAMAS INT HOSPITAL</t>
  </si>
  <si>
    <t>BNI768/BB/I/067</t>
  </si>
  <si>
    <t xml:space="preserve"> Toner HP Laserjet 119A Pink TRF TO:00000000800600 | PT TOKOPEDIA</t>
  </si>
  <si>
    <t>BNI768/BB/I/068</t>
  </si>
  <si>
    <t xml:space="preserve"> Kekurangan UM Dinas 6/4/2021 5jt, 14/04/2021 2jt | SYAHDU HILAL</t>
  </si>
  <si>
    <t>BNI768/BB/I/069</t>
  </si>
  <si>
    <t xml:space="preserve"> PADMA BUANA SUK 0500111000314 Bayar Suplayer</t>
  </si>
  <si>
    <t>BNI768/BB/I/070</t>
  </si>
  <si>
    <t>SETOR TUNAI | WISNU ENING HANDAYANI</t>
  </si>
  <si>
    <t>BNI768/BB/I/071</t>
  </si>
  <si>
    <t>TRANSFER DARI | PEMINDAHAN DARI 897702622 IMANUEL ARI SUSANTO</t>
  </si>
  <si>
    <t>BNI768/BB/I/072</t>
  </si>
  <si>
    <t>KE 8006006009 PT TOKOPEDIA | hadiah Azken Earbud @ 2pcs TRF TO:00000000800600</t>
  </si>
  <si>
    <t>BNI768/BB/I/073</t>
  </si>
  <si>
    <t>DARI 306871664 Ibu SUSY LESTARI | Pengembalian toner 13/1/2022 Rp. 628.706</t>
  </si>
  <si>
    <t>BNI768/BB/I/074</t>
  </si>
  <si>
    <t>TRANSFER DARI | PEMINDAHAN DARI 28053803 SYAHDU HILAL</t>
  </si>
  <si>
    <t>BNI768/BB/I/075</t>
  </si>
  <si>
    <t>TRF/PAY/TOP-UP ECHANNEL | PEMINDAHAN DARI 7021073541 | 6034940115120530 | OI750944 1798</t>
  </si>
  <si>
    <t>BNI768/BB/I/076</t>
  </si>
  <si>
    <t>KREDIT LAIN-LAIN | 008 SPIRIT SEHAT SU PO220112_001</t>
  </si>
  <si>
    <t>TRANSFER DARI | PEMINDAHAN DARI 306871664 Ibu SUSY LESTARI | Pengembalian toner 13/1/2022 Rp. 628.706</t>
  </si>
  <si>
    <t>TRANSFER DARI | PEMINDAHAN DARI 28053803 SYAHDU HILAL Claim Ongkir Semesta</t>
  </si>
  <si>
    <t>DARI 7021073541 | 6034940115120530 | OI750944 1798 RS Aisyiyah</t>
  </si>
  <si>
    <t>BNI768/BB/I/077</t>
  </si>
  <si>
    <t>KE 28053803 SYAHDU HILAL | UM Hadiah Azken TRF TO:000000000028053803</t>
  </si>
  <si>
    <t>TRANSFER KE | PEMINDAHAN KE 28053803 SYAHDU HILAL | UM Hadiah Azken TRF TO:000000000028053803</t>
  </si>
  <si>
    <t>BNI768/BB/I/078</t>
  </si>
  <si>
    <t>SETOR TUNAI | PT ENDO MEDICA NUSANTARA Penggantian Ongkir</t>
  </si>
  <si>
    <t>BNI768/BB/I/079</t>
  </si>
  <si>
    <t>BNI768/BB/I/080</t>
  </si>
  <si>
    <t>MUHAMMAD SYAMHADI | UM Kirim Barang Januari 2022</t>
  </si>
  <si>
    <t>BNI768/BB/I/081</t>
  </si>
  <si>
    <t>TEGUH WICAKSONO | UM Kirim Barang Januari 2022</t>
  </si>
  <si>
    <t>BNI768/BB/I/082</t>
  </si>
  <si>
    <t>KUSBIALIM | UM Kirim Barang Januari 2022</t>
  </si>
  <si>
    <t>BNI768/BB/I/083</t>
  </si>
  <si>
    <t>BNI768/BB/I/084</t>
  </si>
  <si>
    <t>BNI768/BB/I/085</t>
  </si>
  <si>
    <t>SYAHRUL HIDAYAT | Claim 25 Nov sd 24 Des 2021</t>
  </si>
  <si>
    <t xml:space="preserve"> MUHAMMAD SYAMHADI | UM Kirim Barang Januari 2022 TRF TO:0000000009542</t>
  </si>
  <si>
    <t>TEGUH WICAKSONO | UM Kirim Barang Januari 2022 TRF TO:0000000006853</t>
  </si>
  <si>
    <t>KUSBIALIM | UM Kirim Barang Januari 2022 TRF TO:0000000083095</t>
  </si>
  <si>
    <t>TRF/PAY/TOP-UP ECHANNEL | PEMINDAHAN KE 1001060004733 | 6010047890110468 | BNI DIRECT</t>
  </si>
  <si>
    <t>TRF/PAY/TOP-UP ECHANNEL | PEMINDAHAN KE 1001060004733 | 6010047890107354 | BNI DIRECT</t>
  </si>
  <si>
    <t>TRANSFER KE | PEMINDAHAN KE 692680383 Bpk SYAHRUL HIDAYAT | Claim 25 Nov sd 24 Des 2021 TRF TO:00000000069268</t>
  </si>
  <si>
    <t>BNI768/BB/I/086</t>
  </si>
  <si>
    <t>BNI768/BB/I/087</t>
  </si>
  <si>
    <t>KREDIT LAIN-LAIN | 153 PT PELITA RELIA LLG</t>
  </si>
  <si>
    <t>BNI768/BB/I/088</t>
  </si>
  <si>
    <t>KREDIT LAIN-LAIN | 153 PT EKAMAS INTL PT EKAMAS INTL HOSPITAL</t>
  </si>
  <si>
    <t>BNI768/BB/I/089</t>
  </si>
  <si>
    <t>TRF/PAY/TOP-UP ECHANNEL | PEMINDAHAN DARI 7021073541 | 6034940120192334 | OI750944 1816</t>
  </si>
  <si>
    <t>DARI 7021073541 | 6034940120192334 | OI750944 1816 RS Aisyiyah</t>
  </si>
  <si>
    <t>BNI768/BB/I/090</t>
  </si>
  <si>
    <t>IMANUEL ARI SUSANTO | Claim Bensin Jan 2022 TRF TO:000000000897702622</t>
  </si>
  <si>
    <t>BNI768/BB/I/091</t>
  </si>
  <si>
    <t>Bpk TAN BOON CHOON | Transportasi TRF TO:000000008805125111</t>
  </si>
  <si>
    <t>BNI768/BB/I/092</t>
  </si>
  <si>
    <t>MUHAMMAD SYAMHADI | UM Kirim Barang Januari 2022 TRF TO:0000000009542</t>
  </si>
  <si>
    <t>BNI768/BB/I/093</t>
  </si>
  <si>
    <t>PEMINDAHAN KE 12141184738 | 6010047890130715 | BNI DIRECT</t>
  </si>
  <si>
    <t>BY TRX ATM PRIMA Dan Adm atas RS ASYIYAH Dibebankan Procare</t>
  </si>
  <si>
    <t>BNI768/BB/I/094</t>
  </si>
  <si>
    <t>SYAHRUL HIDAYAT | Transportasi ke Padang TRF TO:000000000692680383</t>
  </si>
  <si>
    <t>BNI768/BB/I/095</t>
  </si>
  <si>
    <t xml:space="preserve"> KE 5490404980 a/n Handrijanto Supardi Hansapedia_ Wrapping 50cm x 300m 2roll@ Rp. 80.500</t>
  </si>
  <si>
    <t>BNI768/BB/I/096</t>
  </si>
  <si>
    <t>TRANSFER KE | PEMINDAHAN KE 189960077 SIMSEM PAYROLL BNI DIRECT-O</t>
  </si>
  <si>
    <t>BNI768/BB/I/097</t>
  </si>
  <si>
    <t>TRANSFER KE | PEMINDAHAN KE 189960259 SIMSEM PAYROLL BNI DIRECT-L | 917500 |</t>
  </si>
  <si>
    <t>BNI768/BB/I/098</t>
  </si>
  <si>
    <t>TRANSFER KE | PEMINDAHAN KE 562856675 Bpk FERI FARDI | claim 5-24/1/2022 TRF TO:000000000562856675</t>
  </si>
  <si>
    <t>TRF/PAY/TOP-UP ECHANNEL | PEMINDAHAN KE 5490404980 | 6010047890129916 | BNI DIRECT</t>
  </si>
  <si>
    <t>BNI768/BB/I/099</t>
  </si>
  <si>
    <t>437051936 FLIPTECH LENTERA INSPIRA | FLP149304723 Andaresta</t>
  </si>
  <si>
    <t>BNI768/BB/I/0100</t>
  </si>
  <si>
    <t xml:space="preserve"> IMANUEL ARI SUSANTO | Refound Dana Perjalanan Dinas January 2022</t>
  </si>
  <si>
    <t>BNI768/BB/I/0101</t>
  </si>
  <si>
    <t>PT PELITA RELIA LLG</t>
  </si>
  <si>
    <t>BNI768/BB/I/0102</t>
  </si>
  <si>
    <t>IPL GLC12RKAI-022 (Tgl Jt Tempo 25/2/2022) u/ Mobilisasi</t>
  </si>
  <si>
    <t>BNI768/BB/I/0103</t>
  </si>
  <si>
    <t>TRF/PAY/TOP-UP ECHANNEL | PEMINDAHAN KE 5910557779 | 6010047890167654 | BNI DIRECT</t>
  </si>
  <si>
    <t>BNI768/BB/I/0104</t>
  </si>
  <si>
    <t>BNI768/BB/I/0105</t>
  </si>
  <si>
    <t>PT EKAMAS INTER PT EKAMAS INTERNATIONAL HOSPIT</t>
  </si>
  <si>
    <t>BNI768/BB/I/0106</t>
  </si>
  <si>
    <t>W5-0286/2022 Payment PIB Kode Billing 46692</t>
  </si>
  <si>
    <t>BNI768/BB/I/0107</t>
  </si>
  <si>
    <t>TRANSFER KE | BILL PAYMENT (MPN G2 IDR ) NO :026026118087133</t>
  </si>
  <si>
    <t>BNI768/BB/I/0108</t>
  </si>
  <si>
    <t>TRANSFER KE | BILL PAYMENT (MPN G2 IDR ) NO :820220128989195</t>
  </si>
  <si>
    <t>BNI768/BB/I/0109</t>
  </si>
  <si>
    <t>DARI 7087745718 | 6034940131105300 | WSPAY313 1856 Tirta</t>
  </si>
  <si>
    <t>BNI768/BB/I/0110</t>
  </si>
  <si>
    <t>BNI768/BB/I/0111</t>
  </si>
  <si>
    <t>BNI768/BB/I/0112</t>
  </si>
  <si>
    <t>Jasa Giro</t>
  </si>
  <si>
    <t>BNI768/BB/I/0113</t>
  </si>
  <si>
    <t xml:space="preserve">PPH </t>
  </si>
  <si>
    <t>BNI768/BB/I/0114</t>
  </si>
  <si>
    <t>Biaya adm</t>
  </si>
  <si>
    <t>BNIUSD/BB/I/0115</t>
  </si>
  <si>
    <t>Jasa Giro/Bunga</t>
  </si>
  <si>
    <t>BNIUSD/BB/I/0116</t>
  </si>
  <si>
    <t>BNIUSD/BB/I/0117</t>
  </si>
  <si>
    <t>Biaya Adm</t>
  </si>
  <si>
    <t>BNIUSD/BB/I/0118</t>
  </si>
  <si>
    <t>Selisih Kurs Saldo Akhir Jan 2022 (Kurs Tengah BI akhir Jan 14,382,01)</t>
  </si>
  <si>
    <t>Kurs tengah 14,382,01</t>
  </si>
  <si>
    <t>Saldo Akhir 1.436,07</t>
  </si>
  <si>
    <t>BCA 8607/BB/I/001</t>
  </si>
  <si>
    <t>CV SEMESTA MULIA M</t>
  </si>
  <si>
    <t>BCA 8607/BB/I/002</t>
  </si>
  <si>
    <t>Refund Reschedule Traveloka Refund 7</t>
  </si>
  <si>
    <t>???</t>
  </si>
  <si>
    <t>KENAPA DIMASUKKAN KE PEND LAIN2? BUKANKAH HARUSNYA MENDEBET BEBANNYA?</t>
  </si>
  <si>
    <t>BCA 8607/BB/I/003</t>
  </si>
  <si>
    <t>Tarikan Tunai 0470481-0 PLP 01271</t>
  </si>
  <si>
    <t>210,01,31</t>
  </si>
  <si>
    <t>Utang Usaha pada siapa saja?</t>
  </si>
  <si>
    <t>Tarikan Tunai 0470481-0 PLP 01271 - Provisi dan biaya Charge</t>
  </si>
  <si>
    <t>Tarikan Tunai 0470481-0 PLP 01271 - Selisih Kurs</t>
  </si>
  <si>
    <t xml:space="preserve">Tarikan Tunai 0470481-0 PLP 01271 </t>
  </si>
  <si>
    <t>BCA 8607/BB/1/002</t>
  </si>
  <si>
    <t>NITRIL PURESHIELD MAHIRA</t>
  </si>
  <si>
    <t>BCA 8607/BB/1/003</t>
  </si>
  <si>
    <t>01/05 95031 INV 00074 GLOBINDO</t>
  </si>
  <si>
    <t>BCA 8607/BB/1/004</t>
  </si>
  <si>
    <t>ANUGERAH PERSADA M</t>
  </si>
  <si>
    <t>BCA 8607/BB/1/005</t>
  </si>
  <si>
    <t>pelunasan inv 00040 nitril Globindo</t>
  </si>
  <si>
    <t>BCA 8607/BB/1/006</t>
  </si>
  <si>
    <t>DP PO NItril 001 ANGELA ANGE PUSPITA Globindo</t>
  </si>
  <si>
    <t>BCA 8607/BB/1/007</t>
  </si>
  <si>
    <t>Setoran tunai dari Endo</t>
  </si>
  <si>
    <t>BCA 8607/BB/1/008</t>
  </si>
  <si>
    <t>01/06 95031 ONGKIR PT SEMESTA</t>
  </si>
  <si>
    <t>BCA 8607/BB/1/009</t>
  </si>
  <si>
    <t>01/07 95031 BUDI SUJONO</t>
  </si>
  <si>
    <t>BCA 8607/BB/1/001</t>
  </si>
  <si>
    <t>BCA 8607/BB/1/010</t>
  </si>
  <si>
    <t>01/07 95031 CV TRI JAYA DINAMIKA INDRA ALAM</t>
  </si>
  <si>
    <t>BCA 8607/BB/1/011</t>
  </si>
  <si>
    <t>intouch mahira ANUGERAH MAHIRA PR</t>
  </si>
  <si>
    <t>BCA 8607/BB/1/012</t>
  </si>
  <si>
    <t>01/07 95031 NOV 0015 GLOBINDO</t>
  </si>
  <si>
    <t>BCA 8607/BB/1/013</t>
  </si>
  <si>
    <t>1/07 95031 DP PO NITRIL 005 GLOBINDO ANGELA ANGE PUSPIT</t>
  </si>
  <si>
    <t>BCA 8607/BB/1/014</t>
  </si>
  <si>
    <t>PO220106_002 SPIRIT SEHAT SUKSE</t>
  </si>
  <si>
    <t>BCA 8607/BB/1/015</t>
  </si>
  <si>
    <t>PT. MEDIVA BERKAH PERMANA DIDI PERMANA</t>
  </si>
  <si>
    <t>BCA 8607/BB/1/016</t>
  </si>
  <si>
    <t>Tarikan Tunai 0470482 Payment W5-0400 USD 62.298 Kurs 14.340</t>
  </si>
  <si>
    <t>210.01.45</t>
  </si>
  <si>
    <t>Tarikan Tunai 0470482 Payment W5-0400 USD 62.298 Kurs 14.340 - Biaya adm</t>
  </si>
  <si>
    <t>Tarikan Tunai 0470482 Payment W5-0400 USD 62.298 Kurs 14.340 - Selisih Kurs</t>
  </si>
  <si>
    <t>BCA 8607/BB/1/017</t>
  </si>
  <si>
    <t>Tarikan Tunai 0470483 Payment KB 5470/2021 USD 32.400 Kurs 14.340</t>
  </si>
  <si>
    <t>210,01,44</t>
  </si>
  <si>
    <t>Tarikan Tunai 0470483 Payment KB 5470/2021 USD 32.400 Kurs 14.340 - Selisih Kurs</t>
  </si>
  <si>
    <t>BCA 8607/BB/1/018</t>
  </si>
  <si>
    <t>BCA 8607/BB/1/019</t>
  </si>
  <si>
    <t>PO220111_001 SPIRIT SEHAT SUKSE</t>
  </si>
  <si>
    <t>BCA 8607/BB/1/020</t>
  </si>
  <si>
    <t>PT Erlimpex inv 22/01-0041</t>
  </si>
  <si>
    <t>BCA 8607/BB/1/021</t>
  </si>
  <si>
    <t>7 jan 22 ANUGERAH MAHIRA PR</t>
  </si>
  <si>
    <t>BCA 8607/BB/1/022</t>
  </si>
  <si>
    <t>ANUGERAH MAHIRA PR 13 jan pure shield</t>
  </si>
  <si>
    <t>BCA 8607/BB/1/023</t>
  </si>
  <si>
    <t>CV Trijaya Dinamika</t>
  </si>
  <si>
    <t>BCA 8607/BB/1/024</t>
  </si>
  <si>
    <t>Globindo 021 dan 022</t>
  </si>
  <si>
    <t>BCA 8607/BB/1/025</t>
  </si>
  <si>
    <t>BCA 8607/BB/1/026</t>
  </si>
  <si>
    <t>RSI Ibnu Sina Padang</t>
  </si>
  <si>
    <t>RSI Ibnu Sina Padang - Biaya Adm ditanggung Procarre</t>
  </si>
  <si>
    <t>BCA 8607/BB/1/027</t>
  </si>
  <si>
    <t>SPIRIT SEHAT SUKSE PO220114_001</t>
  </si>
  <si>
    <t>BCA 8607/BB/1/028</t>
  </si>
  <si>
    <t>DP PO Nitril 017 DP PO Nitril 017 Globindo</t>
  </si>
  <si>
    <t>BCA 8607/BB/1/029</t>
  </si>
  <si>
    <t>KAMARDI ISYE FAMIL</t>
  </si>
  <si>
    <t>BCA 8607/BB/1/030</t>
  </si>
  <si>
    <t>Persada Anugerah Mulia</t>
  </si>
  <si>
    <t>BCA 8607/BB/1/031</t>
  </si>
  <si>
    <t>ANUGERAH MAHIRA PR</t>
  </si>
  <si>
    <t>BCA 8607/BB/1/032</t>
  </si>
  <si>
    <t>BCA 8607/BB/1/033</t>
  </si>
  <si>
    <t>PT Erlimpex Inv 21/12-0081</t>
  </si>
  <si>
    <t>BCA 8607/BB/1/034</t>
  </si>
  <si>
    <t xml:space="preserve">Payment Dari Hamdani PT. Endo </t>
  </si>
  <si>
    <t>BCA 8607/BB/1/035</t>
  </si>
  <si>
    <t>PT. ERLIMPEX</t>
  </si>
  <si>
    <t>BCA 8607/BB/1/036</t>
  </si>
  <si>
    <t>BCA 8607/BB/1/037</t>
  </si>
  <si>
    <t>BCA 8607/BB/1/038</t>
  </si>
  <si>
    <t>BCA 8607/BB/1/039</t>
  </si>
  <si>
    <t>NOV 0023 DAN 0047 ANGELA ANGE PUSPIT Globindo</t>
  </si>
  <si>
    <t>BCA 8607/BB/1/040</t>
  </si>
  <si>
    <t>faktur ssd intcu 7 ,5 4q SURYA WARDHANA Solusi Surya</t>
  </si>
  <si>
    <t>BCA 8607/BB/1/041</t>
  </si>
  <si>
    <t>INTOUCH MAHIRA ANUGERAH MAHIRA P</t>
  </si>
  <si>
    <t>BCA 8607/BB/1/042</t>
  </si>
  <si>
    <t>JAPAN PACK INDONES PAYMENT FOR PII/IN V-IDR-SG/22/01-007 0</t>
  </si>
  <si>
    <t>BCA 8607/BB/1/043</t>
  </si>
  <si>
    <t>BCA 8607/BB/1/044</t>
  </si>
  <si>
    <t>nitrile S 4ktn MEDIVA BERKAH PERM</t>
  </si>
  <si>
    <t>BCA 8607/BB/1/045</t>
  </si>
  <si>
    <t>PO220125_002 SPIRIT SEHAT SUKSE</t>
  </si>
  <si>
    <t>BCA 8607/BB/1/046</t>
  </si>
  <si>
    <t>Pinjaman PT PROTEKSI</t>
  </si>
  <si>
    <t>BCA 8607/BB/1/047</t>
  </si>
  <si>
    <t>Penggantian Ongkir SolusiSurya</t>
  </si>
  <si>
    <t>BCA 8607/BB/1/048</t>
  </si>
  <si>
    <t>Dp Po 024 nitril ANGELA ANGE PUSPIT Globindo</t>
  </si>
  <si>
    <t>BCA 8607/BB/1/049</t>
  </si>
  <si>
    <t>Payment Invoice PII__SG/22/01-0093 VIRTUS ANALITIKA M</t>
  </si>
  <si>
    <t>BCA 8607/BB/1/050</t>
  </si>
  <si>
    <t>MAHIRA INTOUCH ANUGERAH MAHIRA PR</t>
  </si>
  <si>
    <t>BCA 8607/BB/1/051</t>
  </si>
  <si>
    <t>PURESHIELD ANUGERAH MAHIRA PR</t>
  </si>
  <si>
    <t>BCA 8607/BB/1/052</t>
  </si>
  <si>
    <t>BCA 8607/BB/1/053</t>
  </si>
  <si>
    <t>RS JEUMPA OBAT JATUH TEMPO</t>
  </si>
  <si>
    <t>BCA 8607/BB/1/054</t>
  </si>
  <si>
    <t>BCA 8607/BB/1/055</t>
  </si>
  <si>
    <t>BCA 8607/BB/1/056</t>
  </si>
  <si>
    <t>BCA 8607/BB/1/057</t>
  </si>
  <si>
    <t>Inv 0033 ANGELA ANGE PUSPIT</t>
  </si>
  <si>
    <t>BCA 8607/BB/1/058</t>
  </si>
  <si>
    <t>BCA 8615/BB/1/001</t>
  </si>
  <si>
    <t>Biaya Adm Rek BCA 8615</t>
  </si>
  <si>
    <t>BCA 8623/BB/I/001</t>
  </si>
  <si>
    <t>Biaya Adm Rek BCA 8623 USD</t>
  </si>
  <si>
    <t>ganti Oli B 2648 BRE - PPN masukan</t>
  </si>
  <si>
    <t>Bpk. Sentot - Bongkar Pasang  3 Unit AC I22 (Sdh pot Tax)</t>
  </si>
  <si>
    <t>Bpk. Sentot - Bongkar Pasang  3 Unit AC I22</t>
  </si>
  <si>
    <t>Dari list Payment 1.815.517 =6%*L837</t>
  </si>
  <si>
    <t>Bpk Sentot - Cuci AC 6 Unit dan Isi Freon (Sdh Pot Tax)</t>
  </si>
  <si>
    <t>Bpk Sentot - Isi Freon</t>
  </si>
  <si>
    <t>Bpk Sentot - Cuci AC 6 Unit</t>
  </si>
  <si>
    <t>Bpk Sentot - Cuci AC dan Isi Freon</t>
  </si>
  <si>
    <t>0001/INV/IDR/JMSI/I2022</t>
  </si>
  <si>
    <t>0001/INV/IDR/JMSI/I2022 - pph 23</t>
  </si>
  <si>
    <t>Dari list Payment 408.000</t>
  </si>
  <si>
    <t>0001/INV/IDR/JMSI/I2022 - PT IPC Terminal Petikemas</t>
  </si>
  <si>
    <t>0001/INV/IDR/JMSI/I2022 - PT Pelayaran Caraka Tirta Perkasa (Bukan objek pph 23)</t>
  </si>
  <si>
    <t>0001/INV/IDR/JMSI/I2022 - PT IPC Terminal Petikemas-pph 23</t>
  </si>
  <si>
    <t>Beli Handsanitizer Ke Globindo Inv 0432/KEU/II/2022</t>
  </si>
  <si>
    <t>Custom Clearance Inv 001/IMP/22</t>
  </si>
  <si>
    <t>Custom Clearance - Pot pph 21 Inv 001/IMP/22</t>
  </si>
  <si>
    <t>Dari list payment 269.850</t>
  </si>
  <si>
    <t>Penumpukan Gudang PT. Cardindo Citra Buana Inv 001/IMP/22</t>
  </si>
  <si>
    <t>Penumpukan Gudang PT. Jasa Angkasa Semesta Inv 001/IMP/22</t>
  </si>
  <si>
    <t>Asuransi Inv 001/IMP/22</t>
  </si>
  <si>
    <t>Stamp Inv 001/IMP/22</t>
  </si>
  <si>
    <t>Trucking Inv 001/IMP/22</t>
  </si>
  <si>
    <t>Penumpukan, Custom Clearance Inv 001/IMP/22</t>
  </si>
  <si>
    <t>KK/I/001</t>
  </si>
  <si>
    <t>Konsumsi Tukang pasang partisi N7 Lt.3</t>
  </si>
  <si>
    <t>KK/I/002</t>
  </si>
  <si>
    <t>KK/I/003</t>
  </si>
  <si>
    <t>Bensin kirim barang 22/01-0022  ke EKA Bekasi_Kusbi</t>
  </si>
  <si>
    <t>KK/I/004</t>
  </si>
  <si>
    <t>Parkir kirim barang 22/01-0022 ke EKA Bekasi_Kusbi</t>
  </si>
  <si>
    <t>KK/I/005</t>
  </si>
  <si>
    <t>cuci AC 6 unit @ Rp. 60.000, Isi Freon Rp. Isi Freon 200.000</t>
  </si>
  <si>
    <t>KK/I/006</t>
  </si>
  <si>
    <t>Bensin kirim barang 22/01-0033  ke EKA Bekasi_Kusbi</t>
  </si>
  <si>
    <t>KK/I/007</t>
  </si>
  <si>
    <t>Parkir kirim barang 22/01-0033  ke EKA Bekasi_Kusbi</t>
  </si>
  <si>
    <t>KK/I/008</t>
  </si>
  <si>
    <t>Hari-Hari Bangunan Kresek_ Paku Beton 4cm isi 10pcs u/ pasang APAR</t>
  </si>
  <si>
    <t>KK/I/009</t>
  </si>
  <si>
    <t>Sentra Cargo No. Resi: 00014217190_kirim Barang Inv No. 22/01-0046 Jambi_Kusbi</t>
  </si>
  <si>
    <t>KK/I/010</t>
  </si>
  <si>
    <t>Transportasi Pindahan I22 (N7-I22)</t>
  </si>
  <si>
    <t>KK/I/011</t>
  </si>
  <si>
    <t>Toko M. Hilmi Gordyn_ Hordeng paket lengkap 7 meter</t>
  </si>
  <si>
    <t>KK/I/012</t>
  </si>
  <si>
    <t>Hari-Hari Bangunan Kresek_ Paku Beton 2 pack@ 10pcs, Skrup Gypsum 1 Pack@20pcs u/ Hordeng</t>
  </si>
  <si>
    <t>KK/I/013</t>
  </si>
  <si>
    <t>KK/I/014</t>
  </si>
  <si>
    <t>Claim Kekurangan UM Hadiah Azken (17-1-2022 2,5jt)</t>
  </si>
  <si>
    <t>Lap UM Teguh</t>
  </si>
  <si>
    <t>Koordinator</t>
  </si>
  <si>
    <t>Teguh</t>
  </si>
  <si>
    <t>Supir Kontainer</t>
  </si>
  <si>
    <t>Pak Dodo 8 rit</t>
  </si>
  <si>
    <t>Aqua 1,5 L 9 botol</t>
  </si>
  <si>
    <t>Nasi Padang 9 Bungkus</t>
  </si>
  <si>
    <t>Kuli 7 Orang</t>
  </si>
  <si>
    <t>Uang Kebersihan Pak RT</t>
  </si>
  <si>
    <t>Scurity</t>
  </si>
  <si>
    <t>Lap Uang Muka Tgl 3 Jan loading Teguh</t>
  </si>
  <si>
    <t>GoBox 22/01-0001-0005,0009,0010 PT. AMP_SMG, PT. APM_SMG, CV. Semesta_SDJ</t>
  </si>
  <si>
    <t>Kobra L/02 6696 22/01-0001-0005 PT. APM_SMG</t>
  </si>
  <si>
    <t>Parkir</t>
  </si>
  <si>
    <t>Tol Karang Tengah</t>
  </si>
  <si>
    <t>Kuli</t>
  </si>
  <si>
    <t>Kobra L/02 6697 22/01-0010  CV. SMESTA_SDJ</t>
  </si>
  <si>
    <t>Bensin</t>
  </si>
  <si>
    <t>GoBox</t>
  </si>
  <si>
    <t>Kobra L/02-6957 22/01-0012,0013 PT. AMP_SMG</t>
  </si>
  <si>
    <t>Kobra L/02 6698 22/01-0009 PT. AMP_SMG</t>
  </si>
  <si>
    <t>Aqua Galon</t>
  </si>
  <si>
    <t>GrabEkspress</t>
  </si>
  <si>
    <t>Kobra L/02 7859 22/01-0024</t>
  </si>
  <si>
    <t>GrabBike</t>
  </si>
  <si>
    <t>Tol Meruya Utama</t>
  </si>
  <si>
    <t>Lap UM Samhadi</t>
  </si>
  <si>
    <t>Lap Uang Muka Tgl 3 Jan Samhadi</t>
  </si>
  <si>
    <t>GrabEkspress|INV : 22/01-0036| RS. Eka Hospital_CBB</t>
  </si>
  <si>
    <t>Tol Cibubur|INV : 22/01-0036| RS. Eka Hospital_CBB</t>
  </si>
  <si>
    <t>Tol Karang TGH BRT 1|INV : 22/01-0036| RS. Eka Hospital_CBB</t>
  </si>
  <si>
    <t>Tol Jati Karya|INV : 22/01-0036| RS. Eka Hospital_CBB</t>
  </si>
  <si>
    <t>Tol Cililitan|INV : 22/01-0036| RS. Eka Hospital_CBB</t>
  </si>
  <si>
    <t>Tol Karang TGH BRT 2|INV : 22/01-0036| RS. Eka Hospital_CBB</t>
  </si>
  <si>
    <t>Tol Tomang|INV : 22/01-0036| RS. Eka Hospital_CBB</t>
  </si>
  <si>
    <t>Parkir|INV : 22/01-0036| RS. Eka Hospital_CBB</t>
  </si>
  <si>
    <t>Tol Cimanggis 4|INV : 22/01-0036| RS. Eka Hospital_CBB</t>
  </si>
  <si>
    <t>GrabEkspress | INV : 22/01-0053 | PT. Globindo</t>
  </si>
  <si>
    <t>GrabBike | INV : 22/01-0053 | PT. Globindo</t>
  </si>
  <si>
    <t>Tol Karang Tengah | INV : 22/01-0053 | PT. Globindo</t>
  </si>
  <si>
    <t>Tol Meruya Utama | INV : 22/01-0053 | PT. Globindo</t>
  </si>
  <si>
    <t>Grab Ekspress | INV : 22/01-0055 | Eka Hospital_CBB</t>
  </si>
  <si>
    <t>GrabCar | INV : 22/01-0055 | Eka Hospital_CBB</t>
  </si>
  <si>
    <t>Tol Jati Karya | INV : 22/01-0055 | Eka Hospital_CBB</t>
  </si>
  <si>
    <t>Parkir | INV : 22/01-0055 | Eka Hospital_CBB</t>
  </si>
  <si>
    <t>Tol Cimanggis | INV : 22/01-0055 | Eka Hospital_CBB</t>
  </si>
  <si>
    <t>Tol Cimanggis 4 | INV : 22/01-0055 | Eka Hospital_CBB</t>
  </si>
  <si>
    <t>Tol Karang TGH | INV : 22/01-0055 | Eka Hospital_CBB</t>
  </si>
  <si>
    <t>Tol Tomang | INV : 22/01-0055 | Eka Hospital_CBB</t>
  </si>
  <si>
    <t>Wraping &amp; HVS_A4</t>
  </si>
  <si>
    <t>Sentral Cargo 00014217623 | Kirim Calender Ke PT. Alprido</t>
  </si>
  <si>
    <t>Stample Warna 2 PCS</t>
  </si>
  <si>
    <t>GoBox | INV : 22/01-0051,0052 | PT. APM_SMG</t>
  </si>
  <si>
    <t>Tol Karang tengah | INV : 22/01-0051,0052 | PT. APM_SMG</t>
  </si>
  <si>
    <t>Lap UM Teguh tgl 11 Jan 22</t>
  </si>
  <si>
    <t>GoBox / INV : 22/01-0042 / PT. PADMA_BLI</t>
  </si>
  <si>
    <t>Samhadi</t>
  </si>
  <si>
    <t>GoBox / INV : 0039,0040 / PT. APM_SMG</t>
  </si>
  <si>
    <t>Tol Karang TGH / INV : 22/01-0042 / PT. PADMA_BLI</t>
  </si>
  <si>
    <t>Parkir / INV : 22/01-0042 / PT. PADMA_BLI</t>
  </si>
  <si>
    <t>Kuli / INV : 22/01-0042 / PT. PADMA_BLI</t>
  </si>
  <si>
    <t>Parkir / INV : 0039,0040 / PT. APM_SMG</t>
  </si>
  <si>
    <t>Tol Tomang / INV : 22/01-0042 / PT. PADMA_BLI</t>
  </si>
  <si>
    <t>Sentral Cargo 00014217108 / INV : 22/01/0041 / PT. Erlimpex_SMG</t>
  </si>
  <si>
    <t>Kobra L/02-9184 / INV : 22/01-0037,0043 / PT. AMP_SMG</t>
  </si>
  <si>
    <t>GoBox / INV : 22/01-0048 / PT. AMP_SMG</t>
  </si>
  <si>
    <t>Bensin / INV : 22/01-0034,0035 / Eka Hospital_BSD</t>
  </si>
  <si>
    <t>Tol Karang TGH / INV : 22/01-0048 / PT. AMP_SMG</t>
  </si>
  <si>
    <t>Parkir / INV : 22/01-0048 / PT. AMP_SMG</t>
  </si>
  <si>
    <t>Kobra L/02-9494 / INV : 22/01-0048 / PT. AMP_SMG</t>
  </si>
  <si>
    <t>GrabEkspress / INV : 22/01-0031 / PT. Globindo</t>
  </si>
  <si>
    <t>GrabBike / INV : 22/01-0031 / PT. Globindo</t>
  </si>
  <si>
    <t>Tol Karang TGH / INV : 22/01-0031 / PT. Globindo</t>
  </si>
  <si>
    <t>Parkir / INV : 22/01-0034,0035 / Eka Hospital_BSD</t>
  </si>
  <si>
    <t>Tol Meruya Utama / INV : 22/01-0031 / PT. Globindo</t>
  </si>
  <si>
    <t>Aqua Galon 2</t>
  </si>
  <si>
    <t>GrabEkspress / INV : 22/01-0052 / PT. APM_SMG</t>
  </si>
  <si>
    <t>Bensin / INV : 22/01-0052 / PT. APM_SMG</t>
  </si>
  <si>
    <t>Tol Karang TGH / INV : 22/01-0051,0052 / PT. APM_SMG</t>
  </si>
  <si>
    <t>lap Uang Muka Samhadi tgl 13 Jan 22</t>
  </si>
  <si>
    <t>GoBox / INV : 22/01-0054 / PT. AMP_SMG</t>
  </si>
  <si>
    <t>GoBox / INV : 22/01-0056,0059 / Eka Hospital_BSD</t>
  </si>
  <si>
    <t>GrabBike / INV : 22/01-0056,0059 / Eka Hospital_BSD</t>
  </si>
  <si>
    <t>Parkir / INV : 22/01-0063,0064 / Eka Hospital_BSD</t>
  </si>
  <si>
    <t>Tol Kunciran / INV : 22/01-0060,0065,0067 / PT. AMP_SMG, PT.APM_SMG</t>
  </si>
  <si>
    <t>Tol Kunciran / INV : 22/01-0063,0064 / Eka Hospital_BSD</t>
  </si>
  <si>
    <t>Tol Kunciran / INV : 22/01-0056,0059 / Eka Hospital_BSD</t>
  </si>
  <si>
    <t>Parkir / INV : 22/01-0054 / PT. AMP_SMG</t>
  </si>
  <si>
    <t>Tol Karang TGH / INV : 22/01-0054 / PT. AMP_SMG</t>
  </si>
  <si>
    <t>Parkir / INV : 22/01-0060,0065,0067 / PT. AMP_SMG, PT.APM_SMG</t>
  </si>
  <si>
    <t>Kobra M/02-0596 / INV : 22/01-0060,0065 / PT. AMP_SMG, PT.APM_SMG</t>
  </si>
  <si>
    <t>Kobra M/02-0124 / INV : 22/01-0054 / PT. AMP_SMG</t>
  </si>
  <si>
    <t>Sentral Cargo 00014217574 / INV : 22/01-0058 / Eka Hospital_PKU</t>
  </si>
  <si>
    <t>GoBox / INV : 22/01-0063,0064 / Eka Hospital_BSD</t>
  </si>
  <si>
    <t>GoBox / INV : 22/01-0060,0065,0067 / PT. AMP_SMG, PT.APM_SMG</t>
  </si>
  <si>
    <t>lap Uang Muka Samhadi tgl 18 Jan 22</t>
  </si>
  <si>
    <t>GrabEkspress | INV : 22/01-0061,0062 | PT. Globindo</t>
  </si>
  <si>
    <t>Grabbike | INV : 22/01-0061,0062 | PT. Globindo</t>
  </si>
  <si>
    <t>Tol Pulo Gebang | INV : 22/01-0061,0062 | PT. Globindo</t>
  </si>
  <si>
    <t>Tol Karang TGH | INV : 22/01-0061,0062 | PT. Globindo</t>
  </si>
  <si>
    <t>GoBox | INV : 22/01-0068 | PT. AMP_SMG</t>
  </si>
  <si>
    <t>GrabBike | INV : 22/01-0068 | PT. AMP_SMG</t>
  </si>
  <si>
    <t>Tol Karang TGH | INV : 22/01-0068 | PT. AMP_SMG</t>
  </si>
  <si>
    <t>Bawa palet dari N07 Ke I 22</t>
  </si>
  <si>
    <t>GoBox | INV : 22/01-0084 | Eka Hospital_CBB</t>
  </si>
  <si>
    <t>GrabCar | INV : 22/01-0084 | Eka Hospital_CBB</t>
  </si>
  <si>
    <t>Tol Karang TGH | INV : 22/01-0084 | Eka Hospital_CBB</t>
  </si>
  <si>
    <t>Tol Cimanggis | INV : 22/01-0084 | Eka Hospital_CBB</t>
  </si>
  <si>
    <t>Tol Jatikarya | INV : 22/01-0084 | Eka Hospital_CBB</t>
  </si>
  <si>
    <t>Tol Cimanggis 5 | INV : 22/01-0084 | Eka Hospital_CBB</t>
  </si>
  <si>
    <t>Tol Pasar Rebo | INV : 22/01-0084 | Eka Hospital_CBB</t>
  </si>
  <si>
    <t>Tol Tomang | INV : 22/01-0084 | Eka Hospital_CBB</t>
  </si>
  <si>
    <t>Tol Parkir | INV : 22/01-0084 | Eka Hospital_CBB</t>
  </si>
  <si>
    <t>Lap Uang Muka Teguh Tanggal 18 Jan 2022</t>
  </si>
  <si>
    <t>Uang Muka Samhadi</t>
  </si>
  <si>
    <t>GoBox | INV : 22/01-0071,0072,0075,0076 | PT. APM_SMG &amp; PT. AMP_SMG</t>
  </si>
  <si>
    <t>GoBox | INV : 22/01-0081,0082,0078 | PT. CBR_BDG &amp; EKA_BSD</t>
  </si>
  <si>
    <t>Tol Karang TGH | INV : 22/01-0071,0072,0075,0076 | PT. APM_SMG &amp; PT. AMP_SMG</t>
  </si>
  <si>
    <t>Bensin | INV : 22/01-0071,0072,0075,0076 | PT. APM_SMG &amp; PT. AMP_SMG</t>
  </si>
  <si>
    <t>Parkir | INV : 22/01-0071,0072,0075,0076 | PT. APM_SMG &amp; PT. AMP_SMG</t>
  </si>
  <si>
    <t>Parkir | INV : 22/01-0081,0082,0078 | EKA_BSD</t>
  </si>
  <si>
    <t>Parkir | INV : 22/01-0081,0082,0078 | PT. CBR_BDG</t>
  </si>
  <si>
    <t>Tol Kunciran | INV : 22/01-0071,0072,0075,0076 | PT. APM_SMG &amp; PT. AMP_SMG</t>
  </si>
  <si>
    <t>Kobra M/02-1640 | INV : 22/01-0075 | PT. AMP_SMG</t>
  </si>
  <si>
    <t>GoBox | INV : 22/01-0077 | PT. Solusi Surya_TSM</t>
  </si>
  <si>
    <t>GoBox | INV : 22/01-0078 | PT. CBR_BDG</t>
  </si>
  <si>
    <t>GoBox | INV : 22/01-0088,0089 | PT. AMP_SMG</t>
  </si>
  <si>
    <t>GoBox | Barang Titipan Ke Pak Fery _ Padang</t>
  </si>
  <si>
    <t>GoBox | INV : 22/01-0091 | Eka Hospital_BSD</t>
  </si>
  <si>
    <t>Parkir | INV : 22/01-0091 | Eka Hospital_BSD</t>
  </si>
  <si>
    <t>Parkir | INV : 22/01-0078 | PT. CBR_BDG</t>
  </si>
  <si>
    <t>Tol Kapuk | INV : 22/01-0078 | PT. CBR_BDG</t>
  </si>
  <si>
    <t>Tol Kunciran | INV : 22/01-0091 | Eka Hospital_BSD</t>
  </si>
  <si>
    <t>Bensin | INV : 22/01-0091 | Eka Hospital_BSD</t>
  </si>
  <si>
    <t>Tol Karang TGH | Barang Titipan Ke Pak Fery _ Padang</t>
  </si>
  <si>
    <t>JNE REG ( 010140013963422 )</t>
  </si>
  <si>
    <t>Parkir | Barang Titipan Ke Pak Fery _ Padang</t>
  </si>
  <si>
    <t>Kuli | Barang Titipan Ke Pak Fery _ Padang</t>
  </si>
  <si>
    <t>Parkir | INV : 22/01-0088,0089 | PT. AMP_SMG</t>
  </si>
  <si>
    <t>Kuli | INV : 22/01-0088,0089 | PT. AMP_SMG</t>
  </si>
  <si>
    <t>Kuli | INV : 22/01-0078 | PT. CBR_BDG</t>
  </si>
  <si>
    <t>Tol Tomang | INV : 22/01-0078 | PT. CBR_BDG</t>
  </si>
  <si>
    <t>PT. Baraka / KPK2201260076 | INV : 22/01-0077 | PT. Solusi Surya_TSM</t>
  </si>
  <si>
    <t>Kobra M/02-2194 | INV : 22/01-0088,0089 | PT. AMP_SMG</t>
  </si>
  <si>
    <t>CMC ( 101312470 ) | Barang Titipan Ke Pak Fery _ Padang</t>
  </si>
  <si>
    <t>Lap UM Kusbi</t>
  </si>
  <si>
    <t>Uang Muka Kusbi</t>
  </si>
  <si>
    <t>GrabEkspress | INV : 22/01-0066 | Eka Hospital_BKS</t>
  </si>
  <si>
    <t>GrabEkspress | INV : 22/01-0079 | PT. Globindo</t>
  </si>
  <si>
    <t>Bensin | INV : 22/01-0079 | PT. Globindo</t>
  </si>
  <si>
    <t>Tol Karang Tgh | INV : 22/01-0066 | Eka Hospital_BKS</t>
  </si>
  <si>
    <t>Bensin | INV : 22/01-0096,0097 | Eka Hospital_BKS</t>
  </si>
  <si>
    <t>Parkir | INV : 22/01-0066 | Eka Hospital_BKS</t>
  </si>
  <si>
    <t>Tol Tomang | INV : 22/01-0066 | Eka Hospital_BKS</t>
  </si>
  <si>
    <t>Tol Meruya | INV : 22/01-0079 | PT. Globindo</t>
  </si>
  <si>
    <t>Tol Karang TGH | INV : 22/01-0079 | PT. Globindo</t>
  </si>
  <si>
    <t>SC 00014218082 | INV : 22/01-0085 | Eka Hospital_PKU</t>
  </si>
  <si>
    <t>GrabEkspress | INV : 22/01-0100 |PT. Erlimpex</t>
  </si>
  <si>
    <t>Kobra M/02-2919 | INV : 22/01-0100 |PT. Erlimpex</t>
  </si>
  <si>
    <t>CMC 101318702 | INV : 22/01-0102 | RS. Eka_PKU</t>
  </si>
  <si>
    <t>Kobra M/02-3384 | INV : 22/02-0001 | CV Semesta_SDJ</t>
  </si>
  <si>
    <t>Parkir| INV : 22/02-0001 | CV Semesta_SDJ</t>
  </si>
  <si>
    <t>Tanpa UM (Claim )</t>
  </si>
  <si>
    <t>GoBox | INV : 22/01-0108,0109 | PT. Endo_TNG</t>
  </si>
  <si>
    <t>GoBox | INV : 22/01-0103,0105 | PT. Globindo</t>
  </si>
  <si>
    <t>Parkir | INV : 22/01-0108,0109 | PT. Endo_TNG</t>
  </si>
  <si>
    <t>Tol Cawang | INV : 22/01-0103,0105 | PT. Globindo</t>
  </si>
  <si>
    <t>Tol Kunciran | INV : 22/01-0108,0109 | PT. Endo_TNG</t>
  </si>
  <si>
    <t>Tol Pamulang | INV : 22/01-0108,0109 | PT. Endo_TNG</t>
  </si>
  <si>
    <t>GrabEkspress | INV : 22/01-0092 | Eka Hospital_BKS</t>
  </si>
  <si>
    <t>Tol Karang Tengah | INV : 22/01-0092 | Eka Hospital_BKS</t>
  </si>
  <si>
    <t>Tol Tomang| INV : 22/01-0092 | Eka Hospital_BKS</t>
  </si>
  <si>
    <t>Pak Dodo Pindahan N7 ke K5 dan I 22</t>
  </si>
  <si>
    <t>Kuli 3 orang (Teguh, Sam, Kusbi)</t>
  </si>
  <si>
    <t>Claim Kekurangan UM Samhadi</t>
  </si>
  <si>
    <t>Claim Kekurangan UM Kusbi</t>
  </si>
  <si>
    <t>Refund Yang harus dikembalikan Teguh</t>
  </si>
  <si>
    <t>Lap UM Pak Syahdu</t>
  </si>
  <si>
    <t>Hadiah HP untuk PT Azken</t>
  </si>
  <si>
    <t>Lap Pak Syahdu beli hadiah untuk Azken</t>
  </si>
  <si>
    <t>Claim Kekurangan beli Hadiah Pak Syahdu</t>
  </si>
  <si>
    <t>Adjusment</t>
  </si>
  <si>
    <t>Menset off PK PM PPN Bulan Jan 2022</t>
  </si>
  <si>
    <t>Total Kredit bulan Jan</t>
  </si>
  <si>
    <t>HPP Persediaan Januari - Intouch</t>
  </si>
  <si>
    <t>HPP Persediaan Januari - Exam</t>
  </si>
  <si>
    <t>HPP Persediaan Januari - Condom</t>
  </si>
  <si>
    <t>Persediaan untuk  CSR, Sampel (Pemberian dan Pengembalian CSR&amp;Sample)</t>
  </si>
  <si>
    <t>Adjusment Saldo Awal Jan Intouch</t>
  </si>
  <si>
    <t>Adjusment Saldo Awal Jan Exam</t>
  </si>
  <si>
    <t>Penyusutan Aktiva Jan 2022 -  Kendaraan</t>
  </si>
  <si>
    <t>Penyusutan Aktiva Jan 2022 - Inventaris Kantor</t>
  </si>
  <si>
    <t>Beban Sewa Dibayar Dimuka Jan 2022</t>
  </si>
  <si>
    <t>Sewa Dibayar Dimuka Jan 2022</t>
  </si>
  <si>
    <t>Biaya asuransi Kendaraan ke 17-36</t>
  </si>
  <si>
    <t>Pembelian Powdered size 8 PT Tirta Medical</t>
  </si>
  <si>
    <t>Barcode 8992019070469</t>
  </si>
  <si>
    <t>dikreditkan bulan Mar</t>
  </si>
  <si>
    <t>JAN</t>
  </si>
  <si>
    <t>PII/INV-IDR-CO/22/02-0001</t>
  </si>
  <si>
    <t>PII/INV-IDR-CO/22/02-0002</t>
  </si>
  <si>
    <t>PII/INV-IDR-CO/22/02-0004</t>
  </si>
  <si>
    <t>PII/INV-IDR-CO/22/02-0005</t>
  </si>
  <si>
    <t xml:space="preserve">SYAHDU HILAL </t>
  </si>
  <si>
    <t>PII/INV-IDR-SG/22/02-0083</t>
  </si>
  <si>
    <t>CV TISHASHI ANUGRAH MANDIRI</t>
  </si>
  <si>
    <t>PII/INV-IDR-SG/22/02-0001</t>
  </si>
  <si>
    <t>PII/INV-IDR-SG/22/02-0026</t>
  </si>
  <si>
    <t>PII/INV-IDR-SG/22/02-0068</t>
  </si>
  <si>
    <t>PII/INV-IDR-CO/22/02-0003</t>
  </si>
  <si>
    <t>ERIK</t>
  </si>
  <si>
    <t>PII/INV-IDR-SG/22/02-0074</t>
  </si>
  <si>
    <t>MADINA BUKITTINGGI</t>
  </si>
  <si>
    <t>PII/INV-IDR-SG/22/02-0092</t>
  </si>
  <si>
    <t>PII/INV-IDR-SG/22/02-0086</t>
  </si>
  <si>
    <t>PT. ALPRIDO ALKESINDO</t>
  </si>
  <si>
    <t>PII/INV-IDR-SG/22/02-0021</t>
  </si>
  <si>
    <t>PII/INV-IDR-SG/22/02-0011</t>
  </si>
  <si>
    <t>PII/INV-IDR-SG/22/02-0012</t>
  </si>
  <si>
    <t>RETUR/CSR-AMP/01-0002</t>
  </si>
  <si>
    <t>PII/INV-IDR-SG/22/02-0009</t>
  </si>
  <si>
    <t>PII/INV-IDR-SG/22/02-0010</t>
  </si>
  <si>
    <t>PII/INV-IDR-SG/22/02-0018</t>
  </si>
  <si>
    <t>PII/INV-IDR-SG/22/02-0019</t>
  </si>
  <si>
    <t>PII/INV-IDR-SG/22/02-0040</t>
  </si>
  <si>
    <t>PII/INV-IDR-SG/22/02-0041</t>
  </si>
  <si>
    <t>PII/INV-IDR-SG/22/02-0042</t>
  </si>
  <si>
    <t>PII/INV-IDR-SG/22/02-0044</t>
  </si>
  <si>
    <t>PII/INV-IDR-SG/22/02-0045</t>
  </si>
  <si>
    <t>PII/INV-IDR-SG/22/02-0046</t>
  </si>
  <si>
    <t>PII/INV-IDR-SG/22/02-0051</t>
  </si>
  <si>
    <t>PII/INV-IDR-SG/22/02-0053</t>
  </si>
  <si>
    <t>PII/INV-IDR-SG/22/02-0057</t>
  </si>
  <si>
    <t>PII/INV-IDR-SG/22/02-0072</t>
  </si>
  <si>
    <t>PII/INV-IDR-SG/22/02-0080</t>
  </si>
  <si>
    <t>PII/INV-IDR-SG/22/02-0089</t>
  </si>
  <si>
    <t>PII/INV-IDR-SG/22/02-0090</t>
  </si>
  <si>
    <t>PII/INV-IDR-SG/22/02-0029</t>
  </si>
  <si>
    <t>PII/INV-IDR-SG/22/02-0028</t>
  </si>
  <si>
    <t>PII/INV-IDR-SG/22/02-0037</t>
  </si>
  <si>
    <t>PII/INV-IDR-SG/22/02-0039</t>
  </si>
  <si>
    <t>PII/INV-IDR-SG/22/02-0065</t>
  </si>
  <si>
    <t>PII/INV-IDR-SG/22/02-0066</t>
  </si>
  <si>
    <t>PII/INV-IDR-SG/22/02-0033</t>
  </si>
  <si>
    <t>PT. AZKEN INDONESIA</t>
  </si>
  <si>
    <t>PII/INV-IDR-SG/22/02-0008</t>
  </si>
  <si>
    <t>PII/INV-IDR-SG/22/02-0036</t>
  </si>
  <si>
    <t>PII/INV-IDR-SG/22/02-0067</t>
  </si>
  <si>
    <t>PII/INV-IDR-SG/22/02-0085</t>
  </si>
  <si>
    <t>PII/INV-IDR-SG/22/02-0004</t>
  </si>
  <si>
    <t>PII/INV-IDR-SG/22/02-0025</t>
  </si>
  <si>
    <t>PII/INV-IDR-SG/22/02-0030</t>
  </si>
  <si>
    <t>PII/INV-IDR-SG/22/02-0069</t>
  </si>
  <si>
    <t>PII/INV-IDR-SG/22/02-0076</t>
  </si>
  <si>
    <t>PII/INV-IDR-SG/22/02-0016</t>
  </si>
  <si>
    <t>PII/INV-IDR-SG/22/02-0022</t>
  </si>
  <si>
    <t>PII/INV-IDR-SG/22/02-0048</t>
  </si>
  <si>
    <t>PII/INV-IDR-SG/22/02-0061</t>
  </si>
  <si>
    <t>PII/INV-IDR-SG/22/02-0062</t>
  </si>
  <si>
    <t>PII/INV-IDR-SG/22/02-0070</t>
  </si>
  <si>
    <t>PII/INV-IDR-SG/22/02-0013</t>
  </si>
  <si>
    <t>PII/INV-IDR-SG/22/02-0020</t>
  </si>
  <si>
    <t>PII/INV-IDR-SG/22/02-0023</t>
  </si>
  <si>
    <t>PII/INV-IDR-SG/22/02-0027</t>
  </si>
  <si>
    <t>PII/INV-IDR-SG/22/02-0038</t>
  </si>
  <si>
    <t>PII/INV-IDR-SG/22/02-0049</t>
  </si>
  <si>
    <t>PII/INV-IDR-SG/22/02-0055</t>
  </si>
  <si>
    <t>PII/INV-IDR-SG/22/02-0058</t>
  </si>
  <si>
    <t>PII/INV-IDR-SG/22/02-0059</t>
  </si>
  <si>
    <t>PII/INV-IDR-SG/22/02-0079</t>
  </si>
  <si>
    <t>PII/INV-IDR-SG/22/02-0073</t>
  </si>
  <si>
    <t>PII/INV-IDR-SG/22/02-0017</t>
  </si>
  <si>
    <t>PII/INV-IDR-SG/22/02-0032</t>
  </si>
  <si>
    <t>PII/INV-IDR-SG/22/02-0002</t>
  </si>
  <si>
    <t>PII/INV-IDR-SG/22/02-0003</t>
  </si>
  <si>
    <t>PII/INV-IDR-SG/22/02-0005</t>
  </si>
  <si>
    <t>PII/INV-IDR-SG/22/02-0006</t>
  </si>
  <si>
    <t>PII/INV-IDR-SG/22/02-0015</t>
  </si>
  <si>
    <t>PII/INV-IDR-SG/22/02-0024</t>
  </si>
  <si>
    <t>PII/INV-IDR-SG/22/02-0031</t>
  </si>
  <si>
    <t>PII/INV-IDR-SG/22/02-0034</t>
  </si>
  <si>
    <t>PII/INV-IDR-SG/22/02-0035</t>
  </si>
  <si>
    <t>PII/INV-IDR-SG/22/02-0043</t>
  </si>
  <si>
    <t>PII/INV-IDR-SG/22/02-0052</t>
  </si>
  <si>
    <t>PII/INV-IDR-SG/22/02-0050</t>
  </si>
  <si>
    <t>PII/INV-IDR-SG/22/02-0047</t>
  </si>
  <si>
    <t>PII/INV-IDR-SG/22/02-0056</t>
  </si>
  <si>
    <t>PII/INV-IDR-SG/22/02-0064</t>
  </si>
  <si>
    <t>PII/INV-IDR-SG/22/02-0077</t>
  </si>
  <si>
    <t>PII/INV-IDR-SG/22/02-0078</t>
  </si>
  <si>
    <t>PII/INV-IDR-SG/22/02-0081</t>
  </si>
  <si>
    <t>PII/INV-IDR-SG/22/02-0082</t>
  </si>
  <si>
    <t>PII/INV-IDR-SG/22/02-0075</t>
  </si>
  <si>
    <t>PII/INV-IDR-SG/22/02-0088</t>
  </si>
  <si>
    <t>PII/INV-IDR-SG/22/02-0087</t>
  </si>
  <si>
    <t>PII/INV-IDR-SG/22/02-0063</t>
  </si>
  <si>
    <t>PT. PRIMA ABYRRA SENTOSA</t>
  </si>
  <si>
    <t>PII/INV-IDR-SG/22/02-0007</t>
  </si>
  <si>
    <t>PII/INV-IDR-SG/22/02-0060</t>
  </si>
  <si>
    <t>PII/INV-IDR-SG/22/02-0071</t>
  </si>
  <si>
    <t>PII/INV-IDR-SG/22/02-0084</t>
  </si>
  <si>
    <t>PII/INV-IDR-SG/22/02-0091</t>
  </si>
  <si>
    <t>PII/INV-IDR-SG/22/02-0054</t>
  </si>
  <si>
    <t>PII/INV-IDR-SG/22/02-0014</t>
  </si>
  <si>
    <t>W5-0014/2022 53.723 Kurs 14.344 PIB No 003180</t>
  </si>
  <si>
    <t>210,01,49</t>
  </si>
  <si>
    <t>Fee Konsultan Pajak HBB Bulan Feb 2022</t>
  </si>
  <si>
    <t xml:space="preserve">0001/INV-IDR/JMSI/II/2022 Untuk PIB W5-0041 </t>
  </si>
  <si>
    <t>0001/INV-IDR/JMSI/II/2022 Untuk PIB W5-0041  - pph 23</t>
  </si>
  <si>
    <t>0001/INV-IDR/JMSI/II/2022 Untuk PIB W5-0041 - PT. IPC Petikemas</t>
  </si>
  <si>
    <t>0001/INV-IDR/JMSI/II/2022 Untuk PIB W5-0041 - PT. IPC Petikemas PPN</t>
  </si>
  <si>
    <t>0001/INV-IDR/JMSI/II/2022 Untuk PIB W5-0041 - PT. Pelayaran Caraka Tirta Perkasa</t>
  </si>
  <si>
    <t>0001/INV-IDR/JMSI/II/2022 Untuk PIB W5-0041 - PT. IPC Petikemas - PPH 23</t>
  </si>
  <si>
    <t>Komisi Atas Sales Sumatera Pak Ahadi</t>
  </si>
  <si>
    <t>Komisi Atas Sales Sumatera Pak Ahadi - Pot Pph 21</t>
  </si>
  <si>
    <t>Dari list Payment 269.850</t>
  </si>
  <si>
    <t>Komisi Langkat</t>
  </si>
  <si>
    <t>Komisi Langkat - pph 21</t>
  </si>
  <si>
    <t>KB-0513/2022 22.600 Kurs 14.374</t>
  </si>
  <si>
    <t>KB-0513/2022 22.600 Kurs 14.374 - PPN Impor</t>
  </si>
  <si>
    <t>KB-0513/2022 22.600 Kurs 14.374 - PPh 22 Impor</t>
  </si>
  <si>
    <t>210,01,50</t>
  </si>
  <si>
    <t>0002/INV-IDR/JMSI/II/2022 Untuk PIB W5-0513/2022</t>
  </si>
  <si>
    <t>0002/INV-IDR/JMSI/II/2022 Untuk PIB W5-0513/2022 - Pot pph 23</t>
  </si>
  <si>
    <t>Belum Menemukan Payment pph</t>
  </si>
  <si>
    <t>0002/INV-IDR/JMSI/II/2022 Untuk PIB W5-0513/2022 - IPC Terminal</t>
  </si>
  <si>
    <t>0002/INV-IDR/JMSI/II/2022 Untuk PIB W5-0513/2022 - PT Pelayaran Caraka Tirta Perkasa</t>
  </si>
  <si>
    <t xml:space="preserve">0002/INV-IDR/JMSI/II/2022 Untuk PIB W5-0513/2022 </t>
  </si>
  <si>
    <t>Hutang pph 25 bulan Feb 2022</t>
  </si>
  <si>
    <t>Web Development 1-Q003-20220228 Bulan Maret 22</t>
  </si>
  <si>
    <t>Beban PPH 21 atas Gaji bulan Feb 2022</t>
  </si>
  <si>
    <t>BNI768/BB/II/001</t>
  </si>
  <si>
    <t>KE 954218286 Sdr MUHAMMAD SYAMHADI | UM Kirim Barang Feb 2022 TRF TO:00000000095421828</t>
  </si>
  <si>
    <t>BNI768/BB/II/002</t>
  </si>
  <si>
    <t>BNI768/BB/II/003</t>
  </si>
  <si>
    <t xml:space="preserve"> PT PELITA RELIA PT PELITA RELIANCE INTERNATION</t>
  </si>
  <si>
    <t>BNI768/BB/II/004</t>
  </si>
  <si>
    <t>AZKEN INDONESIA AZKEN INDONESIA</t>
  </si>
  <si>
    <t>BNI768/BB/II/005</t>
  </si>
  <si>
    <t>PT EKAMAS INTER LLG EKA HOSPITAL</t>
  </si>
  <si>
    <t>BNI768/BB/II/006</t>
  </si>
  <si>
    <t>BNI768/BB/II/007</t>
  </si>
  <si>
    <t>KREDIT LAIN-LAIN | 153 PT PELITA RELIA LLG EKA HOSPITAL</t>
  </si>
  <si>
    <t>KREDIT LAIN-LAIN | 153 PT PELITA RELIA LLG EKA HOSPITAL - biaya adm</t>
  </si>
  <si>
    <t>BNI768/BB/II/008</t>
  </si>
  <si>
    <t>Bpk TEGUH WICAKSONO | UM Unloading Barang 718 karton Intouch P TRF TO:0</t>
  </si>
  <si>
    <t>BNI768/BB/II/009</t>
  </si>
  <si>
    <t xml:space="preserve"> Bpk TEGUH WICAKSONO | Um januari 2022</t>
  </si>
  <si>
    <t>BNI768/BB/II/010</t>
  </si>
  <si>
    <t>Bpk KUSBIALIM | Claim Kekurangan UM 18/1/2022 1jt TRF TO:00000000</t>
  </si>
  <si>
    <t>BNI768/BB/II/011</t>
  </si>
  <si>
    <t>KE 954218286 Sdr MUHAMMAD SYAMHADI | Claim Kekurangan UM TRF TO:000000000954218286</t>
  </si>
  <si>
    <t>BNI768/BB/II/012</t>
  </si>
  <si>
    <t>Bpk TEGUH WICAKSONO | UM Kirim Barang Feb 2022 TRF TO:00000000068530309</t>
  </si>
  <si>
    <t>BNI768/BB/II/013</t>
  </si>
  <si>
    <t xml:space="preserve"> Bpk KUSBIALIM | Claim Kekurangan UM 18/1/2022 1jt TRF TO:00000000</t>
  </si>
  <si>
    <t>BNI768/BB/II/014</t>
  </si>
  <si>
    <t>KE 5490146221 | 6010047890233423 | BNI DIRECT Paperone A4 5 Rim</t>
  </si>
  <si>
    <t>BNI768/BB/II/015</t>
  </si>
  <si>
    <t>KE 897702622 IMANUEL ARI SUSANTO | UM Dinas 2022 JATENG (CILACAP, KEBUMEN, YOGYA) T</t>
  </si>
  <si>
    <t>KE 5490146221 | 6010047890233423 | BNI DIRECT</t>
  </si>
  <si>
    <t>BNI768/BB/II/016</t>
  </si>
  <si>
    <t>8309557259 Bpk KUSBIALIM | Pegembalian um double</t>
  </si>
  <si>
    <t>BNI768/BB/II/017</t>
  </si>
  <si>
    <t>UM Kirim Barang 22/02-001 TRF TO:0000000083095572 | Bpk KUSBIALIM</t>
  </si>
  <si>
    <t>BNI768/BB/II/018</t>
  </si>
  <si>
    <t>129 PADMA BUANA SUK 0500111000314 Pembayaran Sarun</t>
  </si>
  <si>
    <t>KE 306871664 Ibu SUSY LESTARI | Claim - u/ I22 - 2/2/2022 Akrilik Pest control,Si</t>
  </si>
  <si>
    <t>BNI768/BB/II/019</t>
  </si>
  <si>
    <t>KE 954218286 Sdr MUHAMMAD SYAMHADI | UM Kirim Barang Feb 2022</t>
  </si>
  <si>
    <t>BNI768/BB/II/020</t>
  </si>
  <si>
    <t>Payment ke JMSI KE 5380317780 | 6010047890249016 | BNI DIRECT</t>
  </si>
  <si>
    <t>BNI768/BB/II/021</t>
  </si>
  <si>
    <t>BILL PAYMENT (H2H BPJS TK ) NO :220203108951</t>
  </si>
  <si>
    <t>BNI768/BB/II/022</t>
  </si>
  <si>
    <t>KE 2771478311 | 6010047890249277  Support Marketing Live Music Pak Willy</t>
  </si>
  <si>
    <t>BNI768/BB/II/023</t>
  </si>
  <si>
    <t>KE 5380317780  JMSI Inv No 0001/INV-IDR/JMSI/I/2022</t>
  </si>
  <si>
    <t>Potongan JMSI ke 4 di Inv 0001/INV-IDR/JMSI/I/2022</t>
  </si>
  <si>
    <t>BNI768/BB/II/024</t>
  </si>
  <si>
    <t>KE 306871664 Ibu SUSY LESTARI | Claim - 085779635974 TRF TO:000000000306871664</t>
  </si>
  <si>
    <t>BNI768/BB/II/025</t>
  </si>
  <si>
    <t xml:space="preserve">KE 306871664 Ibu SUSY LESTARI | Claim - 28/01/2022 TopUp E-money 7270 BRE </t>
  </si>
  <si>
    <t>BNI768/BB/II/026</t>
  </si>
  <si>
    <t>KE 8309557259 Bpk KUSBIALIM | Claim u/ K5 Lampu Osram 20w 6pcs, TRF TO:00000000</t>
  </si>
  <si>
    <t>BNI768/BB/II/027</t>
  </si>
  <si>
    <t>BILL PAYMENT (H2H BPJS KES) NO :9CF94B0A82011526</t>
  </si>
  <si>
    <t>BNI768/BB/II/028</t>
  </si>
  <si>
    <t xml:space="preserve"> PEMINDAHAN KE 7891050501211908 | 6010047890249018 | BNI DIRECT</t>
  </si>
  <si>
    <t>BNI768/BB/II/029</t>
  </si>
  <si>
    <t>Ongkir Duta Trans ke Azken (Bebas Ongkir no Claim)</t>
  </si>
  <si>
    <t>BNI768/BB/II/030</t>
  </si>
  <si>
    <t xml:space="preserve"> KE 692680383 Bpk SYAHRUL HIDAYAT | Claim 21-28 Jan 2022 Perjalanan Dinas TRF TO:0000</t>
  </si>
  <si>
    <t>BNI768/BB/II/031</t>
  </si>
  <si>
    <t>KE 692680383 Bpk SYAHRUL HIDAYAT | Claim Transportasi 25/12/2021 sd 24/1/2022 TRF TO</t>
  </si>
  <si>
    <t>BNI768/BB/II/032</t>
  </si>
  <si>
    <t>KE 8006006009 PT TOKOPEDIA | Toner 119A 1 set Color (Balck, Cyan, magenta, Yel</t>
  </si>
  <si>
    <t>BNI768/BB/II/033</t>
  </si>
  <si>
    <t>PT PELITA RELIA LLG EKA HOSPITAL</t>
  </si>
  <si>
    <t>BNI768/BB/II/034</t>
  </si>
  <si>
    <t>Angsuran Air I22 Total 5.145.000</t>
  </si>
  <si>
    <t>BNI768/BB/II/035</t>
  </si>
  <si>
    <t>IPL 01/01/2022 - 31/01/2022 K5</t>
  </si>
  <si>
    <t>Air 16 Des - 15 Jan 2022 K5</t>
  </si>
  <si>
    <t>IPL 01/01/2022 - 31/01/2022 N7</t>
  </si>
  <si>
    <t>Air 16 Des - 15 Jan 2022 N7</t>
  </si>
  <si>
    <t>IPL 01/01/2022 - 31/01/2022 AL67</t>
  </si>
  <si>
    <t>Air 16 Des - 15 Jan 2022 AL67</t>
  </si>
  <si>
    <t>BNI768/BB/II/036</t>
  </si>
  <si>
    <t>Token Listrik 86012070362 RGLN 007 TRF TO:0000000</t>
  </si>
  <si>
    <t>BNI768/BB/II/037</t>
  </si>
  <si>
    <t>Token Listrik 14 0400 51691 AL1/067 TRF TO:000</t>
  </si>
  <si>
    <t>BNI768/BB/II/038</t>
  </si>
  <si>
    <t>Indihome &amp; Telp AL01/67</t>
  </si>
  <si>
    <t>BIAYA ADMIN (TLKM JAKUT ) NO :0021029203723 89</t>
  </si>
  <si>
    <t>BNI768/BB/II/039</t>
  </si>
  <si>
    <t>Indihome &amp; Telp N 7</t>
  </si>
  <si>
    <t>6010043330000011 | BNI DIRECT | BIAYA ADMIN (TLKM CIANJUR) NO :0021029725870 7 0</t>
  </si>
  <si>
    <t>BNI768/BB/II/040</t>
  </si>
  <si>
    <t>Fee Konsultan Pajak Feb 2022</t>
  </si>
  <si>
    <t>Fee Konsultan Pajak Feb 2022 - pot pph 23</t>
  </si>
  <si>
    <t>BNI768/BB/II/041</t>
  </si>
  <si>
    <t>KE 8006006009 PT TOKOPEDIA | Token Listrik 86013669055 RGLK005</t>
  </si>
  <si>
    <t>BNI768/BB/II/042</t>
  </si>
  <si>
    <t xml:space="preserve">Air 16 Des 2021 - 15 Jan I.22 </t>
  </si>
  <si>
    <t>BNI768/BB/II/043</t>
  </si>
  <si>
    <t>KE 5490404980 | 6010047890251700 | BNI DIRECT Wrapping</t>
  </si>
  <si>
    <t>BNI768/BB/II/044</t>
  </si>
  <si>
    <t>Hallo Komunikasi - Pak Hario</t>
  </si>
  <si>
    <t>BNI768/BB/II/045</t>
  </si>
  <si>
    <t>Indihome dan Telp K5</t>
  </si>
  <si>
    <t>6010043330000011 | BNI DIRECT | BIAYA ADMIN (TLKM JAKUT ) NO :0021022524565 68 0</t>
  </si>
  <si>
    <t>KE 5910557779 | 6010047890252117 | BNI DIRECT</t>
  </si>
  <si>
    <t>PEMINDAHAN KE 5910557779 | 6010047890251691 | BNI DIRECT</t>
  </si>
  <si>
    <t>6010043330000011 | BNI DIRECT | BILL PAYMENT (TLKM JAKUT ) NO :0021029203723</t>
  </si>
  <si>
    <t>BILL PAYMENT (TLKM CIANJUR) NO :0021029725870</t>
  </si>
  <si>
    <t>PEMINDAHAN KE 4582899367 | 6010047890251694 | BNI DIRECT</t>
  </si>
  <si>
    <t>PEMINDAHAN KE 5910557779 | 6010047890251697 | BNI DIRECT</t>
  </si>
  <si>
    <t>TRF/PAY/TOP-UP ECHANNEL | PEMINDAHAN KE 5490404980 | 6010047890251700 | BNI DIRECT</t>
  </si>
  <si>
    <t>6010043330000011 | BNI DIRECT | BILL PAYMENT (HALO TLKMSEL) NO :08113340406</t>
  </si>
  <si>
    <t>6010043330000011 | BNI DIRECT | BILL PAYMENT (TLKM JAKUT ) NO :0021022524565</t>
  </si>
  <si>
    <t>BNI768/BB/II/046</t>
  </si>
  <si>
    <t>PT PELITA RELIA LLG EKA HOSPITAL - Biaya adm Bank dibebankan Procare</t>
  </si>
  <si>
    <t>BNI768/BB/II/047</t>
  </si>
  <si>
    <t xml:space="preserve">PPH 21 411121 masa Jan 2022 Atas Gaji Karyawan </t>
  </si>
  <si>
    <t>BNI768/BB/II/048</t>
  </si>
  <si>
    <t>PPH 23 411124 Masa Jan (Terlampir)</t>
  </si>
  <si>
    <t>BNI768/BB/II/049</t>
  </si>
  <si>
    <t>PPH 21 411121 masa Jan 2022 Atas Jasa</t>
  </si>
  <si>
    <t>BNI768/BB/II/050</t>
  </si>
  <si>
    <t>Penerimaan Negara Hutang PPH 25 Bulan Januari 2022</t>
  </si>
  <si>
    <t>TRANSFER KE | BILL PAYMENT (MPN G2 IDR ) NO :026127558008059</t>
  </si>
  <si>
    <t>TRANSFER KE | BILL PAYMENT (MPN G2 IDR ) NO :026127556039144</t>
  </si>
  <si>
    <t>TRANSFER KE | BILL PAYMENT (MPN G2 IDR ) NO :026127556332037</t>
  </si>
  <si>
    <t>BNI768/BB/II/051</t>
  </si>
  <si>
    <t>TAFS PERIODE 18 - 11022022 - Pokok</t>
  </si>
  <si>
    <t>TAFS PERIODE 18 - 11022022 - Bunga</t>
  </si>
  <si>
    <t>TRANSFER KE | PEMINDAHAN KE 777360584999606 | 0777360584999606 TAFS PERIODE 18 - 11022022</t>
  </si>
  <si>
    <t>BNI768/BB/II/052</t>
  </si>
  <si>
    <t>KREDIT LAIN-LAIN | 014 JASA MULTI SOLU refund 9/2</t>
  </si>
  <si>
    <t>BNI768/BB/II/053</t>
  </si>
  <si>
    <t>KE 8310086780  Payment Setyo 001/IMP/22</t>
  </si>
  <si>
    <t>BNI768/BB/II/054</t>
  </si>
  <si>
    <t>PT TOKOPEDIA | Autotrade - Krisbow Nano UV Spray Gun Disinfektan</t>
  </si>
  <si>
    <t>BNI768/BB/II/055</t>
  </si>
  <si>
    <t>Ke 8006006009 PT TOKOPEDIA | BCA Aksesoris - Karet Gelang, Plastik Klip 30x40cm</t>
  </si>
  <si>
    <t>BNI768/BB/II/056</t>
  </si>
  <si>
    <t>KE 8006006009 PT TOKOPEDIA | Atkstationary- Amplop Coklat Folio Lakban Kertas</t>
  </si>
  <si>
    <t>BNI768/BB/II/057</t>
  </si>
  <si>
    <t>KE 306871664 Ibu SUSY LESTARI | Claim - 11/02/2022 TopUp E-money 7270BRE</t>
  </si>
  <si>
    <t>BNI768/BB/II/058</t>
  </si>
  <si>
    <t>KE 8006006009 PT TOKOPEDIA | Pembina Stationery - Lem stik, Kertas HVS A5 70gra</t>
  </si>
  <si>
    <t>BNI768/BB/II/059</t>
  </si>
  <si>
    <t>BNI768/BB/II/060</t>
  </si>
  <si>
    <t xml:space="preserve">KE 8205199779 </t>
  </si>
  <si>
    <t>BNI768/BB/II/061</t>
  </si>
  <si>
    <t>KE 8006006009 PT TOKOPEDIA | Multi Computer Pekanbaru Kertas Sticker Glossy Ver</t>
  </si>
  <si>
    <t>BNI768/BB/II/062</t>
  </si>
  <si>
    <t>KE 8006006009 PT TOKOPEDIA | SuryaMasAteka Lakban Bening, Penggaris TRF TO:000</t>
  </si>
  <si>
    <t>BNI768/BB/II/063</t>
  </si>
  <si>
    <t>KE 8006006009 PT TOKOPEDIA | Atkstationary- Surat Jalan TRF TO:00000000800600</t>
  </si>
  <si>
    <t>BNI768/BB/II/064</t>
  </si>
  <si>
    <t>KE 562856675 Bpk FERI FARDI | UM Dinas Tanah Datar Bukit Tinggi, Pasaman Timur,</t>
  </si>
  <si>
    <t>BNI768/BB/II/065</t>
  </si>
  <si>
    <t>KE 8006006009 PT TOKOPEDIA | Stationery First Correction Tape, Mapl L F4&amp;A4, M</t>
  </si>
  <si>
    <t>BNI768/BB/II/066</t>
  </si>
  <si>
    <t>KE 8006006009 PT TOKOPEDIA | PasarPagi- Lakban Kuning Hitam + Merah, Mark n No</t>
  </si>
  <si>
    <t>BNI768/BB/II/067</t>
  </si>
  <si>
    <t>BNI768/BB/II/068</t>
  </si>
  <si>
    <t>KE 28053803 SYAHDU HILAL | Um Dinas Banten, Bandung, Tasik, Cirebon TRF TO:00</t>
  </si>
  <si>
    <t>BNI768/BB/II/069</t>
  </si>
  <si>
    <t>STP atas bunga pasal 8(2) KUP atas pembetulan SPT Tahunan 2018</t>
  </si>
  <si>
    <t>BNI768/BB/II/070</t>
  </si>
  <si>
    <t>STP atas bunga pasal 8(2a) KUP atas pembetulan SPT Tahunan 2018</t>
  </si>
  <si>
    <t>BNI768/BB/II/071</t>
  </si>
  <si>
    <t>Ongkir CMC Barang titipan ke Pak Rusdi - Sumatera</t>
  </si>
  <si>
    <t>BNI768/BB/II/072</t>
  </si>
  <si>
    <t>KE 53401000324308 | 6010047890272322 | BNI DIRECT</t>
  </si>
  <si>
    <t>BNI768/BB/II/073</t>
  </si>
  <si>
    <t>Hotel Santika an Tan Boon Choon (Karantina)</t>
  </si>
  <si>
    <t>BIAYA ATM LINK</t>
  </si>
  <si>
    <t>BNI768/BB/II/074</t>
  </si>
  <si>
    <t>Komisi atas penjualan Sumatera Pak Ahadi</t>
  </si>
  <si>
    <t>BNI768/BB/II/075</t>
  </si>
  <si>
    <t xml:space="preserve">KE 7116120498 pengembalian Jaminan </t>
  </si>
  <si>
    <t>TRF/PAY/TOP-UP ECHANNEL | PEMINDAHAN KE 8310086780 | 6010047890260390 | BNI DIRECT</t>
  </si>
  <si>
    <t>TRANSFER KE | PEMINDAHAN KE 8006006009 PT TOKOPEDIA | Autotrade - Krisbow Nano UV Spray Gun Disinfektan</t>
  </si>
  <si>
    <t>TRANSFER KE | PEMINDAHAN KE 8006006009 PT TOKOPEDIA | BCA Aksesoris - Karet Gelang, Plastik Klip 30x40cm</t>
  </si>
  <si>
    <t>TRANSFER KE | PEMINDAHAN KE 8006006009 PT TOKOPEDIA | Atkstationary- Amplop Coklat Folio Lakban Kertas</t>
  </si>
  <si>
    <t>TRANSFER KE | PEMINDAHAN KE 306871664 Ibu SUSY LESTARI | Claim - 11/02/2022 TopUp E-money 7270BRE TRF TO:0</t>
  </si>
  <si>
    <t>TRANSFER KE | PEMINDAHAN KE 8006006009 PT TOKOPEDIA | Pembina Stationery - Lem stik, Kertas HVS A5 70gra</t>
  </si>
  <si>
    <t>TRF/PAY/TOP-UP ECHANNEL | PEMINDAHAN KE 8205199779 | 6010047890268043 | BNI DIRECT</t>
  </si>
  <si>
    <t>TRANSFER KE | PEMINDAHAN KE 8006006009 PT TOKOPEDIA | Multi Computer Pekanbaru Kertas Sticker Glossy Ver</t>
  </si>
  <si>
    <t>TRANSFER KE | PEMINDAHAN KE 8006006009 PT TOKOPEDIA | SuryaMasAteka Lakban Bening, Penggaris TRF TO:000</t>
  </si>
  <si>
    <t>TRANSFER KE | PEMINDAHAN KE 8006006009 PT TOKOPEDIA | Atkstationary- Surat Jalan TRF TO:00000000800600</t>
  </si>
  <si>
    <t>TRANSFER KE | PEMINDAHAN KE 562856675 Bpk FERI FARDI | UM Dinas Tanah Datar Bukit Tinggi, Pasaman Timur,</t>
  </si>
  <si>
    <t>TRANSFER KE | PEMINDAHAN KE 8006006009 PT TOKOPEDIA | Stationery First Correction Tape, Mapl L F4&amp;A4, M</t>
  </si>
  <si>
    <t>TRANSFER KE | PEMINDAHAN KE 8006006009 PT TOKOPEDIA | PasarPagi- Lakban Kuning Hitam + Merah, Mark n No</t>
  </si>
  <si>
    <t>TRF/PAY/TOP-UP ECHANNEL | PEMINDAHAN KE 8205199779 | 6010047890268051 | BNI DIRECT</t>
  </si>
  <si>
    <t>TRANSFER KE | PEMINDAHAN KE 28053803 SYAHDU HILAL | Um Dinas Banten, Bandung, Tasik, Cirebon TRF TO:00</t>
  </si>
  <si>
    <t>TRANSFER KE | BILL PAYMENT (MPN G2 IDR ) NO :026127859052046</t>
  </si>
  <si>
    <t>TRANSFER KE | BILL PAYMENT (MPN G2 IDR ) NO :026127859713048</t>
  </si>
  <si>
    <t>TRF/PAY/TOP-UP ECHANNEL | PEMINDAHAN KE 8125086868 | 6010047890272319 | BNI DIRECT</t>
  </si>
  <si>
    <t>TRF/PAY/TOP-UP ECHANNEL | PEMINDAHAN KE 53401000324308 | 6010047890272322 | BNI DIRECT</t>
  </si>
  <si>
    <t>TRF/PAY/TOP-UP ECHANNEL | PEMINDAHAN KE 1150088866688 | 6010047890274137 | BNI DIRECT</t>
  </si>
  <si>
    <t>TRF/PAY/TOP-UP ECHANNEL | PEMINDAHAN KE 7116120498 | 6010047890274522 | BNI DIRECT</t>
  </si>
  <si>
    <t>TRF/PAY/TOP-UP ECHANNEL | PEMINDAHAN KE 7116120498 | 6010047890274140 | BNI DIRECT</t>
  </si>
  <si>
    <t>KE 5380317780 JMSI Inv 0001/Inv-IDR/JMSI/II/2022</t>
  </si>
  <si>
    <t>KE 5380317780 JMSI Inv 0001/Inv-IDR/JMSI/II/2022 - Pot Hut JMSI</t>
  </si>
  <si>
    <t>BNI768/BB/II/076</t>
  </si>
  <si>
    <t>DARI 838105207 Sdr MUHAMMAD SYAMHADI | 1946342370375397 | S1FDMG08NR 1915</t>
  </si>
  <si>
    <t>BNI768/BB/II/077</t>
  </si>
  <si>
    <t>DARI 1110011285711 | 6032989911285711 | 99102000 2884 Kamardi Isye</t>
  </si>
  <si>
    <t>Pengembalian UM tg; 8 Juni 2021 Tali Lift K5</t>
  </si>
  <si>
    <t>BNI768/BB/II/078</t>
  </si>
  <si>
    <t>ke 954218286 Sdr MUHAMMAD SYAMHADI | Um Kirim barang feb 2022 TRF TO:00000000095421828</t>
  </si>
  <si>
    <t>BNI768/BB/II/079</t>
  </si>
  <si>
    <t>KB-0513/2022 22.600 Kurs 14.374 PIB</t>
  </si>
  <si>
    <t>BNI768/BB/II/080</t>
  </si>
  <si>
    <t>Ke 685303095 Bpk TEGUH WICAKSONO | UM Unloading KB-0513/2022 700ctn</t>
  </si>
  <si>
    <t>BNI768/BB/II/081</t>
  </si>
  <si>
    <t>KE | Claim 16/02/2022 m&amp;F Anolyte Disinfectant Humidif | Ibu SUSY LESTARI</t>
  </si>
  <si>
    <t>BNI768/BB/II/082</t>
  </si>
  <si>
    <t>Pendaftaran Merk Seri kementrian 013, unit eselon 07, satuan kerja 097102</t>
  </si>
  <si>
    <t>BNI768/BB/II/083</t>
  </si>
  <si>
    <t>Claim 16/2/2022 Bosplastik- Plastik TRF TO:000000 | Ibu SUSY LESTARI</t>
  </si>
  <si>
    <t>KE | PEMINDAHAN KE 954218286 Sdr MUHAMMAD SYAMHADI | Um Kirim barang feb 2022 TRF TO:00000000095421828</t>
  </si>
  <si>
    <t xml:space="preserve"> KE | Claim 16/02/2022 m&amp;F Anolyte Disinfectant Humidif | Ibu SUSY LESTARI</t>
  </si>
  <si>
    <t>KE | Claim 16/2/2022 Bosplastik- Plastik TRF TO:000000 | Ibu SUSY LESTARI</t>
  </si>
  <si>
    <t>BNI768/BB/II/084</t>
  </si>
  <si>
    <t>PELITA RELIA PT</t>
  </si>
  <si>
    <t>BNI768/BB/II/085</t>
  </si>
  <si>
    <t>KE 954218286 Sdr MUHAMMAD SYAMHADI | UM Kirim barang Feb 2022</t>
  </si>
  <si>
    <t>BNI768/BB/II/086</t>
  </si>
  <si>
    <t>KE 954218286 Sdr MUHAMMAD SYAMHADI | UM Pantry &amp; Cleaning</t>
  </si>
  <si>
    <t>BNI768/BB/II/087</t>
  </si>
  <si>
    <t>KE 306871664 Ibu SUSY LESTARI | Claim_081316202971</t>
  </si>
  <si>
    <t>BNI768/BB/II/088</t>
  </si>
  <si>
    <t>KE 954218286 Sdr MUHAMMAD SYAMHADI | Claim UM 2/2/2022 2jt</t>
  </si>
  <si>
    <t>BNI768/BB/II/089</t>
  </si>
  <si>
    <t>KE 8006006009 PT TOKOPEDIA | Enesis Official Store_Antis Han Sanitize Jeruk Ni</t>
  </si>
  <si>
    <t>BNI768/BB/II/090</t>
  </si>
  <si>
    <t>KE 5490146221 | 6010047890305384 | BNI DIRECTbeli kertas</t>
  </si>
  <si>
    <t>BNI768/BB/II/091</t>
  </si>
  <si>
    <t>Penerimaan Negara 820220222136089 Perpanjangan ITAS ke 4 Kementrian/Lembaga 013, Unit Eselon 1 06, Satuan kerja 613524</t>
  </si>
  <si>
    <t>BNI768/BB/II/092</t>
  </si>
  <si>
    <t>KE 685303095 Bpk TEGUH WICAKSONO | Claim Kekurangan UM unloading 4/2/2022 2,3jt (70.</t>
  </si>
  <si>
    <t>BNI768/BB/II/093</t>
  </si>
  <si>
    <t>ALPRIDO ALKESIN PELUNASAN ALPRIDO</t>
  </si>
  <si>
    <t>BNI768/BB/II/094</t>
  </si>
  <si>
    <t>KE 897702622 IMANUEL ARI SUSANTO | Claim Bensin Feb 2022</t>
  </si>
  <si>
    <t>BNI768/BB/II/095</t>
  </si>
  <si>
    <t xml:space="preserve">KE 306871664 Ibu SUSY LESTARI | Claim Lunch employee_Burger Bangor </t>
  </si>
  <si>
    <t>BNI768/BB/II/096</t>
  </si>
  <si>
    <t>KE 8805125111 Bpk TAN BOON CHOON | Transportasi Januari 2022</t>
  </si>
  <si>
    <t>BNI768/BB/II/097</t>
  </si>
  <si>
    <t>KE 562856675 Bpk FERI FARDI | Claim Bensin 25/1 - 14/2 2022</t>
  </si>
  <si>
    <t>BNI768/BB/II/098</t>
  </si>
  <si>
    <t>KE 8805125111 Bpk TAN BOON CHOON | Transportasi Februari 2022</t>
  </si>
  <si>
    <t>BNI768/BB/II/099</t>
  </si>
  <si>
    <t>KE 189960077 SIMSEM PAYROLL BNI DIRECT-O</t>
  </si>
  <si>
    <t>BNI768/BB/II/0100</t>
  </si>
  <si>
    <t>TRANSFER KE | 867500 | | SIMSEM PAYROLL BNI DIRECT-LLG</t>
  </si>
  <si>
    <t>BNI768/BB/II/0101</t>
  </si>
  <si>
    <t>Penerimaan Negara Kode 411211 PPN Des Pembetulan 1</t>
  </si>
  <si>
    <t>BNI768/BB/II/0102</t>
  </si>
  <si>
    <t>KE 5380317780 | 6010047890339408 JMSI 0002/INV-IDR/JMSI/II/2022</t>
  </si>
  <si>
    <t>Biaya TRX ATM Prima</t>
  </si>
  <si>
    <t>BNI768/BB/II/0103</t>
  </si>
  <si>
    <t>TRANSFER KE | PEMINDAHAN KE 802718180 Sdri FITRI YANI AGUSTIN | Kekurangan gaji Feb 2022 TRF TO:0000000008027181</t>
  </si>
  <si>
    <t>BNI768/BB/II/0104</t>
  </si>
  <si>
    <t>TRF/PAY/TOP-UP ECHANNEL | PEMINDAHAN KE 5930664954 | 6010047890339412 | BNI DIRECT INTERNAL 215385</t>
  </si>
  <si>
    <t>BNI768/BB/II/0105</t>
  </si>
  <si>
    <t>Pembayaran Akta Perubahan, SK, NIB, OSS RBA PT Procarre</t>
  </si>
  <si>
    <t>BNI768/BB/II/0106</t>
  </si>
  <si>
    <t>Penerimaan Negara Kode 411211 PPN Jan 2022 Normal</t>
  </si>
  <si>
    <t>BNI768/BB/II/0107</t>
  </si>
  <si>
    <t>IPL GLC12RKAI-022 (Tgl 28/02/2022 Jt Tempo 25/3/2022) u/ Mobilisasi</t>
  </si>
  <si>
    <t>Penerimaan Negara Kode 411211 PPN Pembetulan 1</t>
  </si>
  <si>
    <t>KE 5380317780 | 6010047890339408 JMSI 0002/INV-IDR/JMSI/II/2022 - Pot Hutang 2 juta</t>
  </si>
  <si>
    <t>BNI768/BB/II/0108</t>
  </si>
  <si>
    <t>PPH</t>
  </si>
  <si>
    <t>Biaya Adm Bank</t>
  </si>
  <si>
    <t>BNI USD</t>
  </si>
  <si>
    <t>Jasa Giro/Bunga Rek USD</t>
  </si>
  <si>
    <t>Kurs Tengah BI 14.369</t>
  </si>
  <si>
    <t>PPH Rek USD</t>
  </si>
  <si>
    <t>Biaya Adm Rek USD</t>
  </si>
  <si>
    <t>Selisih Kurs Saldo Rek BNI USD</t>
  </si>
  <si>
    <t>BCA 8607</t>
  </si>
  <si>
    <t>Penggantian Ongkir Semesta</t>
  </si>
  <si>
    <t>PT Lautan Mutiara Syahdu Hilal a/n Joni</t>
  </si>
  <si>
    <t>DP PO Nitril 030 ANGELA ANGE PUSPIT Globindo</t>
  </si>
  <si>
    <t>Pelunasan Nitril 0044 Globindo</t>
  </si>
  <si>
    <t>PO220110_001 SPIRIT SEHAT SUKSE</t>
  </si>
  <si>
    <t>PO220131_002 SPIRIT SEHAT SUKSE</t>
  </si>
  <si>
    <t>Globindo Inv 0059 dan 0069</t>
  </si>
  <si>
    <t>Globindo Inv Nov 0088</t>
  </si>
  <si>
    <t>PO220131_003 SPIRIT SEHAT SUKSE</t>
  </si>
  <si>
    <t>Dari PT Sepakat Banda Aceh</t>
  </si>
  <si>
    <t>pureshield ANUGERAH MAHIRA PR</t>
  </si>
  <si>
    <t>Globindo Inv 0043 Nitril</t>
  </si>
  <si>
    <t>Globindo Inv NO 0099</t>
  </si>
  <si>
    <t>Dari pak Budi Sujono</t>
  </si>
  <si>
    <t>DP Nitril PO 037 Globindo</t>
  </si>
  <si>
    <t>CV Trijjaya Dinamika</t>
  </si>
  <si>
    <t>PT. ERLIMPEX ERLIMPEX PT</t>
  </si>
  <si>
    <t>Anugerah Persada Mulia</t>
  </si>
  <si>
    <t>Globindo Nov 0112</t>
  </si>
  <si>
    <t>Penggantian Ongkir PT Endo</t>
  </si>
  <si>
    <t>Anugerah Mahira Pratama</t>
  </si>
  <si>
    <t>mahira intouch ANUGERAH MAHIRA PR</t>
  </si>
  <si>
    <t>Globindo Inv Des 0013</t>
  </si>
  <si>
    <t>Globindo Inv Nov  0113</t>
  </si>
  <si>
    <t>DP PO Nitril 046 Globindo</t>
  </si>
  <si>
    <t>PT Endo Inv 6 Jan (PO MTA )</t>
  </si>
  <si>
    <t>PT Endo Inv 18 Jan (Ecat RSUD Siti fatimah)</t>
  </si>
  <si>
    <t>PT. Endo Inv 13 Jan (Ecat RS Bratanata Jambi)</t>
  </si>
  <si>
    <t>PT Endo Inv 31 Jan (PO. MTA)</t>
  </si>
  <si>
    <t>SURYA WARDHANA</t>
  </si>
  <si>
    <t>02/14 95031 PENGEMBALIAN FEE Ahadi</t>
  </si>
  <si>
    <t>Globindo Des 0030 dan 0034</t>
  </si>
  <si>
    <t>Pelunasan Nitril 12 0035 Globindo</t>
  </si>
  <si>
    <t>DP PO Nitril 052 Globindo</t>
  </si>
  <si>
    <t>PO220217_002 SPIRIT SEHAT SUKSE</t>
  </si>
  <si>
    <t>Dari Prima Jambi</t>
  </si>
  <si>
    <t>Japan Pack Indonesia</t>
  </si>
  <si>
    <t>Condom Eric 6 gross</t>
  </si>
  <si>
    <t>Budi Sujono</t>
  </si>
  <si>
    <t>Spirit Sehat Sukses</t>
  </si>
  <si>
    <t>Tarikan 0470484 Payment W5-0419/2021 Kurs 14.370</t>
  </si>
  <si>
    <t>210,01,46</t>
  </si>
  <si>
    <t>Tarikan 0470484 Payment W5-0419/2021 Kurs 14.370 - Biaya Provisi</t>
  </si>
  <si>
    <t>Tarikan 0470484 Payment W5-0419/2021 Kurs 14.370 - Selisih Kurs</t>
  </si>
  <si>
    <t>Penggantian Claim Sinar Surya Distrindo</t>
  </si>
  <si>
    <t>ANGELA ANGE PUSPIT 12 0052 DAN 0055 Globindo</t>
  </si>
  <si>
    <t>nitril pureshield ANUGERAH MAHIRA PR</t>
  </si>
  <si>
    <t>INVOICE 12 0065 ANGELA ANGE PUSPIT Globindo</t>
  </si>
  <si>
    <t>NATALINA DEWI HARY</t>
  </si>
  <si>
    <t>PT ENDO INV 01 0108 DAN 02 16</t>
  </si>
  <si>
    <t>DP PO Nitril 060 Globindo</t>
  </si>
  <si>
    <t>BCA 8615</t>
  </si>
  <si>
    <t>BCA 8623</t>
  </si>
  <si>
    <t>Biaya Adm Rek BCA USD</t>
  </si>
  <si>
    <t>lap UM Samhadi</t>
  </si>
  <si>
    <t>Pembelian pantry Hari2</t>
  </si>
  <si>
    <t>Lampu Philips 2 buah</t>
  </si>
  <si>
    <t>Lap UM Samhadi Pantry tgl 6 Jan 22</t>
  </si>
  <si>
    <t>Refund yang belum dikembalikan</t>
  </si>
  <si>
    <t>Potongan Pembayaran jasa Bongkar pasang AC an Sentot</t>
  </si>
  <si>
    <t>KK/II/001</t>
  </si>
  <si>
    <t>Bpk. Sentot - Bongkar Pasang  4 Unit AC I22 @250.000</t>
  </si>
  <si>
    <t>KK/II/002</t>
  </si>
  <si>
    <t>Morgen_ Lampu Osram 20 watt 6pcs @38000</t>
  </si>
  <si>
    <t>KK/II/003</t>
  </si>
  <si>
    <t>Plastik Sampah 90x120 6pack</t>
  </si>
  <si>
    <t>KK/II/004</t>
  </si>
  <si>
    <t>Bensin Mobil BRE</t>
  </si>
  <si>
    <t>KK/II/005</t>
  </si>
  <si>
    <t>HARI-HARI BANGUNAN - Paku Beton, Taping Screw u/I22</t>
  </si>
  <si>
    <t>KK/II/006</t>
  </si>
  <si>
    <t>PT Jameson Jumbo Permai - Rante Kapal u/ I22</t>
  </si>
  <si>
    <t>KK/II/007</t>
  </si>
  <si>
    <t>Pita, Tali Rajut u/ I22</t>
  </si>
  <si>
    <t>KK/II/008</t>
  </si>
  <si>
    <t>Shadow - ID Card Susy</t>
  </si>
  <si>
    <t>lap UM Teguh</t>
  </si>
  <si>
    <t>Uang Muka</t>
  </si>
  <si>
    <t>Pak Dodo</t>
  </si>
  <si>
    <t>Aqua 1,5 L ( 9 Btl )</t>
  </si>
  <si>
    <t>Kuli 6 Orang</t>
  </si>
  <si>
    <t>Squrity</t>
  </si>
  <si>
    <t>Uang Sampah</t>
  </si>
  <si>
    <t>Koordinator Teguh</t>
  </si>
  <si>
    <t>Supir Kontainer Yadi</t>
  </si>
  <si>
    <t>Makan Dan Minum</t>
  </si>
  <si>
    <t>Uang Kebersihan / Pak RT</t>
  </si>
  <si>
    <t>Kekurangan UM Teguh</t>
  </si>
  <si>
    <t>GoBox | INV : 22/02-0002,0003,0006 | Eka Hospital_BSD</t>
  </si>
  <si>
    <t>GoBox | ke CMC INV : 22/02-0004 | Eka Hospital_PKU</t>
  </si>
  <si>
    <t>GoBox | INV : 22/02-0009-0012 | PT. AMP_SMG</t>
  </si>
  <si>
    <t>Parkir | INV : 22/02-0002,0003,0006 | Eka Hospital_BSD</t>
  </si>
  <si>
    <t>Tol Kunciran 1 | INV : 22/02-0002,0003,0006 | Eka Hospital_BSD</t>
  </si>
  <si>
    <t>Tol Kunciran 2 | INV : 22/02-0004 | Eka Hospital_PKU</t>
  </si>
  <si>
    <t>Parkir | INV : 22/02-0004 | Eka Hospital_PKU</t>
  </si>
  <si>
    <t>Kuli | INV : 22/02-0009-0012 | PT. AMP_SMG</t>
  </si>
  <si>
    <t>Parkir | INV : 22/02-0009-0012 | PT. AMP_SMG</t>
  </si>
  <si>
    <t>Kuli| INV : 22/02-0004 | Eka Hospital_PKU</t>
  </si>
  <si>
    <t>Tol Karang TGH | INV : 22/02-0009-0012 | PT. AMP_SMG</t>
  </si>
  <si>
    <t xml:space="preserve">Kobra M/02-3639 | INV : 22/02-0009-0012 | PT. AMP_SMG </t>
  </si>
  <si>
    <t>CMC 101320330 | INV : 22/02-0004 | Eka Hospital_PKU</t>
  </si>
  <si>
    <t>GoBox | INV : 22/02-0018,0019 | PT. AMP_SMG</t>
  </si>
  <si>
    <t>Tol Karang TGH | INV : 22/02-0018,0019 | PT. AMP_SMG</t>
  </si>
  <si>
    <t>Parkir | INV : 22/02-0018,0019 | PT. AMP_SMG</t>
  </si>
  <si>
    <t>Kobra M/02-4330 | INV : 22/02-0018,0019 | PT. AMP_SMG</t>
  </si>
  <si>
    <t>GoBox | INV :22/02-0022 | PT. APM_SMG</t>
  </si>
  <si>
    <t>GoBox | INV : 22/02-0028,0029 | PT. Endo_TNG</t>
  </si>
  <si>
    <t>Tol Karang TGH | INV :22/02-0022 | PT. APM_SMG</t>
  </si>
  <si>
    <t>Tol Kunciran 3 | INV : 22/02-0028,0029 | PT. Endo_TNG</t>
  </si>
  <si>
    <t>Tol Pamulang | INV : 22/02-0028,0029 | PT. Endo_TNG</t>
  </si>
  <si>
    <t>parkir | INV :22/02-0022 | PT. APM_SMG</t>
  </si>
  <si>
    <t>GoBox | INV : 22/02-0032 | PT. Padma_BLI</t>
  </si>
  <si>
    <t>Tol Tomang | INV : 22/02-0032 | PT. Padma_BLI</t>
  </si>
  <si>
    <t>Tol Karang TGH | INV : 22/02-0032 | PT. Padma_BLI</t>
  </si>
  <si>
    <t>Bensin | INV : 22/02-0032 | PT. Padma_BLI</t>
  </si>
  <si>
    <t>Parkir | INV : 22/02-0032 | PT. Padma_BLI</t>
  </si>
  <si>
    <t>Kuli | INV : 22/02-0032 | PT. Padma_BLI</t>
  </si>
  <si>
    <t>Kekurangan UM Sam</t>
  </si>
  <si>
    <t>GoBox | 22/02-0037,0039,0040-0042 | PT. APM_SMG &amp; PT. AMP_SMG</t>
  </si>
  <si>
    <t>Tol Karang TGH | 22/02-0037,0039,0040-0042 | PT. APM_SMG &amp; PT. AMP_SMG</t>
  </si>
  <si>
    <t>Tol Karang TGH 2 | 22/02-0037,0039,0040-0042 | PT. APM_SMG &amp; PT. AMP_SMG</t>
  </si>
  <si>
    <t>Parkir | 22/02-0037,0039,0040-0042 | PT. APM_SMG &amp; PT. AMP_SMG</t>
  </si>
  <si>
    <t>Kobra M/02-5389 | 22/02-0040-0042 | PT. AMP_SMG</t>
  </si>
  <si>
    <t>GOoBox | 22/02-0044-0046 | PT. AMP_SMG &amp; RSUD KDS</t>
  </si>
  <si>
    <t>Tol Karang TGH | 22/02-0044-0046 | PT. AMP_SMG &amp; RSUD KDS</t>
  </si>
  <si>
    <t>Tol Karang TGH 2 | 22/02-0044-0046 | PT. AMP_SMG &amp; RSUD KDS</t>
  </si>
  <si>
    <t>Parkir | 22/02-0044-0046 | PT. AMP_SMG &amp; RSUD KDS</t>
  </si>
  <si>
    <t>Kobra M/02-5668 | 22/02-0044-0046 | PT. AMP_SMG</t>
  </si>
  <si>
    <t>Kobra M/02-5667 | 22/02-0045 | RSUD KDS</t>
  </si>
  <si>
    <t>GoBox | Barang Titipan Pak Syahrul</t>
  </si>
  <si>
    <t>GoBox | INV : 22/02-0051,0053</t>
  </si>
  <si>
    <t>Tol Karang TGH | INV : 22/02-0051,0053</t>
  </si>
  <si>
    <t>kuli CMC | Barang Titipan Pak Syahrul</t>
  </si>
  <si>
    <t>Parkir CMC | Barang Titipan Pak Syahrul</t>
  </si>
  <si>
    <t>Parkir Kobra | INV : 22/02-0051,0053</t>
  </si>
  <si>
    <t>Kobra M/02-6432 | 22/02-0051,0053</t>
  </si>
  <si>
    <t>PT. Baraka KPK2202150162 | INV : 22/02-0054 | PT. Solusi</t>
  </si>
  <si>
    <t>Kobra M/02-7174 | INV : 22/02-0057 | PT. AMP_SMG</t>
  </si>
  <si>
    <t>Bensin | INV : 22/02-0057 | PT. AMP_SMG</t>
  </si>
  <si>
    <t>GoBox | INV : 22/02-0061-0062 | PT. ENDO _MDN,PLM</t>
  </si>
  <si>
    <t>Tol Karang TGH | INV : 22/02-0061-0062 | PT. ENDO _MDN,PLM</t>
  </si>
  <si>
    <t>Tol Karang TGH 1 | INV : 22/02-0061-0062 | PT. ENDO _MDN,PLM</t>
  </si>
  <si>
    <t>Parkir | INV : 22/02-0061-0062 | PT. ENDO _MDN,PLM</t>
  </si>
  <si>
    <t>Kuli | INV : 22/02-0061-0062 | PT. ENDO _MDN,PLM</t>
  </si>
  <si>
    <t>CMC 101341137 | Titipan Pak fery</t>
  </si>
  <si>
    <t>CMC 101341165 | INV : 22/02-0061 | PT. ENDO_MDN</t>
  </si>
  <si>
    <t>CMC 101341164 | INV 22/02-0062 | PT. ENDO_PLM</t>
  </si>
  <si>
    <t>GoBox | 22/02-0065-0066 | PT. APM_SMG</t>
  </si>
  <si>
    <t>Tol Karang TGH 1 | 22/02-0065-0066 | PT. APM_SMG</t>
  </si>
  <si>
    <t>Tol Karang TGH 2 | 22/02-0065-0066 | PT. APM_SMG</t>
  </si>
  <si>
    <t>Parkir | 22/02-0065-0066 | PT. APM_SMG</t>
  </si>
  <si>
    <t>GoBox | 22/02-0067 | PT. CBR_BDG</t>
  </si>
  <si>
    <t>Tol Ancol BRT | 22/02-0067 | PT. CBR_BDG</t>
  </si>
  <si>
    <t>Bensin | 22/02-0072 | PT. AMP_SMG</t>
  </si>
  <si>
    <t>Tol Karang TGH | 22/02-0067 | PT. CBR_BDG</t>
  </si>
  <si>
    <t>Parkir | 22/02-0067 | PT. CBR_BDG</t>
  </si>
  <si>
    <t>Kuli  | 22/02-0067 | PT. CBR_BDG</t>
  </si>
  <si>
    <t>Tol Karang TGH 2  | 22/02-0067 | PT. CBR_BDG</t>
  </si>
  <si>
    <t>Tol Tomang | 22/02-0067 | PT. CBR_BDG</t>
  </si>
  <si>
    <t>GrabEkspress | 22/02-0072 | PT. AMP_SMG</t>
  </si>
  <si>
    <t>Kobra M/02-8113 | 22/02-0072 | PT. AMP_SMG</t>
  </si>
  <si>
    <t>Sentral Cargo 00014218794 | INV : 22/02-0025 | Eka Hospital_PKU</t>
  </si>
  <si>
    <t>GrabEkspress | INV : 22/02-0038 | PT. Globindo</t>
  </si>
  <si>
    <t>GrabBike | INV : 22/02-0038 | PT. Globindo</t>
  </si>
  <si>
    <t>Tol Karang TGH | INV : 22/02-0038 | PT. Globindo</t>
  </si>
  <si>
    <t>Tol Meruya Utama | INV : 22/02-0038 | PT. Globindo</t>
  </si>
  <si>
    <t>J&amp;T JD0163347646 - Dokument PT. Semesta Mulia Medika</t>
  </si>
  <si>
    <t>J&amp;T JD0163909729 - Sample Pak Syahrul</t>
  </si>
  <si>
    <t>J&amp;T JD0163909731 - Gimik Eka Hospital_PKU</t>
  </si>
  <si>
    <t>JNE 010140029769622 - Sample pak jihad</t>
  </si>
  <si>
    <t>GrabEkpress | INV : 22/02-0048 | PT. ENDO_TNG</t>
  </si>
  <si>
    <t>GrabBike | INV : 22/02-0048 | PT. ENDO_TNG</t>
  </si>
  <si>
    <t>Tol Meruya Utama | INV : 22/02-0048 | PT. ENDO_TNG</t>
  </si>
  <si>
    <t>Tol Pd. Ranji | INV : 22/02-0048 | PT. ENDO_TNG</t>
  </si>
  <si>
    <t>Tol Pamulang | INV : 22/02-0048 | PT. ENDO_TNG</t>
  </si>
  <si>
    <t>JNE 010140026937922 | Sample Endo</t>
  </si>
  <si>
    <t>Kelebihan UM yang belum disetor</t>
  </si>
  <si>
    <t>Lap Uang Muka Samhadi</t>
  </si>
  <si>
    <t>GoBox | 22/02-0080 | PT. AMP_SMG</t>
  </si>
  <si>
    <t>Parkir | 22/02-0078 | Eka Hospital_BSD</t>
  </si>
  <si>
    <t>Tol Karang TGH | 22/02-0080 | PT. AMP_SMG</t>
  </si>
  <si>
    <t>Bensin | 22/02-0080 | PT. AMP_SMG</t>
  </si>
  <si>
    <t>Parkir | 22/02-0080 | PT. AMP_SMG</t>
  </si>
  <si>
    <t>Kobra M/02-8615 | 22/02-0080 | PT. AMP_SMG</t>
  </si>
  <si>
    <t xml:space="preserve">GoBox | 22/02-0090 | PT. AMP_SMG </t>
  </si>
  <si>
    <t>Bensin | 22/02-0075 | Eka Hospital_BSD</t>
  </si>
  <si>
    <t>parkir | 22/02-0075 | Eka Hospital_BSD</t>
  </si>
  <si>
    <t xml:space="preserve">Tol Karang TGH | 22/02-0090 | PT. AMP_SMG </t>
  </si>
  <si>
    <t xml:space="preserve">Tol karang TGH 2 | 22/02-0090 | PT. AMP_SMG </t>
  </si>
  <si>
    <t xml:space="preserve">Parkir | 22/02-0090 | PT. AMP_SMG </t>
  </si>
  <si>
    <t>Bensin | 22/03-0087 | Eka Hospital_BSD</t>
  </si>
  <si>
    <t>Parkir | 22/03-0087 | Eka Hospital_BSD</t>
  </si>
  <si>
    <t xml:space="preserve">Kobra M/02-9262 | 22/02-0089,0090 | PT. AMP_SMG </t>
  </si>
  <si>
    <t>Sentral Cargo 00014220238 | 22/02-0092 | PT. Erlimpex_SMG</t>
  </si>
  <si>
    <t>Kekurangan Um Samhadi</t>
  </si>
  <si>
    <t>Lap Uang Muka Kusbi</t>
  </si>
  <si>
    <t>GrabEkspress | 22/02-0049 | PT. Globindo</t>
  </si>
  <si>
    <t>GrabEkspress | 22/02-0055 | PT. Globindo</t>
  </si>
  <si>
    <t>Tol Meruya Utama | 22/02-0055 | PT. Globindo</t>
  </si>
  <si>
    <t>Tol Meruya utama | 22/02-0049 | PT. Globindo</t>
  </si>
  <si>
    <t>Tol Karang TGH | 22/02-0049 | PT. Globindo</t>
  </si>
  <si>
    <t>Tol Karang TGH | 22/02-0055 | PT. Globindo</t>
  </si>
  <si>
    <t>Bensin | 22/02-0077 | Eka Hospital_BKS</t>
  </si>
  <si>
    <t>Bensin | 22/02-0081-0082 | Eka Hospital_BKS</t>
  </si>
  <si>
    <t>Bensin | 22/02-0031 | Eka Hospital_BKS</t>
  </si>
  <si>
    <t>Bensin | Tukar faktur Eka Hospital_BKS</t>
  </si>
  <si>
    <t>Bensin | 22/02-0050 | Eka Hospital_BKS</t>
  </si>
  <si>
    <t>parkir | 22/02-0050 | Eka Hospital_BKS</t>
  </si>
  <si>
    <t>Sentral Cargo 0001421986 | 22/02-0070 | PT. Endo_JMB</t>
  </si>
  <si>
    <t>Sentral Cargo 00014219861 | 22/02-0069 | Eka_PKU</t>
  </si>
  <si>
    <t>Grab Ekspress | 22/02-0079 | PT. Globindo</t>
  </si>
  <si>
    <t>Tol Meruya Utama | 22/02-0079 | PT. Globindo</t>
  </si>
  <si>
    <t>Tol Karang TGH | 22/02-0079 | PT. Globindo</t>
  </si>
  <si>
    <t>GrabEkspress | 22/02-0088 | Eka Hospital_BKS</t>
  </si>
  <si>
    <t>Tol Meruya Utama | 22/02-0088 | Eka Hospital_BKS</t>
  </si>
  <si>
    <t>Parkir | 22/02-0088 | Eka Hospital_BKS</t>
  </si>
  <si>
    <t>Tol Fatmawati | 22/02-0088 | Eka Hospital_BKS</t>
  </si>
  <si>
    <t>Tol Karang TGH| 22/02-0088 | Eka Hospital_BKS</t>
  </si>
  <si>
    <t>Claim Lap Kusbi</t>
  </si>
  <si>
    <t>Menset off PK PM PPN Bulan Feb 2022</t>
  </si>
  <si>
    <t>Total Kredit bulan Feb</t>
  </si>
  <si>
    <t>HPP Persediaan Februari - Intouch</t>
  </si>
  <si>
    <t>HPP Persediaan Februari - Exam</t>
  </si>
  <si>
    <t>HPP Persediaan Februari - Condom</t>
  </si>
  <si>
    <t>PEmberian  Sample - Intouch</t>
  </si>
  <si>
    <t>Penyusutan Aktiva Feb 2022 -  Kendaraan</t>
  </si>
  <si>
    <t>Penyusutan Aktiva FEb 2022 - Inventaris Kantor</t>
  </si>
  <si>
    <t>Beban Sewa Dibayar Dimuka FEb 2022</t>
  </si>
  <si>
    <t>Sewa Dibayar Dimuka FEb 2022</t>
  </si>
  <si>
    <t>Biaya asuransi Kendaraan ke 18-36</t>
  </si>
  <si>
    <t>FEB</t>
  </si>
  <si>
    <t>PII/INV-IDR-SG/22/03-0001</t>
  </si>
  <si>
    <t>PII/INV-IDR-SG/22/03-0006</t>
  </si>
  <si>
    <t>PII/INV-IDR-SG/22/03-0007</t>
  </si>
  <si>
    <t>PII/INV-IDR-SG/22/03-0008</t>
  </si>
  <si>
    <t>PII/INV-IDR-SG/22/03-0005</t>
  </si>
  <si>
    <t>PII/INV-IDR-SG/22/03-0004</t>
  </si>
  <si>
    <t>PII/INV-IDR-SG/22/03-0002</t>
  </si>
  <si>
    <t>PII/INV-IDR-SG/22/03-0003</t>
  </si>
  <si>
    <t>PII/INV-IDR-SG/22/03-0014</t>
  </si>
  <si>
    <t>PII/INV-IDR-SG/22/03-0013</t>
  </si>
  <si>
    <t>PII/INV-IDR-SG/22/03-0012</t>
  </si>
  <si>
    <t>PII/INV-IDR-SG/22/03-0011</t>
  </si>
  <si>
    <t>PII/INV-IDR-SG/22/03-0010</t>
  </si>
  <si>
    <t>PT. SEPAKAT ATA BERSAMA</t>
  </si>
  <si>
    <t>PII/INV-IDR-SG/22/03-0016</t>
  </si>
  <si>
    <t>PII/INV-IDR-SG/22/03-0015</t>
  </si>
  <si>
    <t>PII/INV-IDR-SG/22/03-0009</t>
  </si>
  <si>
    <t>PII/INV-IDR-SG/22/03-0093</t>
  </si>
  <si>
    <t>PII/INV-IDR-SG/22/03-0021</t>
  </si>
  <si>
    <t>PII/INV-IDR-SG/22/03-0022</t>
  </si>
  <si>
    <t>PII/INV-IDR-SG/22/03-0019</t>
  </si>
  <si>
    <t>PII/INV-IDR-SG/22/03-0017</t>
  </si>
  <si>
    <t>PII/INV-IDR-SG/22/03-0018</t>
  </si>
  <si>
    <t>PII/INV-IDR-SG/22/03-0020</t>
  </si>
  <si>
    <t>PII/INV-IDR-SG/22/03-0028</t>
  </si>
  <si>
    <t>PII/INV-IDR-SG/22/03-0024</t>
  </si>
  <si>
    <t>PII/INV-IDR-SG/22/03-0026</t>
  </si>
  <si>
    <t>PII/INV-IDR-SG/22/03-0023</t>
  </si>
  <si>
    <t>PII/INV-IDR-SG/22/03-0025</t>
  </si>
  <si>
    <t>PII/INV-IDR-SG/22/03-0027</t>
  </si>
  <si>
    <t>PII/INV-IDR-SG/22/03-0029</t>
  </si>
  <si>
    <t>PII/INV-IDR-SG/22/03-0030</t>
  </si>
  <si>
    <t>PII/INV-IDR-SG/22/03-0031</t>
  </si>
  <si>
    <t>PII/INV-IDR-SG/22/03-0032</t>
  </si>
  <si>
    <t>PII/INV-IDR-SG/22/03-0034</t>
  </si>
  <si>
    <t>PII/INV-IDR-SG/22/03-0033</t>
  </si>
  <si>
    <t>PII/INV-IDR-SG/22/03-0</t>
  </si>
  <si>
    <t>PII/INV-IDR-SG/22/03-0037</t>
  </si>
  <si>
    <t>PII/INV-IDR-SG/22/03-0038</t>
  </si>
  <si>
    <t>PII/INV-IDR-SG/22/03-0036</t>
  </si>
  <si>
    <t>PII/INV-IDR-SG/22/03-0039</t>
  </si>
  <si>
    <t>PII/INV-IDR-SG/22/03-0035</t>
  </si>
  <si>
    <t>PII/INV-IDR-CO/22/03-0001</t>
  </si>
  <si>
    <t>PII/INV-IDR-SG/22/03-0041</t>
  </si>
  <si>
    <t>PII/INV-IDR-SG/22/03-0040</t>
  </si>
  <si>
    <t>PII/INV-IDR-SG/22/03-0049</t>
  </si>
  <si>
    <t>PII/INV-IDR-SG/22/03-0042</t>
  </si>
  <si>
    <t>PII/INV-IDR-SG/22/03-0043</t>
  </si>
  <si>
    <t>PII/INV-IDR-SG/22/03-0044</t>
  </si>
  <si>
    <t>PII/INV-IDR-SG/22/03-0045</t>
  </si>
  <si>
    <t>PII/INV-IDR-SG/22/03-0046</t>
  </si>
  <si>
    <t>PII/INV-IDR-SG/22/03-0047</t>
  </si>
  <si>
    <t>PII/INV-IDR-SG/22/03-0050</t>
  </si>
  <si>
    <t>PII/INV-IDR-SG/22/03-0051</t>
  </si>
  <si>
    <t>PII/INV-IDR-SG/22/03-0052</t>
  </si>
  <si>
    <t>PII/INV-IDR-SG/22/03-0053</t>
  </si>
  <si>
    <t>PII/INV-IDR-SG/22/03-0057</t>
  </si>
  <si>
    <t>PII/INV-IDR-SG/22/03-0058</t>
  </si>
  <si>
    <t>PII/INV-IDR-SG/22/03-0056</t>
  </si>
  <si>
    <t>PII/INV-IDR-SG/22/03-0060</t>
  </si>
  <si>
    <t>PII/INV-IDR-SG/22/03-0059</t>
  </si>
  <si>
    <t>PII/INV-IDR-SG/22/03-0054</t>
  </si>
  <si>
    <t>PII/INV-IDR-SG/22/03-0055</t>
  </si>
  <si>
    <t>PII/INV-IDR-SG/22/03-0062</t>
  </si>
  <si>
    <t>PII/INV-IDR-SG/22/03-0061</t>
  </si>
  <si>
    <t>PII/INV-IDR-SG/22/03-0064</t>
  </si>
  <si>
    <t>PII/INV-IDR-SG/22/03-0066</t>
  </si>
  <si>
    <t>PII/INV-IDR-SG/22/03-0063</t>
  </si>
  <si>
    <t>PII/INV-IDR-SG/22/03-0067</t>
  </si>
  <si>
    <t>RUMAH SAKIT UMUM DAERAH PETALA BUMI PROVINSI RIAU</t>
  </si>
  <si>
    <t>PII/INV-IDR-SG/22/03-0065</t>
  </si>
  <si>
    <t>YAYASAN ASSYIFAH BLANG RAYA</t>
  </si>
  <si>
    <t>PII/INV-IDR-SG/22/03-0070</t>
  </si>
  <si>
    <t>PII/INV-IDR-SG/22/03-0068</t>
  </si>
  <si>
    <t>PII/INV-IDR-SG/22/03-0069</t>
  </si>
  <si>
    <t>PII/INV-IDR-SG/22/03-0072</t>
  </si>
  <si>
    <t>PII/INV-IDR-SG/22/03-0077</t>
  </si>
  <si>
    <t>PII/INV-IDR-SG/22/03-0076</t>
  </si>
  <si>
    <t>PII/INV-IDR-SG/22/03-0075</t>
  </si>
  <si>
    <t>PII/INV-IDR-SG/22/03-0071</t>
  </si>
  <si>
    <t>PII/INV-IDR-SG/22/03-0074</t>
  </si>
  <si>
    <t>PII/INV-IDR-SG/22/03-0073</t>
  </si>
  <si>
    <t>PII/INV-IDR-SG/22/03-0080</t>
  </si>
  <si>
    <t>PII/INV-IDR-SG/22/03-0081</t>
  </si>
  <si>
    <t>PII/INV-IDR-SG/22/03-0082</t>
  </si>
  <si>
    <t>PII/INV-IDR-SG/22/03-0083</t>
  </si>
  <si>
    <t>PII/INV-IDR-SG/22/03-0078</t>
  </si>
  <si>
    <t>PII/INV-IDR-SG/22/03-0079</t>
  </si>
  <si>
    <t>PII/INV-IDR-SG/22/03-0085</t>
  </si>
  <si>
    <t>PII/INV-IDR-SG/22/03-0084</t>
  </si>
  <si>
    <t>PII/INV-IDR-CO/22/03-0002</t>
  </si>
  <si>
    <t>PII/INV-IDR-SG/22/03-0087</t>
  </si>
  <si>
    <t>PII/INV-IDR-SG/22/03-0088</t>
  </si>
  <si>
    <t>PII/INV-IDR-SG/22/03-0089</t>
  </si>
  <si>
    <t>PII/INV-IDR-SG/22/03-0090</t>
  </si>
  <si>
    <t>PII/INV-IDR-SG/22/03-0091</t>
  </si>
  <si>
    <t>PII/INV-IDR-SG/22/03-0086</t>
  </si>
  <si>
    <t>PII/INV-IDR-SG/22/03-0092</t>
  </si>
  <si>
    <t>PII/INV-IDR-SG/22/03-0094</t>
  </si>
  <si>
    <t>PII/INV-IDR-SG/22/03-0095</t>
  </si>
  <si>
    <t>PII/INV-IDR-SG/22/03-0096</t>
  </si>
  <si>
    <t>PII/INV-IDR-SG/22/03-0097</t>
  </si>
  <si>
    <t>PII/INV-IDR-SG/22/03-0099</t>
  </si>
  <si>
    <t>PII/INV-IDR-SG/22/03-0098</t>
  </si>
  <si>
    <t>PII/INV-IDR-SG/22/03-0102</t>
  </si>
  <si>
    <t>PII/INV-IDR-SG/22/03-0100</t>
  </si>
  <si>
    <t>PII/INV-IDR-SG/22/03-0103</t>
  </si>
  <si>
    <t>PII/INV-IDR-SG/22/03-0104</t>
  </si>
  <si>
    <t>PII/INV-IDR-SG/22/03-0107</t>
  </si>
  <si>
    <t>PII/INV-IDR-SG/22/03-0101</t>
  </si>
  <si>
    <t>PII/INV-IDR-SG/22/03-0108</t>
  </si>
  <si>
    <t>PT. RUMAH SAKIT JEUMPA</t>
  </si>
  <si>
    <t>PII/INV-IDR-SG/22/03-0106</t>
  </si>
  <si>
    <t>PII/INV-IDR-SG/22/03-0105</t>
  </si>
  <si>
    <t>PII/INV-IDR-SG/22/03-0110</t>
  </si>
  <si>
    <t>PII/INV-IDR-SG/22/03-0109</t>
  </si>
  <si>
    <t>PII/INV-IDR-SG/22/03-0111</t>
  </si>
  <si>
    <t>PII/INV-IDR-SG/22/03-0112</t>
  </si>
  <si>
    <t>PII/INV-IDR-CO/22/03-0003</t>
  </si>
  <si>
    <t>PT. Mitra Rajawali Banjaran</t>
  </si>
  <si>
    <t>PII/INV-IDR-CO/22/03-0004</t>
  </si>
  <si>
    <t>Syahdu Hilal</t>
  </si>
  <si>
    <t>Tagihan Accurate System Penggunaan Februari</t>
  </si>
  <si>
    <t>Fee konsultan Pajak Bulan Maret 2022</t>
  </si>
  <si>
    <t>Komisi Pak Ferry 2021</t>
  </si>
  <si>
    <t>Purchase Intouch Power Free W5-0051/2022</t>
  </si>
  <si>
    <t>Purchase Intouch Power Free W5-0051/2022 - PPN</t>
  </si>
  <si>
    <t>Purchase Intouch Power Free W5-0051/2022 - PPh 22 Impor</t>
  </si>
  <si>
    <t>210,01,51</t>
  </si>
  <si>
    <t>Angsuran pph 25 bulan Maret 2022</t>
  </si>
  <si>
    <t>Purchase Intouch Powdered W5-0052/2022</t>
  </si>
  <si>
    <t xml:space="preserve">Kurs Beli 14,369 </t>
  </si>
  <si>
    <t>Purchase Intouch Powdered W5-0052/2022 - PPN</t>
  </si>
  <si>
    <t>Purchase Intouch Powdered W5-0052/2022 - PPh 22 Impor</t>
  </si>
  <si>
    <t>210,01,52</t>
  </si>
  <si>
    <t>0001/INV-IDR/JMSI/III/2022 W5-0051/2022</t>
  </si>
  <si>
    <t>0001/INV-IDR/JMSI/III/2022 W5-0051/2022 - Pph 23</t>
  </si>
  <si>
    <t>0001/INV-IDR/JMSI/III/2022 W5-0051/2022 -Penumpukan</t>
  </si>
  <si>
    <t>0001/INV-IDR/JMSI/III/2022 W5-0051/2022 - Pengambilan Dokumen</t>
  </si>
  <si>
    <t>0001/INV-IDR/JMSI/III/2022 W5-0051/2022 - Pengambilan Dokumen - PT Peleyaran Caraka</t>
  </si>
  <si>
    <t>Purchase Intouch Powdered W5-0099/2022</t>
  </si>
  <si>
    <t>Kurs Beli 14,318</t>
  </si>
  <si>
    <t>Purchase Intouch Powdered W5-0099/2022 - PPN</t>
  </si>
  <si>
    <t>Purchase Intouch Powdered W5-0099/2022 - PPh 22</t>
  </si>
  <si>
    <t>0002/INV-IDR/JMSI/III/2022 W5-0052/2022</t>
  </si>
  <si>
    <t>0002/INV-IDR/JMSI/III/2022 W5-0052/2022 - PT IPC Terminal Petikemas</t>
  </si>
  <si>
    <t>0002/INV-IDR/JMSI/III/2022 W5-0052/2022 - PT Pelayaran Caraka</t>
  </si>
  <si>
    <t>Accurate system Mar 2022</t>
  </si>
  <si>
    <t>0003/INV-IDR/JMSI/III/2022 W5-0099/2022</t>
  </si>
  <si>
    <t>0003/INV-IDR/JMSI/III/2022 W5-0099/2022 - PT IPC Terminal Petikemas</t>
  </si>
  <si>
    <t>0003/INV-IDR/JMSI/III/2022 W5-0099/2022 - PT Pelayaran Caraka</t>
  </si>
  <si>
    <t>Kendaraan Astra Grand Max</t>
  </si>
  <si>
    <t>Kendaraan Astra Grand Max (DPP 111.390.000, PPN 11.139.000, Biaya Lain-lain 22.471.000 Total 145.000.000)</t>
  </si>
  <si>
    <t>Sementara Jurnal ke Biaya Lain</t>
  </si>
  <si>
    <t>Kendaraan Astra Grand Max - Uang Muka 5 juta dan pelunasan Mobil Grand Max 140 juta</t>
  </si>
  <si>
    <t>BNI768/BB/III/</t>
  </si>
  <si>
    <t>KE 12141184738 | 6010047890359919 Accurate</t>
  </si>
  <si>
    <t xml:space="preserve">Token Listrik 14 0400 51691 AL1/067 </t>
  </si>
  <si>
    <t>TRANSFER KE | PEMINDAHAN KE 8006006009 PT TOKOPEDIA | Token Listrik 86012070362 RGLN 007 TRF TO:0000000</t>
  </si>
  <si>
    <t>TRF/PAY/TOP-UP ECHANNEL | PEMINDAHAN KE 12141184738 | 6010047890359919 | BNI DIRECT</t>
  </si>
  <si>
    <t>TRANSFER KE | PEMINDAHAN KE 8006006009 PT TOKOPEDIA | Token Listrik 14 0400 51691 AL1/067 TRF TO:000</t>
  </si>
  <si>
    <t>TRANSFER KE | PEMINDAHAN KE 8006006009 PT TOKOPEDIA | Token Listrik 86013669055 RGLK005</t>
  </si>
  <si>
    <t>TRANSFER DARI | PEMINDAHAN DARI 685303095 Bpk TEGUH WICAKSONO | UM 07/02/2022</t>
  </si>
  <si>
    <t>Ke 954218286 Sdr MUHAMMAD SYAMHADI | 22/03-001 Um Kirim Barang _Syam</t>
  </si>
  <si>
    <t>KE 685303095 Bpk TEGUH WICAKSONO | 22/03-001 Um Kirim Barang _Teguh</t>
  </si>
  <si>
    <t>KE 306871664 Ibu SUSY LESTARI | Claim - 01/03/2022 TopUp E-money 7270 BRE</t>
  </si>
  <si>
    <t>KE 8309557259 Bpk KUSBIALIM | 22/03-001 Um Kirim Barang _Kusbi</t>
  </si>
  <si>
    <t>TRANSFER KE | PEMINDAHAN KE 954218286 Sdr MUHAMMAD SYAMHADI | 22/03-001 Um Kirim Barang _Syam TRF TO:0000000009</t>
  </si>
  <si>
    <t>TRANSFER KE | PEMINDAHAN KE 685303095 Bpk TEGUH WICAKSONO | 22/03-001 Um Kirim Barang _Teguh TRF TO:000000000</t>
  </si>
  <si>
    <t>TRANSFER KE | PEMINDAHAN KE 306871664 Ibu SUSY LESTARI | Claim - 01/03/2022 TopUp E-money 7270 BRE TRF TO:0</t>
  </si>
  <si>
    <t>TRANSFER KE | PEMINDAHAN KE 8309557259 Bpk KUSBIALIM | 22/03-001 Um Kirim Barang _Kusbi TRF TO:000000008</t>
  </si>
  <si>
    <t>KREDIT LAIN-LAIN | 153 PT EKAMAS INTER PT EKAMAS INTERNATIONAL HOSPIT</t>
  </si>
  <si>
    <t>KE 897702622 IMANUEL ARI SUSANTO | Claim 2-3-2022 Kartu Nama (ID Card + Kartu Nama) T</t>
  </si>
  <si>
    <t>BILL PAYMENT (H2H BPJS KES) NO :72B2F03E93FAE53B</t>
  </si>
  <si>
    <t>Penerimaan Negara 411124 Masa Feb (JMSI dan IPC No Inv 0001 dan 0002 bln Feb)</t>
  </si>
  <si>
    <t>KE 1570243221 | 6010047890377263 | BNI DIRECT</t>
  </si>
  <si>
    <t>Pinjaman Proteksi ( Pelunasan DP 50% IPAK(IDAK)</t>
  </si>
  <si>
    <t>BILL PAYMENT (H2H BPJS TK ) NO :220300617405</t>
  </si>
  <si>
    <t>Penerimaan Negara 411121 Masa Feb (Sentot AC, Komisi Setyo, Ahadi, Rusid)</t>
  </si>
  <si>
    <t>Penerimaan Negara Hutang PPH 25 Masa Feb 2022</t>
  </si>
  <si>
    <t>TRF/PAY/TOP-UP ECHANNEL | 6010043330000011 | BNI DIRECT | BIAYA ADMIN (TLKM JAKUT ) NO :0021022524565 7 0</t>
  </si>
  <si>
    <t>6010043330000011 | BNI DIRECT | BILL PAYMENT (TLKM CIANJUR) NO :0021029725870</t>
  </si>
  <si>
    <t>6010043330000011 | BNI DIRECT | BIAYA ADMIN (TLKM CIANJUR) NO :0021029725870 20 0</t>
  </si>
  <si>
    <t>6010043330000011 | BNI DIRECT | BIAYA ADMIN (TLKM JAKUT ) NO :0021029203723 8 0</t>
  </si>
  <si>
    <t>Penerimaan Negara 411121 Masa Feb (PPh 21 Atas Gaji Feb)</t>
  </si>
  <si>
    <t>TRANSFER KE | PEMINDAHAN KE 897702622 IMANUEL ARI SUSANTO | Claim 2-3-2022 Kartu Nama (ID Card + Kartu Nama) T</t>
  </si>
  <si>
    <t>TRF/PAY/TOP-UP ECHANNEL | PEMINDAHAN KE 1570243221 | 6010047890377263 | BNI DIRECT</t>
  </si>
  <si>
    <t>TRF/PAY/TOP-UP ECHANNEL | PEMINDAHAN KE 30658884 | 6010047890377264 | BNI DIRECT</t>
  </si>
  <si>
    <t>KREDIT LAIN-LAIN | 008 ALPRIDO ALKESIN Pelunasan Alprido</t>
  </si>
  <si>
    <t>KE 8006006009 PT TOKOPEDIA | HM Stationary_Lem Fox stik, Tipex Cair, Lem stik</t>
  </si>
  <si>
    <t>Penerimaan Negara PIB atas Inv W5-0051/2022 -PPN Impor</t>
  </si>
  <si>
    <t>Penerimaan Negara PIB atas Inv W5-0051/2022 - PPh 22 Impor</t>
  </si>
  <si>
    <t>KE 8006006009 PT TOKOPEDIA | Minta123_Gantungan Apar</t>
  </si>
  <si>
    <t>Angsuran mobil HRV</t>
  </si>
  <si>
    <t>TRANSFER KE | PEMINDAHAN KE 8006006009 PT TOKOPEDIA | HM Stationary_Lem Fox stik, Tipex Cair, Lem stik</t>
  </si>
  <si>
    <t>TRANSFER KE | PEMINDAHAN KE 8006006009 PT TOKOPEDIA | Minta123_Gantungan Apar TRF TO:00000000800600600</t>
  </si>
  <si>
    <t>TRF/PAY/TOP-UP ECHANNEL | PEMINDAHAN KE 7891050501211908 | 6010047890388392 | BNI DIRECT</t>
  </si>
  <si>
    <t>KREDIT LAIN-LAIN | 451 TIRTA MEDICAL I 070322 PT TMI</t>
  </si>
  <si>
    <t>KE 28053803 SYAHDU HILAL | PJT Tahun 2022</t>
  </si>
  <si>
    <t>Penerimaan Negara 411121 Masa Feb</t>
  </si>
  <si>
    <t>KE 685303095 Bpk TEGUH WICAKSONO | UM Unloading 2022/03-002 678Q W5-0051/</t>
  </si>
  <si>
    <t>TRANSFER KE | PEMINDAHAN KE 28053803 SYAHDU HILAL | PJT Tahun 2022 TRF TO:000000000028053803</t>
  </si>
  <si>
    <t>TRANSFER KE | BILL PAYMENT (MPN G2 IDR ) NO :026229982017151</t>
  </si>
  <si>
    <t>TRANSFER KE | PEMINDAHAN KE 685303095 Bpk TEGUH WICAKSONO | UM Unloading 2022/03-002 678Q W5-0051/2022 TRF TO:</t>
  </si>
  <si>
    <t>TRF/PAY/TOP-UP ECHANNEL | PEMINDAHAN DARI 83100 | 5260512014338873 | S1ACMB9503 2700</t>
  </si>
  <si>
    <t>PEMINDAHAN DARI 83100 | 5260512014338873 | S1ACMB9503 2700</t>
  </si>
  <si>
    <t>KE 8006006009 PT TOKOPEDIA | Tok0 sendiri_ masker TRF TO:000000008006006009</t>
  </si>
  <si>
    <t>KE 8006006009 PT TOKOPEDIA | Dzakiyahcom Toner HP Laserjet 119 A _ Kuning TRF T</t>
  </si>
  <si>
    <t>KE 5910557779  IPL 1/10/2021-31/10/2021 Inv 04718/OP2/XI/21 I-22</t>
  </si>
  <si>
    <t>KE 5910557779 Air 16/09/2021-15/10/2021 Inv 04718/OP2/XI/21 I-22</t>
  </si>
  <si>
    <t>KE 5910557779 IPL 01/02/2022-28/02/2022 Inv 01889/OP2/III/22 AL-67</t>
  </si>
  <si>
    <t>KE 5910557779 Air 16/01/2022-15/02/2022 Inv 01889/OP2/III/22 AL-67</t>
  </si>
  <si>
    <t>KE 5910557779 IPL 01/02/2022-28/02/2022 Inv 00635/OP2/III/22 K-005</t>
  </si>
  <si>
    <t>KE 5910557779 Air 16/01/2022-15/02/2022 Inv 00635/OP2/III/22 K-005</t>
  </si>
  <si>
    <t>KE 5910557779 IPL 01/02/2022-28/02/2022 Inv 00700/OP2/III/22 N-007</t>
  </si>
  <si>
    <t>KE 5910557779 Air 16/01/2022-15/02/2022 Inv 00700/OP2/III/22 N-005</t>
  </si>
  <si>
    <t>KE 8006006009 PT TOKOPEDIA | Miisoo Official Shop_masker</t>
  </si>
  <si>
    <t>KE 8006006009 PT TOKOPEDIA | KiosCepat_paperone A4 75gr 5 rim TRF TO:000000008</t>
  </si>
  <si>
    <t>KE 5910557779 Air 16/01/2022-15/02/2022 Inv 01089/OP2/III/22 I-022</t>
  </si>
  <si>
    <t>TRANSFER KE | PEMINDAHAN KE 8006006009 PT TOKOPEDIA | Tok0 sendiri_ masker TRF TO:000000008006006009</t>
  </si>
  <si>
    <t>TRANSFER KE | PEMINDAHAN KE 8006006009 PT TOKOPEDIA | Dzakiyahcom Toner HP Laserjet 119 A _ Kuning TRF T</t>
  </si>
  <si>
    <t>KE 5910557779 | 6010047890416137 IPL 1/10/2021-31/10/2021 Inv 04718/OP2/XI/21</t>
  </si>
  <si>
    <t>KE 5910557779 | 6010047890416137 Air 16/09/2021-15/10/2021 Inv 04718/OP2/XI/21</t>
  </si>
  <si>
    <t>TRANSFER KE | PEMINDAHAN KE 8006006009 PT TOKOPEDIA | Miisoo Official Shop_masker TRF TO:00000000800600</t>
  </si>
  <si>
    <t>TRANSFER KE | PEMINDAHAN KE 8006006009 PT TOKOPEDIA | KiosCepat_paperone A4 75gr 5 rim TRF TO:000000008</t>
  </si>
  <si>
    <t>TRF/PAY/TOP-UP ECHANNEL | PEMINDAHAN KE 5910557779 | 6010047890416140 | BNI DIRECT</t>
  </si>
  <si>
    <t>TRF/PAY/TOP-UP ECHANNEL | PEMINDAHAN DARI 954218286 Sdr MUHAMMAD SYAMHADI | 1946342370248917 | S1FDMG08NR 9839</t>
  </si>
  <si>
    <t>DARI 954218286 Sdr MUHAMMAD SYAMHADI | 1946342370248917 | S1FDMG08NR 9839</t>
  </si>
  <si>
    <t>PT EKAMAS INTL PT EKAMAS INTL HOSPITAL</t>
  </si>
  <si>
    <t>PT EKAMAS INTER LLG</t>
  </si>
  <si>
    <t>PT RUMAH SAKIT BHP</t>
  </si>
  <si>
    <t>KE 777360584999606 | 0777360584999606 TAFS PERIODE 19 - 11032022</t>
  </si>
  <si>
    <t>KE 306871664 Ibu SUSY LESTARI | Claim 09/03/2022 TopUp E-money 7270 BRE</t>
  </si>
  <si>
    <t>KE 954218286 Sdr MUHAMMAD SYAMHADI | Um Kirim Barang Maret 2022 TRF TO:000000000954218</t>
  </si>
  <si>
    <t>KE 306871664 Ibu SUSY LESTARI | Claim 10/03/2022 TopUp E-money 7270 BRE TRF TO:00</t>
  </si>
  <si>
    <t>KE 685303095 Bpk TEGUH WICAKSONO | 22/03-001 Um Kirim Barang _Teguh TRF TO:000000000</t>
  </si>
  <si>
    <t>KE 562856675 Bpk FERI FARDI | Komisi Penjualan</t>
  </si>
  <si>
    <t>KE 8006006009 PT TOKOPEDIA | Catridge Canon CL-741 Color 2pcs PG-740 Black 2pcs</t>
  </si>
  <si>
    <t>KE 185934904 MEDIA INDONUSA | 8189330557840719 Faspay-Pembelian Laser Toner</t>
  </si>
  <si>
    <t>KE 8006006009 PT TOKOPEDIA | Printer HP Smart Tank 515 Wireless All-In-One TRF</t>
  </si>
  <si>
    <t>Pernerimaan Negara 620220300145946 PIB Inv W5-0052/2022 - PPN</t>
  </si>
  <si>
    <t>Pernerimaan Negara 620220300145946 PIB Inv W5-0052/2022 - PPh 22 Impor</t>
  </si>
  <si>
    <t>KE 897702622 IMANUEL ARI SUSANTO | Claim 28-2-2022 (kekurangan UM 72/2022 2 Dinas Keb</t>
  </si>
  <si>
    <t>KE 28053803 SYAHDU HILAL | Claim 14-3-2022 Bensin BRE</t>
  </si>
  <si>
    <t>KE 5910557779 | 6010047890439450 IPL GLC12 RKAI-022 Tempo 25/04/2022</t>
  </si>
  <si>
    <t>KE 692680383 Bpk SYAHRUL HIDAYAT | Claim Transportasi 25-31/1/2022 - 2-24/2/2022</t>
  </si>
  <si>
    <t>KE 685303095 Bpk TEGUH WICAKSONO | UM Unloading 618Q W5-0052/2022</t>
  </si>
  <si>
    <t>KE 562856675 Bpk FERI FARDI | Komisi Penjualan TRF TO:000000000562856675</t>
  </si>
  <si>
    <t>KE 185934904 MEDIA INDONUSA | 8189330557840719 Faspay-PT PROCARRE INTERNATIONAL</t>
  </si>
  <si>
    <t>KE 5910557779 | 6010047890439450 | BNI DIRECT</t>
  </si>
  <si>
    <t>KE 306871664 Ibu SUSY LESTARI | Claim Transportasi 15-16 Maret 2022</t>
  </si>
  <si>
    <t>KE 2111244181 | 6010047890450117 Duta Trans kirim ke Azken</t>
  </si>
  <si>
    <t>KE 306871664 Ibu SUSY LESTARI | Claim 18/03/2022 TopUp E-money 7270 BRE</t>
  </si>
  <si>
    <t>KE 306871664 Ibu SUSY LESTARI | Claim Transportasi 15-16 Maret 2022 TRF TO:000000</t>
  </si>
  <si>
    <t>KE 2111244181 | 6010047890450117 | BNI DIRECT</t>
  </si>
  <si>
    <t>KREDIT LAIN-LAIN | 014 AZKEN INDONESIA AZKEN INDONESIA</t>
  </si>
  <si>
    <t>KE | PEMINDAHAN KE 306871664 Ibu SUSY LESTARI | Transportasi</t>
  </si>
  <si>
    <t>KE 28053803 SYAHDU HILAL | Claim kekurangan UM Dinas</t>
  </si>
  <si>
    <t>KE 8309557259 Bpk KUSBIALIM | Claim Kekurangan UM Kirim Barang 8/2/22</t>
  </si>
  <si>
    <t>KE 28053803 SYAHDU HILAL | Claim 21-3-2022 Bensin BRE</t>
  </si>
  <si>
    <t>KE 685303095 Bpk TEGUH WICAKSONO | Claim Kekurangan UM</t>
  </si>
  <si>
    <t>KE 2293020094 DP Mobil Pick UP Grand Max</t>
  </si>
  <si>
    <t>PEMINDAHAN KE 760360200001004 | PT PROCARRE INTERNATION L INDONESIA | PB</t>
  </si>
  <si>
    <t>TRANSFER KE | PEMINDAHAN KE 760360420803001 | PT PROCARRE INTERNATION L INDONESIA | PB</t>
  </si>
  <si>
    <t>KE 954218286 Sdr MUHAMMAD SYAMHADI | UM Kirim Barang Maret 2022</t>
  </si>
  <si>
    <t>TRF/PAY/TOP-UP ECHANNEL | PEMINDAHAN KE 2293020094 | 6010047890464406</t>
  </si>
  <si>
    <t>KE 5380317780 Payment JMSI Inv 0001/INV-IDR/JMSI/III/2022</t>
  </si>
  <si>
    <t>DARI 562856675 Bpk FERI FARDI | Refund dana UM</t>
  </si>
  <si>
    <t>KE 760360200001004 | PT PROCARRE INTERNATION L INDONESIA | PB</t>
  </si>
  <si>
    <t>PEMINDAHAN KE 760360420803001 | PT PROCARRE INTERNATION L INDONESIA | PB</t>
  </si>
  <si>
    <t xml:space="preserve"> KE 8006006009 PT TOKOPEDIA | E-Toll 6032984048637270 BRE </t>
  </si>
  <si>
    <t>KE 8006006009 PT TOKOPEDIA | copper tempered glass anti blueray reno 7 5G TRF</t>
  </si>
  <si>
    <t>KE 562856675 Bpk FERI FARDI | Claim Transportasi BBM ke PDG 1,7,10,22/3/2022 TRF</t>
  </si>
  <si>
    <t>KE 8805125111 Bpk TAN BOON CHOON | Transportasi Maret 2022 TRF TO:00000000880512511</t>
  </si>
  <si>
    <t>PEMINDAHAN KE 5490146221 | 6010047890466514 | BNI DIRECT</t>
  </si>
  <si>
    <t>KE 685303095 Bpk TEGUH WICAKSONO | UM Unloading Barang PW 518Q TRF TO:00000000068530</t>
  </si>
  <si>
    <t xml:space="preserve"> KE 306871664 Ibu SUSY LESTARI | Materai 10000 TRF TO:000000000306871664</t>
  </si>
  <si>
    <t>KE 8006006009 PT TOKOPEDIA | reno 7 5G</t>
  </si>
  <si>
    <t>KE 306871664 Ibu SUSY LESTARI | Claim Transportasi 23-3-2022</t>
  </si>
  <si>
    <t>PEMINDAHAN KE 8006006009 PT TOKOPEDIA | E-Toll 6032984048637270 BRE TRF TO:00000000800600</t>
  </si>
  <si>
    <t>KE 8006006009 PT TOKOPEDIA | reno 7 5G TRF TO:000000008006006009</t>
  </si>
  <si>
    <t>KE 306871664 Ibu SUSY LESTARI | Claim Transportasi 23-3-2022 TRF TO:0000000003068</t>
  </si>
  <si>
    <t xml:space="preserve"> DARI 1110011285711 Kamardi Isye Famili</t>
  </si>
  <si>
    <t xml:space="preserve"> KE 8006006009 PT TOKOPEDIA | Oppo Reno 6 Pro </t>
  </si>
  <si>
    <t>KE 8805125111 Bpk TAN BOON CHOON | Mandaya Royal Hospital PCR Bpk Tan TRF TO:000000</t>
  </si>
  <si>
    <t>KE 8006006009 PT TOKOPEDIA | anti gores hydrogel full TRF TO:00000000800600600</t>
  </si>
  <si>
    <t xml:space="preserve"> KE 897702622 IMANUEL ARI SUSANTO | Claim Transportasi 8, 17 Maret 2022</t>
  </si>
  <si>
    <t xml:space="preserve"> KE 8006006009 PT TOKOPEDIA | Oppo Reno 6 Pro TRF TO:000000008006006009</t>
  </si>
  <si>
    <t xml:space="preserve"> KE 897702622 IMANUEL ARI SUSANTO | Claim Transportasi 8, 17 Maret 2022 TRF TO:000000</t>
  </si>
  <si>
    <t>DARI 306871664 Ibu SUSY LESTARI | Refund inv/20220324/MPL/2158612450</t>
  </si>
  <si>
    <t>DARI 306871664 Ibu SUSY LESTARI | Refund Inv/20220324/MPL/2158608443</t>
  </si>
  <si>
    <t>KE 189960259 SIMSEM PAYROLL BNI DIRECT-L | 000000 |</t>
  </si>
  <si>
    <t>TRANSFER KE | PEMINDAHAN KE 562856675 Bpk FERI FARDI | UM Dinas PDG to RIAU 27 Maret sd 27 April 2022 TR</t>
  </si>
  <si>
    <t>TRANSFER KE | PEMINDAHAN KE 189960259 SIMSEM PAYROLL BNI DIRECT-L | 000000 |</t>
  </si>
  <si>
    <t>DARI 954218286 Sdr MUHAMMAD SYAMHADI | 1946342370248917 | S1EDMGA027 6370</t>
  </si>
  <si>
    <t>RTGS KE | PT Astra International bk-DSO | Pelunasan Mobil PIKUP DAIHATSU / GRAN MAX PU AC PS</t>
  </si>
  <si>
    <t xml:space="preserve"> KE | Um kirim barang maret 2022Sdr MUHAMMAD SYAMHADI</t>
  </si>
  <si>
    <t>Penerimaan Negara PPN Masa Bulan Feb 2022</t>
  </si>
  <si>
    <t>Wrapping 4 roll</t>
  </si>
  <si>
    <t>PT. Endo Medica Nusantara</t>
  </si>
  <si>
    <t>KUSBIALIM | Claim Bensin BRE TRF</t>
  </si>
  <si>
    <t>Bpk TEGUH WICAKSONO | Um Kirim Barang Maret 2022 TRF</t>
  </si>
  <si>
    <t>Payment JMSI Inv 0002/INV-IDR/JMSI/III/2022</t>
  </si>
  <si>
    <t>Payment Accurate bulan maret 2022</t>
  </si>
  <si>
    <t xml:space="preserve">Claim Transportasi Fery </t>
  </si>
  <si>
    <t>Claim Transportasi Fery - Akomodasi</t>
  </si>
  <si>
    <t>Claim Bensin BRE Kusbi</t>
  </si>
  <si>
    <t>Tabung Pemadam 4 Tabung</t>
  </si>
  <si>
    <t>PPH bank</t>
  </si>
  <si>
    <t xml:space="preserve">Biaya adm Rek </t>
  </si>
  <si>
    <t>Globindo</t>
  </si>
  <si>
    <t>Penggantian Ongkir Jkt -Medan Endo</t>
  </si>
  <si>
    <t>Globindo Pelunasan Inv 12-0072</t>
  </si>
  <si>
    <t>PO nitril 067 Globindo</t>
  </si>
  <si>
    <t>RS MADINA procarre</t>
  </si>
  <si>
    <t>nitril s &amp; m MEDIVA BERKAH PERM</t>
  </si>
  <si>
    <t xml:space="preserve"> PURESHIELD ANUGERAH MAHIRA PR</t>
  </si>
  <si>
    <t>PEMABAYRAN OBAT IBNU SINA</t>
  </si>
  <si>
    <t>ENDO</t>
  </si>
  <si>
    <t xml:space="preserve"> intouch mahira ANUGERAH MAHIRA PR</t>
  </si>
  <si>
    <t>Globindo 12- 0095 -0105</t>
  </si>
  <si>
    <t>PT. Prima Jambi</t>
  </si>
  <si>
    <t>ONGKIR JAN 22 TQ ANUGERAH MAHIRA PR</t>
  </si>
  <si>
    <t>CR 03/08 95031 INTOUCH SSD SURYA WARDHANA</t>
  </si>
  <si>
    <t>KR OTOMATIS LLG-MANDIRI PT ENDO MEDIKA PMBYRN</t>
  </si>
  <si>
    <t>Kondom Budi Sujono</t>
  </si>
  <si>
    <t>Penggantian Ongkir Jambi</t>
  </si>
  <si>
    <t>Globindo 12-0120</t>
  </si>
  <si>
    <t xml:space="preserve"> DP PO Nitril 073 ANGELA ANGE PUSPIT</t>
  </si>
  <si>
    <t>TARIKAN TUNAI 0470485-0 payment Inv KB-0286/2022 4480 Kurs 14.320</t>
  </si>
  <si>
    <t>TARIKAN TUNAI 0470485-0 payment Inv KB-0286/2022 - Selisih Kurs</t>
  </si>
  <si>
    <t>TARIKAN TUNAI 0470485-0 payment Inv KB-0286/2022 - Biaya Bank</t>
  </si>
  <si>
    <t>TARIKAN TUNAI 0470485-0 Payment Inv W5-0014/2022 53.723 Kurs 14.320</t>
  </si>
  <si>
    <t>TARIKAN TUNAI 0470485-0 Payment Inv W5-0014/2022 53.723 Kurs 14.320 - Selisih Kurs</t>
  </si>
  <si>
    <t>TARIKAN TUNAI 0470485-0 Payment Inv W5-0014/2022 53.723 Kurs 14.320 Biaya adm Bank</t>
  </si>
  <si>
    <t>TARIKAN TUNAI 0470485-0 Payment Inv W5-0461/2021 62.248 Kurs 14.320</t>
  </si>
  <si>
    <t>TARIKAN TUNAI 0470485-0 Payment Inv W5-0461/2021 62.248 Kurs 14.320 - Biaya adm Bank</t>
  </si>
  <si>
    <t>TARIKAN TUNAI 0470485-0 Payment Inv W5-0461/2021 62.248 Kurs 14.320 - Selisih Kurs</t>
  </si>
  <si>
    <t>12-0124 ANGELA ANGE PUSPIT GLOBINDO</t>
  </si>
  <si>
    <t>03/14 95031 CV TRI JAYA DINAMIKA INDRA ALAM</t>
  </si>
  <si>
    <t>ANUGERAH PERSADA MULIA</t>
  </si>
  <si>
    <t>Inv 01-0019 ANGELA ANGE PUSPITA GLOBINDO</t>
  </si>
  <si>
    <t>DP PO NItril 077 ANGELA ANGE PUSPITA GLOBINDO</t>
  </si>
  <si>
    <t>PT. ERLIMPEX -IDR-SG/22/02-0092</t>
  </si>
  <si>
    <t>PURESHIELD ANUGERAH MAHIRA PRATAMA</t>
  </si>
  <si>
    <t>by kirim feb 22 ANUGERAH MAHIRA PR Penggantian Ongkir Mahira Feb 2022</t>
  </si>
  <si>
    <t>ANGELA ANGE PUSPITA GLOBINDO 03/18 95031 01 0017</t>
  </si>
  <si>
    <t>ANGELA ANGE PUSPIT 03/18 95031 DP PO NITRIL 085</t>
  </si>
  <si>
    <t>ANGELA ANGE PUSPIT 03/18 95031 01 0026</t>
  </si>
  <si>
    <t>LLG-MANDIRI PT ENDO INV 0061, 0062 , 0 070</t>
  </si>
  <si>
    <t>03/21 95031 CV TRI JAYA DINAMIKA INDRA ALAM</t>
  </si>
  <si>
    <t>nitril s MEDIVA BERKAH PERM</t>
  </si>
  <si>
    <t>01-0025 ANGELA ANGE PUSPIT</t>
  </si>
  <si>
    <t>03/24 95031 KONDOM P BUDI SYAHDU HILAL</t>
  </si>
  <si>
    <t>PO220225_001 SPIRIT SEHAT SUKSE</t>
  </si>
  <si>
    <t>01-0031 ANGELA ANGE PUSPIT</t>
  </si>
  <si>
    <t>by kirim feb 22 ANUGERAH MAHIRA PR</t>
  </si>
  <si>
    <t>intouch mahira ANUGERAH MAHIRA PRATAMA</t>
  </si>
  <si>
    <t>Pembayaran sarung tangan CV SEMESTA MULIA M</t>
  </si>
  <si>
    <t>Tarikan Cek DR 470486 Payment KB-0513/2022 Kurs 13.340, USD 22.600</t>
  </si>
  <si>
    <t>Tarikan Cek DR 470486 Payment KB-0513/2022 Kurs 13.340, USD 22.600 - Biaya Adm Bank</t>
  </si>
  <si>
    <t>Tarikan Cek DR 470486 Payment KB-0513/2022 Kurs 13.340, USD 22.600 - Selisih Kurs (Gain)</t>
  </si>
  <si>
    <t>Tarikan Cek DR 470486 Payment W5-0051/2022 Kurs 14340, USD 55.868</t>
  </si>
  <si>
    <t>Tarikan Cek DR 470486 Payment W5-0051/2022 Kurs 14340, USD 55.868 - Biaya Adm Bank</t>
  </si>
  <si>
    <t>Tarikan Cek DR 470486 Payment W5-0051/2022 Kurs 14340, USD 55.868 - Selisih Kurs (Gain)</t>
  </si>
  <si>
    <t xml:space="preserve">Pelunasan Mediva </t>
  </si>
  <si>
    <t>01-0053, 0062, 0061 ANGELA ANGE PUSPIT GLOBINDO</t>
  </si>
  <si>
    <t>DP PO NItril 093 ANGELA ANGE PUSPIT</t>
  </si>
  <si>
    <t>PO220329_003 SPIRIT SEHAT SUKS</t>
  </si>
  <si>
    <t>01 0079 ANGELA ANGE PUSPIT</t>
  </si>
  <si>
    <t>Kurs Tengah BI 14.349,005</t>
  </si>
  <si>
    <t>BCA8615</t>
  </si>
  <si>
    <t>BCA8623</t>
  </si>
  <si>
    <t>Selisih Kurs Saldo Rek BCA USD</t>
  </si>
  <si>
    <t>KK/III/001</t>
  </si>
  <si>
    <t>Gelas + Tutup Gelas</t>
  </si>
  <si>
    <t>KK/III/002</t>
  </si>
  <si>
    <t>Kue - Kue Konsumsi knowlagde Produk</t>
  </si>
  <si>
    <t>KK/III/003</t>
  </si>
  <si>
    <t>Rumah Makan Karunia Jaya_ Nasi + Ayam, nasi + Rendang, Peyek _Konsumsi knowlagde Produk</t>
  </si>
  <si>
    <t>KK/III/004</t>
  </si>
  <si>
    <t>Indomaret _ Susu Kental Manis</t>
  </si>
  <si>
    <t>KK/III/005</t>
  </si>
  <si>
    <t xml:space="preserve">Spon cuci </t>
  </si>
  <si>
    <t>KK/III/006</t>
  </si>
  <si>
    <t>KK/III/007</t>
  </si>
  <si>
    <t>KK/III/008</t>
  </si>
  <si>
    <t>GrabFood The harvest_cake</t>
  </si>
  <si>
    <t>GoBox | 22/03-0030,0031,0036 | PT. AMP_SMG &amp; PT. APM_SMG</t>
  </si>
  <si>
    <t>GoBox | 22/03-0042-0046 | PT. APM_SMG</t>
  </si>
  <si>
    <t>GoBox | 22/03-0041 | PT. Endo_TNG</t>
  </si>
  <si>
    <t>Kuli | 22/03-0030,0031,0036 | PT. AMP_SMG &amp; PT. APM_SMG</t>
  </si>
  <si>
    <t>Parkir | 22/03-0030,0031,0036 | PT. AMP_SMG &amp; PT. APM_SMG</t>
  </si>
  <si>
    <t>Tol Karang TGH 2 | 22/03-0030,0031,0036 | PT. AMP_SMG &amp; PT. APM_SMG</t>
  </si>
  <si>
    <t>Tol Karang TGH 1 | 22/03-0030,0031,0036 | PT. AMP_SMG &amp; PT. APM_SMG</t>
  </si>
  <si>
    <t>Kobra | 22/03-0036 | PT. AMP_SMG</t>
  </si>
  <si>
    <t>Parkir | 22/03-0042-0046 | PT. APM_SMG</t>
  </si>
  <si>
    <t>Tol Pondok cabe | 22/03-0041 | PT. Endo_TNG</t>
  </si>
  <si>
    <t>Tol Pamulang | 22/03-0041 | PT. Endo_TNG</t>
  </si>
  <si>
    <t>Tol Karang TGH 2 | 22/03-0042-0046 | PT. APM_SMG</t>
  </si>
  <si>
    <t>Tol Kunciran 3 | 22/03-0041 | PT. Endo_TNG</t>
  </si>
  <si>
    <t>Kobra M/02-1665 | 22/03-0042-0046 | PT. APM_SMG</t>
  </si>
  <si>
    <t>Kobra M/02-1125 | 22/03-0030,0031| PT. APM_SMG</t>
  </si>
  <si>
    <t>Revil Canon PG-740</t>
  </si>
  <si>
    <t>Revil Canon PG-740 - PPN Masukan</t>
  </si>
  <si>
    <t>Sentral Cargo 00014220904 | 22/03-0026 | Eka Hospital_PKU</t>
  </si>
  <si>
    <t>Lap UM Teguh 1 Maret</t>
  </si>
  <si>
    <t>Satpam</t>
  </si>
  <si>
    <t>Nasi Padang</t>
  </si>
  <si>
    <t>Aqua 1,5 L</t>
  </si>
  <si>
    <t>Lap UM Teguh 7 Maret</t>
  </si>
  <si>
    <t>Kekurangan UM Teguh tgl 1 Mar dan 7 Mar</t>
  </si>
  <si>
    <t>GoBox | 22/03-0006,0008 | PT. APM_SMG &amp; Rsud Aji Barang</t>
  </si>
  <si>
    <t>GrabEkspress | 22/03-0014 | PT. APM_SMG</t>
  </si>
  <si>
    <t>Parkir | 22/03-0006,0008 | PT. APM_SMG &amp; Rsud Aji Barang</t>
  </si>
  <si>
    <t>Tol Karang TGH 2 | 22/03-0006,0008 | PT. APM_SMG &amp; Rsud Aji Barang</t>
  </si>
  <si>
    <t>Tol Karang TGH 1 | 22/03-0006,0008 | PT. APM_SMG &amp; Rsud Aji Barang</t>
  </si>
  <si>
    <t>Parkir | 22/03-0011 | Eka Hospital_BSD</t>
  </si>
  <si>
    <t>Bensin | 22/03-0011 | Eka Hospital_BSD</t>
  </si>
  <si>
    <t>To Karang TGH 2| 22/03-0014 | PT. APM_SMG</t>
  </si>
  <si>
    <t>Kobra M/02-9685 | 22/03-0006,0008 | PT. APM_SMG</t>
  </si>
  <si>
    <t>Kobra M/02-9683 | 22/03-0007 | RSUD AJI Barang</t>
  </si>
  <si>
    <t>GoBox | 22/03-0023 | PT. Endo_TNG</t>
  </si>
  <si>
    <t>GoBox | 22/03-0028 | PT. AMP_SMG</t>
  </si>
  <si>
    <t>Bensin | 22/03-0018 | Eka Hospital_BSD</t>
  </si>
  <si>
    <t>Parkir | 22/03-0018 | Eka Hospital_BSD</t>
  </si>
  <si>
    <t>Parkir | 22/03-0028 | PT. AMP_SMG</t>
  </si>
  <si>
    <t>Tol Kunciran | 22/03-0023 | PT. Endo_TNG</t>
  </si>
  <si>
    <t>Tol Pamulang | 22/03-0023 | PT. Endo_TNG</t>
  </si>
  <si>
    <t>Tol karang TGH | 22/03-0028 | PT. AMP_SMG</t>
  </si>
  <si>
    <t>Kobra N/02-0805 | 22/03-0028 | PT. AMP_SMG</t>
  </si>
  <si>
    <t>Sentral Cargo 00014220649 | 22/03-0021,0023 | Eka Hospital_PKU</t>
  </si>
  <si>
    <t>Aqua Galon 2 &amp; Aqua 600 ML</t>
  </si>
  <si>
    <t>Lap UM Samhadi 1 Mar 2022</t>
  </si>
  <si>
    <t>Refund Report Samhadi 1 Mar 2022</t>
  </si>
  <si>
    <t>Kuli 7 Orang X 150.000</t>
  </si>
  <si>
    <t>Nasi Padang 10 Bungkus</t>
  </si>
  <si>
    <t>Aqua 1,5 L ( 10  Botol )</t>
  </si>
  <si>
    <t>Es Nutrisari</t>
  </si>
  <si>
    <t>Lap UM Teguh 16 Mar 2022</t>
  </si>
  <si>
    <t>GoBox | 22/03-0050,0051 | PT. AMP_SMG</t>
  </si>
  <si>
    <t>GoBox | Titipan barang Ke Pak Feri</t>
  </si>
  <si>
    <t>Tol Karang TGH 2 | 22/03-0050,0051 | PT. AMP_SMG</t>
  </si>
  <si>
    <t>Tol Karang TGH 1 | 22/03-0050,0051 | PT. AMP_SMG</t>
  </si>
  <si>
    <t>Parkir | Titipan barang Ke Pak Feri</t>
  </si>
  <si>
    <t>Kuli | Titipan barang Ke Pak Feri</t>
  </si>
  <si>
    <t>Parkir | 22/03-0050,0051 | PT. AMP_SMG</t>
  </si>
  <si>
    <t>Kobra N/02-1942 | 22/03-0050,0051 | PT. AMP_SMG</t>
  </si>
  <si>
    <t>CMC 101370445 | Titipan barang Ke Pak Feri</t>
  </si>
  <si>
    <t>Parkir | 22/03-0055 | Eka hospital_BSD</t>
  </si>
  <si>
    <t>Bensin | 22/03-0055 | Eka hospital_BSD</t>
  </si>
  <si>
    <t>Bensin | Tukar faktur</t>
  </si>
  <si>
    <t>parkir | Tukar faktur</t>
  </si>
  <si>
    <t>bensin | 22/03-0066 | Eka Hospital_BSD</t>
  </si>
  <si>
    <t>GoBox | 22/03-0070 | PT. AMP_SMG</t>
  </si>
  <si>
    <t>Parkir | 22/03-0069 | Eka Hospital_BSD</t>
  </si>
  <si>
    <t>Tol Karang TGH 1 | 22/03-0070 | PT. AMP_SMG</t>
  </si>
  <si>
    <t>Tol Karang TGH 2 | 22/03-0070 | PT. AMP_SMG</t>
  </si>
  <si>
    <t>Parkir | 22/03-0070 | PT. AMP_SMG</t>
  </si>
  <si>
    <t>Bensin | 22/03-0069 | Eka Hospital_BSD</t>
  </si>
  <si>
    <t>Lap UM Samhadi tgl 11 Mar 2022</t>
  </si>
  <si>
    <t>Refund Um samhadi tgl 11 Mar</t>
  </si>
  <si>
    <t>Sentral Cargo 00014221767 | 22/03-0067 | RS. Pelata</t>
  </si>
  <si>
    <t>GrabBike | 22/03-0061,0062 | PT. Globindo</t>
  </si>
  <si>
    <t>GoBox | 22/03-0061,0062 | PT. Globindo</t>
  </si>
  <si>
    <t>Tol Karang TGH 1 | 22/03-0061,0062 | PT. Globindo</t>
  </si>
  <si>
    <t>Tol Meruya | 22/03-0061,0062 | PT. Globindo</t>
  </si>
  <si>
    <t>Parkir RS Eka Hospital_CBB | Tukar faktur</t>
  </si>
  <si>
    <t>Bensin RS Eka Hospital_CBB | Tukar faktur</t>
  </si>
  <si>
    <t>Parkir Tanjung Priok | Kirim Dkumen</t>
  </si>
  <si>
    <t>Bensin | 22/03-0097,0101 | Eka Hospital_BSD</t>
  </si>
  <si>
    <t>Parkir | 22/03-0097,0101 | Eka Hospital_BSD</t>
  </si>
  <si>
    <t>Bensin | Kirim Dkumen</t>
  </si>
  <si>
    <t>JNE 0101400420677822 | Dokumen Pak Syaiin</t>
  </si>
  <si>
    <t>Aqua Galon 2 &amp; Aqua 600 ML ( 1 Dus )</t>
  </si>
  <si>
    <t>GrabExpress | 22/03-0094 | PT. Globindo</t>
  </si>
  <si>
    <t>GrabBike | 22/03-0094 | PT. Globindo</t>
  </si>
  <si>
    <t>Kobra N/02-4052 | 22/03-0075,0076 | PT. AMP_SMG</t>
  </si>
  <si>
    <t>GoBox | 22/03-0075,0076 | PT. AMP_SMG</t>
  </si>
  <si>
    <t>GrabBike | 22/03-0075,0076 | PT. AMP_SMG</t>
  </si>
  <si>
    <t>Kuli | 22/03-0075,0076 | PT. AMP_SMG</t>
  </si>
  <si>
    <t>Tol Karang TGH 1 | 22/03-0075,0076 | PT. AMP_SMG</t>
  </si>
  <si>
    <t>Parkir | 22/03-0079 | Eka Hospital_BSD</t>
  </si>
  <si>
    <t>Bensin | 22/03-0079 | Eka Hospital_BSD</t>
  </si>
  <si>
    <t>GoBox | 22/03-0080-0083 | PT. Erlimpex &amp; PT. APM_SMG</t>
  </si>
  <si>
    <t>GrabBike | 22/03-0080-0083 | PT. Erlimpex &amp; PT. APM_SMG</t>
  </si>
  <si>
    <t>Tol Karang TGH 1 | 22/03-0080-0083 | PT. Erlimpex &amp; PT. APM_SMG</t>
  </si>
  <si>
    <t>Kobra N/02-4434 | 22/03-0080-0081 | PT. Erlimpex</t>
  </si>
  <si>
    <t>JNE 01040038620622 Sample Pak jihad</t>
  </si>
  <si>
    <t>Yang harus di Refund Teguh</t>
  </si>
  <si>
    <t>Lap UM Teguh tgl 11 Mar 22</t>
  </si>
  <si>
    <t>Refund UM Tegih 11 Mar 22</t>
  </si>
  <si>
    <t>Kobra N/02-1666 22/03-0049 AMP</t>
  </si>
  <si>
    <t>Kobra M/02-1125 | 22/03-0030,0031| PT. APM_SMG - refund Ongkir sdh dibayarkan Persada</t>
  </si>
  <si>
    <t>Hari Hari Pasar Swalayan / belanja pentry</t>
  </si>
  <si>
    <t>Lap UM Samhadi Pantry 21 Feb 2022</t>
  </si>
  <si>
    <t>Lap Uang Muka Pak Syahdu</t>
  </si>
  <si>
    <t>Bahan bakar minyak Cirebon, 12-13 Januari 2022</t>
  </si>
  <si>
    <t>Sarapan Cirebon, 12-13 Januari 2022</t>
  </si>
  <si>
    <t>Makan malam Cirebon, 12-13 Januari 2022</t>
  </si>
  <si>
    <t>Snack Cirebon, 12-13 Januari 2022</t>
  </si>
  <si>
    <t>Makan malam Semarang, 14-19 Januari 2022</t>
  </si>
  <si>
    <t>Makan siang Semarang, 14-19 Januari 2022</t>
  </si>
  <si>
    <t>Laundry Semarang, 14-19 Januari 2022</t>
  </si>
  <si>
    <t>Snack meeting dengan persada Semarang, 14-19 Januari 2022</t>
  </si>
  <si>
    <t>Sarapan Surabaya, 18-20 Januari 2022</t>
  </si>
  <si>
    <t>Makan malam Surabaya, 18-20 Januari 2022</t>
  </si>
  <si>
    <t>Snack Surabaya, 18-20 Januari 2022</t>
  </si>
  <si>
    <t>Refill e-toll No. 6032 9840 4863 7270 Surabaya, 18-20 Januari 2022</t>
  </si>
  <si>
    <t>Makan siang Surabaya, 18-20 Januari 2022</t>
  </si>
  <si>
    <t>Bahan bakar minyak Surabaya, 18-20 Januari 2022</t>
  </si>
  <si>
    <t>Hotel, 1 hari Surabaya, 18-20 Januari 2022</t>
  </si>
  <si>
    <t>Hadiah pemirsa untuk acara azken Surabaya, 18-20 Januari 2022</t>
  </si>
  <si>
    <t>Kirim kalender ke Padma Surabaya, 18-20 Januari 2022</t>
  </si>
  <si>
    <t>Sarapan Bandung, 24 Januari 2022</t>
  </si>
  <si>
    <t>Makan siang Bandung, 24 Januari 2022</t>
  </si>
  <si>
    <t>Refill e-toll No. 6032 9840 4863 7270 Bandung, 24 Januari 2022</t>
  </si>
  <si>
    <t>Bahan bakar minyak Bandung, 24 Januari 2022</t>
  </si>
  <si>
    <t>Makan malam Bandung, 24 Januari 2022</t>
  </si>
  <si>
    <t>Bahan bakar minyak</t>
  </si>
  <si>
    <t>Makan siang</t>
  </si>
  <si>
    <t>Snack Bandung, 21-25 Februari 2022</t>
  </si>
  <si>
    <t>Makan malam Bandung, 21-25 Februari 2022</t>
  </si>
  <si>
    <t>Bahan bakar minyak Bandung, 21-25 Februari 2022</t>
  </si>
  <si>
    <t>Refill e-toll No. 6032 9840 4863 7270 Bandung, 21-25 Februari 2022</t>
  </si>
  <si>
    <t>Sarapan Bandung, 21-25 Februari 2022</t>
  </si>
  <si>
    <t>Sarapan dan snack Bandung, 21-25 Februari 2022</t>
  </si>
  <si>
    <t>Makan siang Bandung, 21-25 Februari 2022</t>
  </si>
  <si>
    <t>Makan siang dengan Management MRB Bandung, 21-25 Februari 2022</t>
  </si>
  <si>
    <t>Uang Dinas Syahdu, 16 hari</t>
  </si>
  <si>
    <t>Claim Kekurangan UM Pak Syahdu</t>
  </si>
  <si>
    <t>Lap UM Pak Ari Imanuel</t>
  </si>
  <si>
    <t>Gasoline (BBM, Pakir)</t>
  </si>
  <si>
    <t>Makan dan Hotel</t>
  </si>
  <si>
    <t>Claim Kekurangan UM Pak ARI</t>
  </si>
  <si>
    <t>Lap UM Pak Ari 7 Feb 2022</t>
  </si>
  <si>
    <t>Lap UM Kusbi 1 Mar 2022</t>
  </si>
  <si>
    <t>Bensin | 22/03-0033 | PT. Prima</t>
  </si>
  <si>
    <t>Bensin | 22/03-0025 | Eka Hospital_BKS</t>
  </si>
  <si>
    <t>Bensin Avanza | 22/03-0012,0013 | PT. Globindo</t>
  </si>
  <si>
    <t>Bensin | Tukar Faktur Ke rs Eka Hospital_BKS</t>
  </si>
  <si>
    <t>Bensin Avanza | 22/03-0037,0038 | Eka Hospital_CBB</t>
  </si>
  <si>
    <t>Bensin | 22/03-0020 | Eka Hospital_BKS</t>
  </si>
  <si>
    <t>bensin | 22/03-0068 | Eka Hospital_BKS</t>
  </si>
  <si>
    <t>Isi Nitrogen Avanza</t>
  </si>
  <si>
    <t>Parkir | 22/03-0010 | PT. Sepakat</t>
  </si>
  <si>
    <t>Parkir | 22/03-0063 | PT. Sepakat</t>
  </si>
  <si>
    <t>Sentral Cargo 00014222262 | 22/03-0085 | Eka Hospital_PKU</t>
  </si>
  <si>
    <t>Sentral cargo 00014221490 | 22/03-0058 | Eka Hospital_PKU</t>
  </si>
  <si>
    <t>CMC 101365118 | 22/03-0033 | PT. Prima_JMB</t>
  </si>
  <si>
    <t>CMC 101356951 | 22/03-0010 | PT. Sepakat_ACH</t>
  </si>
  <si>
    <t>Refund Yang harus di kembalikan</t>
  </si>
  <si>
    <t>GoBox | 22/03-0084 | PT. Padma_BLI</t>
  </si>
  <si>
    <t>Tol kamal 1 | 22/03-0084 | PT. Padma_BLI</t>
  </si>
  <si>
    <t>Tol Tomang | 22/03-0084 | PT. Padma_BLI</t>
  </si>
  <si>
    <t>Tol karang TGH 2 | 22/03-0084 | PT. Padma_BLI</t>
  </si>
  <si>
    <t>Parkir | 22/03-0084 | PT. Padma_BLI</t>
  </si>
  <si>
    <t>Kuli | 22/03-0084 | PT. Padma_BLI</t>
  </si>
  <si>
    <t>GoBox | 22/03-0086 | PT. Endo_TNG</t>
  </si>
  <si>
    <t>Tol Kunciran 3 | 22/03-0086 | PT. Endo_TNG</t>
  </si>
  <si>
    <t>Tol Pamulang | 22/03-0086 | PT. Endo_TNG</t>
  </si>
  <si>
    <t>Tol Kunciran 1 | 22/03-0086 | PT. Endo_TNG</t>
  </si>
  <si>
    <t>Tol Kunciran 2 | 22/03-0086 | PT. Endo_TNG</t>
  </si>
  <si>
    <t>Bensin | 22/03-0002 | Pak Budi</t>
  </si>
  <si>
    <t>Kobra N/02-5356 | 22/03-0093 | CV. Semesta_SDJ</t>
  </si>
  <si>
    <t>GoBox | 22/03-0093 | CV. Semesta_SDJ</t>
  </si>
  <si>
    <t>Tol Karang TGH 2 | 22/03-0093 | CV. Semesta_SDJ</t>
  </si>
  <si>
    <t>Tol Karang TGH 1 | 22/03-0093 | CV. Semesta_SDJ</t>
  </si>
  <si>
    <t>Parkir | 22/03-0093 | CV. Semesta_SDJ</t>
  </si>
  <si>
    <t>GoBox | 22/03-0096 | PT. AMP_SMG</t>
  </si>
  <si>
    <t>Tol Karang TGH 1 | 22/03-0096 | PT. AMP_SMG</t>
  </si>
  <si>
    <t>Tol Karang TGH 2 | 22/03-0096 | PT. AMP_SMG</t>
  </si>
  <si>
    <t>Parkir | 22/03-0096 | PT. AMP_SMG</t>
  </si>
  <si>
    <t>Kobra N/02-5779 | 22/03-0096 | PT. AMP_SMG</t>
  </si>
  <si>
    <t>Lap UM Samhadi 23 Mar 2022</t>
  </si>
  <si>
    <t>Claim UM Samhadi</t>
  </si>
  <si>
    <t>Sopir Kontainer</t>
  </si>
  <si>
    <t>Nasi Padang / 9 Bungkus</t>
  </si>
  <si>
    <t>Aqua 1,5 L / 9 Botol</t>
  </si>
  <si>
    <t>Lap Uang Muka 24 Mar 22</t>
  </si>
  <si>
    <t>Refund Yang harus di kembalikan Teguh</t>
  </si>
  <si>
    <t>Menset off PK PM Bulan Maret 2022</t>
  </si>
  <si>
    <t>Payment Powdered mengurangi Piutang TMI</t>
  </si>
  <si>
    <t>Beban Sewa Dibayar Dimuka Mar 2022</t>
  </si>
  <si>
    <t>Sewa Dibayar Dimuka Mar 2022</t>
  </si>
  <si>
    <t>Biaya asuransi Kendaraan ke 19-36</t>
  </si>
  <si>
    <t>Penyusutan Aktiva Mar 2022 -  Kendaraan</t>
  </si>
  <si>
    <t>Penyusutan Aktiva Mar 2022 - Inventaris Kantor</t>
  </si>
  <si>
    <t>HPP Persediaan Maret - Intouch</t>
  </si>
  <si>
    <t>HPP Persediaan Maret - Exam</t>
  </si>
  <si>
    <t>HPP Persediaan Maret - Condom</t>
  </si>
  <si>
    <t>Pemberian Sample</t>
  </si>
  <si>
    <t>PPh 21 Atas Gaji Karyawan Masa Maret 2022</t>
  </si>
  <si>
    <t>Penyerahan yang PPN-nya dipungut oleh pemungut PPN</t>
  </si>
  <si>
    <t>PT EKAMAS INTERNATIONAL HOSPITAL (Inv 37,38,56,60,89,90,91 dan 104) kode Faktur 070 PPN dibebaskan krn Covid</t>
  </si>
  <si>
    <t>Penyerahan yang PPN-nya tidak dipungut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</si>
</sst>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[$-409]dd\-mmm\-yy;@"/>
    <numFmt numFmtId="166" formatCode="_(* #,##0.00_);_(* \(#,##0.00\);_(* &quot;-&quot;_);_(@_)"/>
    <numFmt numFmtId="167" formatCode="_(* #,##0.00_);_(* \(#,##0.00\);_(* &quot;-&quot;??_);_(@_)"/>
    <numFmt numFmtId="168" formatCode="_(* #,##0_);_(* \(#,##0\);_(* &quot;-&quot;??_);_(@_)"/>
    <numFmt numFmtId="169" formatCode="_([$Rp-421]* #,##0_);_([$Rp-421]* \(#,##0\);_([$Rp-421]* &quot;-&quot;_);_(@_)"/>
    <numFmt numFmtId="170" formatCode="_([$Rp-421]* #,##0.00_);_([$Rp-421]* \(#,##0.00\);_([$Rp-421]* &quot;-&quot;_);_(@_)"/>
    <numFmt numFmtId="171" formatCode="#,##0.00_ ;\-#,##0.00\ "/>
    <numFmt numFmtId="172" formatCode="#,##0.##;\-#,##0.##"/>
    <numFmt numFmtId="173" formatCode="dd\ mmm\ yyyy"/>
    <numFmt numFmtId="174" formatCode="_-[$Rp-3809]* #,##0.00_-;\-[$Rp-3809]* #,##0.00_-;_-[$Rp-3809]* &quot;-&quot;??_-;_-@_-"/>
  </numFmts>
  <fonts count="18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1"/>
      <color rgb="FF0070C0"/>
      <name val="Times New Roman"/>
      <family val="1"/>
    </font>
    <font>
      <b/>
      <sz val="14"/>
      <color indexed="12"/>
      <name val="Times New Roman"/>
      <family val="1"/>
    </font>
    <font>
      <sz val="11"/>
      <color indexed="12"/>
      <name val="Times New Roman"/>
      <family val="1"/>
    </font>
    <font>
      <sz val="11"/>
      <color rgb="FFFF0000"/>
      <name val="Times New Roman"/>
      <family val="1"/>
    </font>
    <font>
      <b/>
      <sz val="11"/>
      <color rgb="FFFFFFFF"/>
      <name val="Times New Roman"/>
      <family val="1"/>
    </font>
    <font>
      <sz val="11"/>
      <color rgb="FFFFFFFF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color rgb="FF000000"/>
      <name val="Times New Roman"/>
      <family val="1"/>
    </font>
    <font>
      <sz val="11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2"/>
      </left>
      <right style="thin">
        <color indexed="9"/>
      </right>
      <top style="thin">
        <color indexed="62"/>
      </top>
      <bottom/>
      <diagonal/>
    </border>
    <border>
      <left style="thin">
        <color indexed="9"/>
      </left>
      <right style="thin">
        <color indexed="9"/>
      </right>
      <top style="thin">
        <color indexed="62"/>
      </top>
      <bottom/>
      <diagonal/>
    </border>
    <border>
      <left style="thin">
        <color indexed="9"/>
      </left>
      <right style="thin">
        <color indexed="62"/>
      </right>
      <top style="thin">
        <color indexed="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2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</borders>
  <cellStyleXfs count="6">
    <xf numFmtId="0" fontId="0" fillId="0" borderId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41" fontId="13" fillId="0" borderId="0" applyFont="0" applyFill="0" applyBorder="0" applyAlignment="0" applyProtection="0"/>
    <xf numFmtId="0" fontId="1" fillId="0" borderId="0"/>
  </cellStyleXfs>
  <cellXfs count="342">
    <xf numFmtId="0" fontId="0" fillId="0" borderId="0" xfId="0"/>
    <xf numFmtId="0" fontId="2" fillId="2" borderId="0" xfId="0" applyFont="1" applyFill="1" applyProtection="1">
      <protection locked="0"/>
    </xf>
    <xf numFmtId="165" fontId="4" fillId="2" borderId="0" xfId="2" applyNumberFormat="1" applyFont="1" applyFill="1" applyBorder="1" applyAlignment="1" applyProtection="1">
      <alignment horizontal="left"/>
      <protection locked="0"/>
    </xf>
    <xf numFmtId="165" fontId="2" fillId="2" borderId="0" xfId="2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left"/>
      <protection locked="0"/>
    </xf>
    <xf numFmtId="0" fontId="2" fillId="2" borderId="0" xfId="2" applyNumberFormat="1" applyFont="1" applyFill="1" applyBorder="1" applyAlignment="1" applyProtection="1">
      <alignment horizontal="center"/>
      <protection locked="0"/>
    </xf>
    <xf numFmtId="166" fontId="2" fillId="2" borderId="0" xfId="2" applyNumberFormat="1" applyFont="1" applyFill="1" applyBorder="1" applyAlignment="1" applyProtection="1">
      <alignment horizontal="center"/>
      <protection locked="0"/>
    </xf>
    <xf numFmtId="168" fontId="2" fillId="2" borderId="0" xfId="1" applyNumberFormat="1" applyFont="1" applyFill="1" applyBorder="1" applyAlignment="1" applyProtection="1">
      <protection locked="0"/>
    </xf>
    <xf numFmtId="167" fontId="2" fillId="2" borderId="0" xfId="1" applyFont="1" applyFill="1" applyBorder="1" applyAlignment="1" applyProtection="1">
      <protection locked="0"/>
    </xf>
    <xf numFmtId="167" fontId="2" fillId="3" borderId="0" xfId="1" applyFont="1" applyFill="1" applyBorder="1" applyAlignment="1" applyProtection="1">
      <alignment horizontal="center"/>
      <protection locked="0"/>
    </xf>
    <xf numFmtId="0" fontId="2" fillId="2" borderId="0" xfId="2" applyNumberFormat="1" applyFont="1" applyFill="1" applyBorder="1" applyAlignment="1" applyProtection="1">
      <protection locked="0"/>
    </xf>
    <xf numFmtId="0" fontId="5" fillId="2" borderId="0" xfId="0" applyFont="1" applyFill="1" applyProtection="1">
      <protection locked="0"/>
    </xf>
    <xf numFmtId="0" fontId="2" fillId="0" borderId="0" xfId="0" applyFont="1" applyProtection="1">
      <protection locked="0"/>
    </xf>
    <xf numFmtId="167" fontId="2" fillId="0" borderId="0" xfId="1" applyFont="1" applyFill="1" applyAlignment="1" applyProtection="1">
      <protection locked="0"/>
    </xf>
    <xf numFmtId="168" fontId="2" fillId="2" borderId="0" xfId="1" applyNumberFormat="1" applyFont="1" applyFill="1" applyAlignment="1" applyProtection="1">
      <protection locked="0"/>
    </xf>
    <xf numFmtId="165" fontId="6" fillId="2" borderId="0" xfId="2" applyNumberFormat="1" applyFont="1" applyFill="1" applyBorder="1" applyAlignment="1" applyProtection="1">
      <alignment horizontal="left"/>
      <protection locked="0"/>
    </xf>
    <xf numFmtId="165" fontId="7" fillId="2" borderId="0" xfId="2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left"/>
      <protection locked="0"/>
    </xf>
    <xf numFmtId="165" fontId="2" fillId="0" borderId="0" xfId="2" applyNumberFormat="1" applyFont="1" applyAlignment="1" applyProtection="1">
      <alignment horizontal="center"/>
      <protection locked="0"/>
    </xf>
    <xf numFmtId="166" fontId="5" fillId="2" borderId="0" xfId="2" applyNumberFormat="1" applyFont="1" applyFill="1" applyBorder="1" applyAlignment="1" applyProtection="1">
      <protection locked="0"/>
    </xf>
    <xf numFmtId="166" fontId="2" fillId="2" borderId="0" xfId="2" applyNumberFormat="1" applyFont="1" applyFill="1" applyBorder="1" applyAlignment="1" applyProtection="1"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8" fontId="8" fillId="2" borderId="0" xfId="1" applyNumberFormat="1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166" fontId="8" fillId="2" borderId="0" xfId="2" applyNumberFormat="1" applyFont="1" applyFill="1" applyAlignment="1" applyProtection="1">
      <alignment horizontal="center" vertical="center"/>
      <protection locked="0"/>
    </xf>
    <xf numFmtId="167" fontId="8" fillId="2" borderId="0" xfId="1" applyFont="1" applyFill="1" applyAlignment="1" applyProtection="1">
      <alignment horizontal="center" vertical="center"/>
      <protection locked="0"/>
    </xf>
    <xf numFmtId="167" fontId="8" fillId="3" borderId="0" xfId="1" applyFont="1" applyFill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/>
      <protection locked="0"/>
    </xf>
    <xf numFmtId="0" fontId="9" fillId="4" borderId="2" xfId="0" applyFont="1" applyFill="1" applyBorder="1" applyAlignment="1" applyProtection="1">
      <alignment horizontal="center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0" fontId="9" fillId="4" borderId="0" xfId="0" applyFont="1" applyFill="1" applyProtection="1">
      <protection locked="0"/>
    </xf>
    <xf numFmtId="165" fontId="9" fillId="4" borderId="4" xfId="2" applyNumberFormat="1" applyFont="1" applyFill="1" applyBorder="1" applyAlignment="1" applyProtection="1">
      <alignment horizontal="center"/>
      <protection locked="0"/>
    </xf>
    <xf numFmtId="0" fontId="9" fillId="4" borderId="4" xfId="0" applyFont="1" applyFill="1" applyBorder="1" applyAlignment="1" applyProtection="1">
      <alignment horizontal="center"/>
      <protection locked="0"/>
    </xf>
    <xf numFmtId="0" fontId="9" fillId="4" borderId="4" xfId="2" applyNumberFormat="1" applyFont="1" applyFill="1" applyBorder="1" applyAlignment="1" applyProtection="1">
      <alignment horizontal="center"/>
      <protection locked="0"/>
    </xf>
    <xf numFmtId="166" fontId="9" fillId="4" borderId="4" xfId="2" applyNumberFormat="1" applyFont="1" applyFill="1" applyBorder="1" applyAlignment="1" applyProtection="1">
      <alignment horizontal="center"/>
      <protection locked="0"/>
    </xf>
    <xf numFmtId="168" fontId="9" fillId="4" borderId="4" xfId="1" applyNumberFormat="1" applyFont="1" applyFill="1" applyBorder="1" applyAlignment="1" applyProtection="1">
      <alignment horizontal="center"/>
      <protection locked="0"/>
    </xf>
    <xf numFmtId="167" fontId="9" fillId="4" borderId="4" xfId="1" applyFont="1" applyFill="1" applyBorder="1" applyAlignment="1" applyProtection="1">
      <alignment horizontal="center"/>
      <protection locked="0"/>
    </xf>
    <xf numFmtId="167" fontId="10" fillId="3" borderId="5" xfId="1" applyFont="1" applyFill="1" applyBorder="1" applyAlignment="1" applyProtection="1">
      <alignment horizontal="center"/>
      <protection locked="0"/>
    </xf>
    <xf numFmtId="0" fontId="9" fillId="4" borderId="5" xfId="2" applyNumberFormat="1" applyFont="1" applyFill="1" applyBorder="1" applyAlignment="1" applyProtection="1">
      <alignment horizontal="center"/>
      <protection locked="0"/>
    </xf>
    <xf numFmtId="166" fontId="9" fillId="4" borderId="0" xfId="2" applyNumberFormat="1" applyFont="1" applyFill="1" applyBorder="1" applyAlignment="1" applyProtection="1">
      <alignment horizontal="center"/>
      <protection locked="0"/>
    </xf>
    <xf numFmtId="166" fontId="9" fillId="4" borderId="0" xfId="2" applyNumberFormat="1" applyFont="1" applyFill="1" applyBorder="1" applyAlignment="1" applyProtection="1">
      <protection locked="0"/>
    </xf>
    <xf numFmtId="0" fontId="11" fillId="0" borderId="0" xfId="0" applyFont="1" applyProtection="1">
      <protection locked="0"/>
    </xf>
    <xf numFmtId="167" fontId="11" fillId="0" borderId="0" xfId="1" applyFont="1" applyFill="1" applyAlignment="1" applyProtection="1">
      <protection locked="0"/>
    </xf>
    <xf numFmtId="0" fontId="11" fillId="2" borderId="0" xfId="0" applyFont="1" applyFill="1" applyProtection="1">
      <protection locked="0"/>
    </xf>
    <xf numFmtId="168" fontId="11" fillId="2" borderId="0" xfId="1" applyNumberFormat="1" applyFont="1" applyFill="1" applyAlignment="1" applyProtection="1">
      <protection locked="0"/>
    </xf>
    <xf numFmtId="0" fontId="9" fillId="4" borderId="6" xfId="0" applyFont="1" applyFill="1" applyBorder="1" applyAlignment="1" applyProtection="1">
      <alignment horizontal="center"/>
      <protection locked="0"/>
    </xf>
    <xf numFmtId="0" fontId="9" fillId="4" borderId="7" xfId="0" applyFont="1" applyFill="1" applyBorder="1" applyAlignment="1" applyProtection="1">
      <alignment horizontal="center"/>
      <protection locked="0"/>
    </xf>
    <xf numFmtId="0" fontId="9" fillId="4" borderId="8" xfId="0" applyFont="1" applyFill="1" applyBorder="1" applyAlignment="1" applyProtection="1">
      <alignment horizontal="center"/>
      <protection locked="0"/>
    </xf>
    <xf numFmtId="165" fontId="9" fillId="4" borderId="9" xfId="0" applyNumberFormat="1" applyFont="1" applyFill="1" applyBorder="1" applyAlignment="1" applyProtection="1">
      <alignment horizontal="center"/>
      <protection locked="0"/>
    </xf>
    <xf numFmtId="0" fontId="9" fillId="4" borderId="9" xfId="0" applyFont="1" applyFill="1" applyBorder="1" applyProtection="1">
      <protection locked="0"/>
    </xf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9" xfId="2" applyNumberFormat="1" applyFont="1" applyFill="1" applyBorder="1" applyAlignment="1" applyProtection="1">
      <alignment horizontal="center"/>
      <protection locked="0"/>
    </xf>
    <xf numFmtId="166" fontId="9" fillId="4" borderId="9" xfId="2" applyNumberFormat="1" applyFont="1" applyFill="1" applyBorder="1" applyAlignment="1" applyProtection="1">
      <alignment horizontal="center"/>
      <protection locked="0"/>
    </xf>
    <xf numFmtId="164" fontId="9" fillId="4" borderId="9" xfId="2" applyFont="1" applyFill="1" applyBorder="1" applyAlignment="1" applyProtection="1">
      <protection locked="0"/>
    </xf>
    <xf numFmtId="167" fontId="9" fillId="4" borderId="9" xfId="1" applyFont="1" applyFill="1" applyBorder="1" applyAlignment="1" applyProtection="1">
      <protection locked="0"/>
    </xf>
    <xf numFmtId="167" fontId="9" fillId="4" borderId="10" xfId="1" applyFont="1" applyFill="1" applyBorder="1" applyAlignment="1" applyProtection="1">
      <protection locked="0"/>
    </xf>
    <xf numFmtId="166" fontId="9" fillId="4" borderId="10" xfId="2" applyNumberFormat="1" applyFont="1" applyFill="1" applyBorder="1" applyAlignment="1" applyProtection="1">
      <protection locked="0"/>
    </xf>
    <xf numFmtId="0" fontId="9" fillId="4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 hidden="1"/>
    </xf>
    <xf numFmtId="0" fontId="2" fillId="0" borderId="12" xfId="0" applyFont="1" applyBorder="1" applyProtection="1">
      <protection locked="0"/>
    </xf>
    <xf numFmtId="165" fontId="2" fillId="0" borderId="12" xfId="0" applyNumberFormat="1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2" fillId="0" borderId="12" xfId="2" applyNumberFormat="1" applyFont="1" applyFill="1" applyBorder="1" applyAlignment="1" applyProtection="1">
      <alignment horizontal="center"/>
      <protection locked="0"/>
    </xf>
    <xf numFmtId="166" fontId="2" fillId="0" borderId="12" xfId="2" applyNumberFormat="1" applyFont="1" applyFill="1" applyBorder="1" applyAlignment="1" applyProtection="1">
      <alignment horizontal="center"/>
      <protection locked="0"/>
    </xf>
    <xf numFmtId="164" fontId="2" fillId="0" borderId="12" xfId="2" applyFont="1" applyFill="1" applyBorder="1" applyAlignment="1" applyProtection="1">
      <alignment horizontal="center" vertical="center"/>
      <protection locked="0"/>
    </xf>
    <xf numFmtId="167" fontId="2" fillId="0" borderId="12" xfId="1" applyFont="1" applyFill="1" applyBorder="1" applyAlignment="1" applyProtection="1">
      <alignment horizontal="center" vertical="center"/>
      <protection locked="0"/>
    </xf>
    <xf numFmtId="169" fontId="2" fillId="0" borderId="12" xfId="3" applyNumberFormat="1" applyFont="1" applyBorder="1" applyAlignment="1" applyProtection="1">
      <alignment horizontal="left" vertical="center"/>
      <protection locked="0"/>
    </xf>
    <xf numFmtId="0" fontId="2" fillId="0" borderId="12" xfId="0" applyFont="1" applyBorder="1" applyProtection="1">
      <protection locked="0" hidden="1"/>
    </xf>
    <xf numFmtId="168" fontId="2" fillId="0" borderId="0" xfId="1" applyNumberFormat="1" applyFont="1" applyFill="1" applyAlignment="1" applyProtection="1">
      <protection locked="0"/>
    </xf>
    <xf numFmtId="165" fontId="2" fillId="0" borderId="12" xfId="0" applyNumberFormat="1" applyFont="1" applyBorder="1" applyAlignment="1">
      <alignment horizontal="center" vertical="top" wrapText="1"/>
    </xf>
    <xf numFmtId="165" fontId="2" fillId="0" borderId="12" xfId="0" applyNumberFormat="1" applyFont="1" applyBorder="1" applyAlignment="1" applyProtection="1">
      <alignment horizontal="center"/>
      <protection locked="0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166" fontId="2" fillId="0" borderId="12" xfId="2" applyNumberFormat="1" applyFont="1" applyFill="1" applyBorder="1" applyAlignment="1">
      <alignment horizontal="center"/>
    </xf>
    <xf numFmtId="168" fontId="2" fillId="0" borderId="12" xfId="1" applyNumberFormat="1" applyFont="1" applyFill="1" applyBorder="1" applyAlignment="1" applyProtection="1">
      <alignment horizontal="center" vertical="center"/>
      <protection locked="0"/>
    </xf>
    <xf numFmtId="167" fontId="2" fillId="3" borderId="12" xfId="1" applyFont="1" applyFill="1" applyBorder="1" applyAlignment="1" applyProtection="1">
      <alignment horizontal="center" vertical="center"/>
      <protection locked="0"/>
    </xf>
    <xf numFmtId="166" fontId="2" fillId="0" borderId="12" xfId="2" applyNumberFormat="1" applyFont="1" applyFill="1" applyBorder="1" applyAlignment="1">
      <alignment horizontal="center" vertical="top" wrapText="1"/>
    </xf>
    <xf numFmtId="0" fontId="2" fillId="0" borderId="12" xfId="0" applyFont="1" applyBorder="1" applyAlignment="1">
      <alignment vertical="center"/>
    </xf>
    <xf numFmtId="2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top"/>
    </xf>
    <xf numFmtId="166" fontId="2" fillId="0" borderId="12" xfId="2" applyNumberFormat="1" applyFont="1" applyFill="1" applyBorder="1" applyAlignment="1">
      <alignment horizontal="right"/>
    </xf>
    <xf numFmtId="2" fontId="2" fillId="0" borderId="12" xfId="0" applyNumberFormat="1" applyFont="1" applyBorder="1" applyAlignment="1">
      <alignment horizontal="right"/>
    </xf>
    <xf numFmtId="166" fontId="2" fillId="0" borderId="12" xfId="2" applyNumberFormat="1" applyFont="1" applyFill="1" applyBorder="1" applyAlignment="1">
      <alignment horizontal="right" vertical="top" wrapText="1"/>
    </xf>
    <xf numFmtId="166" fontId="2" fillId="0" borderId="12" xfId="2" applyNumberFormat="1" applyFont="1" applyFill="1" applyBorder="1" applyAlignment="1">
      <alignment vertical="top" wrapText="1"/>
    </xf>
    <xf numFmtId="2" fontId="2" fillId="0" borderId="12" xfId="0" applyNumberFormat="1" applyFont="1" applyBorder="1"/>
    <xf numFmtId="166" fontId="2" fillId="0" borderId="12" xfId="2" applyNumberFormat="1" applyFont="1" applyFill="1" applyBorder="1" applyAlignment="1"/>
    <xf numFmtId="166" fontId="2" fillId="0" borderId="12" xfId="2" applyNumberFormat="1" applyFont="1" applyFill="1" applyBorder="1" applyAlignment="1" applyProtection="1">
      <protection locked="0"/>
    </xf>
    <xf numFmtId="0" fontId="2" fillId="0" borderId="12" xfId="1" applyNumberFormat="1" applyFont="1" applyFill="1" applyBorder="1" applyAlignment="1" applyProtection="1">
      <alignment horizontal="center" vertical="center"/>
      <protection locked="0"/>
    </xf>
    <xf numFmtId="0" fontId="2" fillId="5" borderId="12" xfId="0" applyFont="1" applyFill="1" applyBorder="1" applyProtection="1">
      <protection locked="0"/>
    </xf>
    <xf numFmtId="165" fontId="2" fillId="5" borderId="12" xfId="0" applyNumberFormat="1" applyFont="1" applyFill="1" applyBorder="1" applyAlignment="1">
      <alignment horizontal="center" vertical="top" wrapText="1"/>
    </xf>
    <xf numFmtId="0" fontId="2" fillId="5" borderId="12" xfId="0" applyFont="1" applyFill="1" applyBorder="1" applyAlignment="1">
      <alignment vertical="top" wrapText="1"/>
    </xf>
    <xf numFmtId="0" fontId="2" fillId="5" borderId="12" xfId="0" applyFont="1" applyFill="1" applyBorder="1" applyAlignment="1">
      <alignment horizontal="left" vertical="top" wrapText="1"/>
    </xf>
    <xf numFmtId="0" fontId="2" fillId="5" borderId="12" xfId="0" applyFont="1" applyFill="1" applyBorder="1" applyAlignment="1">
      <alignment horizontal="center" vertical="top" wrapText="1"/>
    </xf>
    <xf numFmtId="166" fontId="2" fillId="5" borderId="12" xfId="2" applyNumberFormat="1" applyFont="1" applyFill="1" applyBorder="1" applyAlignment="1">
      <alignment horizontal="center" vertical="top" wrapText="1"/>
    </xf>
    <xf numFmtId="164" fontId="2" fillId="5" borderId="12" xfId="2" applyFont="1" applyFill="1" applyBorder="1" applyAlignment="1" applyProtection="1">
      <alignment horizontal="center" vertical="center"/>
      <protection locked="0"/>
    </xf>
    <xf numFmtId="167" fontId="2" fillId="5" borderId="12" xfId="1" applyFont="1" applyFill="1" applyBorder="1" applyAlignment="1">
      <alignment horizontal="right" vertical="top" wrapText="1"/>
    </xf>
    <xf numFmtId="169" fontId="2" fillId="5" borderId="12" xfId="3" applyNumberFormat="1" applyFont="1" applyFill="1" applyBorder="1" applyAlignment="1" applyProtection="1">
      <alignment horizontal="left" vertical="center"/>
      <protection locked="0"/>
    </xf>
    <xf numFmtId="0" fontId="2" fillId="5" borderId="12" xfId="0" applyFont="1" applyFill="1" applyBorder="1" applyProtection="1">
      <protection locked="0" hidden="1"/>
    </xf>
    <xf numFmtId="0" fontId="2" fillId="5" borderId="0" xfId="0" applyFont="1" applyFill="1" applyProtection="1">
      <protection locked="0"/>
    </xf>
    <xf numFmtId="168" fontId="2" fillId="5" borderId="0" xfId="1" applyNumberFormat="1" applyFont="1" applyFill="1" applyAlignment="1" applyProtection="1">
      <protection locked="0"/>
    </xf>
    <xf numFmtId="167" fontId="11" fillId="5" borderId="12" xfId="1" applyFont="1" applyFill="1" applyBorder="1" applyAlignment="1">
      <alignment horizontal="right" vertical="top" wrapText="1"/>
    </xf>
    <xf numFmtId="167" fontId="2" fillId="3" borderId="12" xfId="1" applyFont="1" applyFill="1" applyBorder="1" applyAlignment="1">
      <alignment horizontal="center" vertical="top" wrapText="1"/>
    </xf>
    <xf numFmtId="167" fontId="11" fillId="3" borderId="12" xfId="1" applyFont="1" applyFill="1" applyBorder="1" applyAlignment="1">
      <alignment horizontal="center" vertical="top" wrapText="1"/>
    </xf>
    <xf numFmtId="167" fontId="2" fillId="5" borderId="12" xfId="1" applyFont="1" applyFill="1" applyBorder="1" applyAlignment="1">
      <alignment horizontal="center" vertical="top" wrapText="1"/>
    </xf>
    <xf numFmtId="167" fontId="11" fillId="5" borderId="12" xfId="1" applyFont="1" applyFill="1" applyBorder="1" applyAlignment="1">
      <alignment horizontal="center" vertical="top" wrapText="1"/>
    </xf>
    <xf numFmtId="166" fontId="2" fillId="5" borderId="12" xfId="2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vertical="center"/>
    </xf>
    <xf numFmtId="0" fontId="2" fillId="5" borderId="12" xfId="0" applyFont="1" applyFill="1" applyBorder="1" applyAlignment="1">
      <alignment horizontal="left" vertical="center"/>
    </xf>
    <xf numFmtId="170" fontId="2" fillId="5" borderId="12" xfId="3" applyNumberFormat="1" applyFont="1" applyFill="1" applyBorder="1" applyAlignment="1" applyProtection="1">
      <alignment horizontal="left" vertical="center"/>
      <protection locked="0"/>
    </xf>
    <xf numFmtId="167" fontId="2" fillId="5" borderId="0" xfId="1" applyFont="1" applyFill="1" applyAlignment="1" applyProtection="1">
      <protection locked="0"/>
    </xf>
    <xf numFmtId="43" fontId="2" fillId="5" borderId="0" xfId="0" applyNumberFormat="1" applyFont="1" applyFill="1" applyProtection="1">
      <protection locked="0"/>
    </xf>
    <xf numFmtId="0" fontId="2" fillId="5" borderId="12" xfId="0" applyFont="1" applyFill="1" applyBorder="1" applyAlignment="1">
      <alignment horizontal="left" vertical="top"/>
    </xf>
    <xf numFmtId="0" fontId="2" fillId="5" borderId="12" xfId="2" applyNumberFormat="1" applyFont="1" applyFill="1" applyBorder="1" applyAlignment="1" applyProtection="1">
      <alignment horizontal="center"/>
      <protection locked="0"/>
    </xf>
    <xf numFmtId="165" fontId="2" fillId="5" borderId="12" xfId="0" applyNumberFormat="1" applyFont="1" applyFill="1" applyBorder="1" applyAlignment="1" applyProtection="1">
      <alignment horizontal="center"/>
      <protection locked="0"/>
    </xf>
    <xf numFmtId="167" fontId="2" fillId="5" borderId="12" xfId="1" applyFont="1" applyFill="1" applyBorder="1" applyAlignment="1" applyProtection="1">
      <alignment horizontal="center" vertical="center"/>
      <protection locked="0"/>
    </xf>
    <xf numFmtId="164" fontId="11" fillId="5" borderId="12" xfId="2" applyFont="1" applyFill="1" applyBorder="1" applyAlignment="1" applyProtection="1">
      <alignment horizontal="center" vertical="center"/>
      <protection locked="0"/>
    </xf>
    <xf numFmtId="0" fontId="2" fillId="5" borderId="12" xfId="2" applyNumberFormat="1" applyFont="1" applyFill="1" applyBorder="1" applyAlignment="1" applyProtection="1">
      <alignment horizontal="center" vertical="center"/>
      <protection locked="0"/>
    </xf>
    <xf numFmtId="2" fontId="2" fillId="5" borderId="12" xfId="0" applyNumberFormat="1" applyFont="1" applyFill="1" applyBorder="1" applyAlignment="1">
      <alignment horizontal="center"/>
    </xf>
    <xf numFmtId="167" fontId="11" fillId="5" borderId="12" xfId="1" applyFont="1" applyFill="1" applyBorder="1" applyAlignment="1" applyProtection="1">
      <alignment horizontal="center" vertical="center"/>
      <protection locked="0"/>
    </xf>
    <xf numFmtId="167" fontId="11" fillId="3" borderId="12" xfId="1" applyFont="1" applyFill="1" applyBorder="1" applyAlignment="1" applyProtection="1">
      <alignment horizontal="center" vertical="center"/>
      <protection locked="0"/>
    </xf>
    <xf numFmtId="0" fontId="2" fillId="5" borderId="12" xfId="0" applyFont="1" applyFill="1" applyBorder="1" applyAlignment="1" applyProtection="1">
      <alignment horizontal="center"/>
      <protection locked="0"/>
    </xf>
    <xf numFmtId="0" fontId="11" fillId="5" borderId="12" xfId="0" applyFont="1" applyFill="1" applyBorder="1" applyAlignment="1">
      <alignment horizontal="left" vertical="top" wrapText="1"/>
    </xf>
    <xf numFmtId="0" fontId="2" fillId="5" borderId="12" xfId="0" applyFont="1" applyFill="1" applyBorder="1" applyAlignment="1" applyProtection="1">
      <alignment horizontal="left"/>
      <protection locked="0"/>
    </xf>
    <xf numFmtId="0" fontId="2" fillId="5" borderId="12" xfId="0" applyFont="1" applyFill="1" applyBorder="1" applyAlignment="1">
      <alignment horizontal="left" vertical="center" wrapText="1"/>
    </xf>
    <xf numFmtId="0" fontId="11" fillId="5" borderId="12" xfId="3" applyFont="1" applyFill="1" applyBorder="1" applyAlignment="1" applyProtection="1">
      <alignment horizontal="left" vertical="center"/>
      <protection locked="0"/>
    </xf>
    <xf numFmtId="2" fontId="2" fillId="5" borderId="12" xfId="0" applyNumberFormat="1" applyFont="1" applyFill="1" applyBorder="1" applyAlignment="1" applyProtection="1">
      <alignment horizontal="center"/>
      <protection locked="0"/>
    </xf>
    <xf numFmtId="168" fontId="2" fillId="5" borderId="12" xfId="1" applyNumberFormat="1" applyFont="1" applyFill="1" applyBorder="1" applyAlignment="1" applyProtection="1">
      <alignment horizontal="center" vertical="center"/>
      <protection locked="0"/>
    </xf>
    <xf numFmtId="164" fontId="2" fillId="5" borderId="12" xfId="2" applyFont="1" applyFill="1" applyBorder="1" applyAlignment="1" applyProtection="1">
      <protection locked="0"/>
    </xf>
    <xf numFmtId="164" fontId="2" fillId="5" borderId="12" xfId="2" applyFont="1" applyFill="1" applyBorder="1"/>
    <xf numFmtId="167" fontId="2" fillId="5" borderId="12" xfId="1" applyFont="1" applyFill="1" applyBorder="1"/>
    <xf numFmtId="164" fontId="11" fillId="5" borderId="12" xfId="2" applyFont="1" applyFill="1" applyBorder="1" applyAlignment="1" applyProtection="1">
      <protection locked="0"/>
    </xf>
    <xf numFmtId="168" fontId="11" fillId="5" borderId="12" xfId="1" applyNumberFormat="1" applyFont="1" applyFill="1" applyBorder="1" applyAlignment="1" applyProtection="1">
      <alignment vertical="center"/>
      <protection locked="0"/>
    </xf>
    <xf numFmtId="168" fontId="2" fillId="5" borderId="12" xfId="1" applyNumberFormat="1" applyFont="1" applyFill="1" applyBorder="1" applyAlignment="1" applyProtection="1">
      <protection locked="0"/>
    </xf>
    <xf numFmtId="0" fontId="2" fillId="5" borderId="12" xfId="3" applyFont="1" applyFill="1" applyBorder="1" applyAlignment="1" applyProtection="1">
      <alignment horizontal="left" vertical="center"/>
      <protection locked="0"/>
    </xf>
    <xf numFmtId="165" fontId="2" fillId="5" borderId="12" xfId="0" applyNumberFormat="1" applyFont="1" applyFill="1" applyBorder="1" applyAlignment="1">
      <alignment horizontal="center"/>
    </xf>
    <xf numFmtId="167" fontId="2" fillId="3" borderId="12" xfId="1" applyFont="1" applyFill="1" applyBorder="1" applyAlignment="1">
      <alignment horizontal="center"/>
    </xf>
    <xf numFmtId="167" fontId="2" fillId="5" borderId="12" xfId="1" applyFont="1" applyFill="1" applyBorder="1" applyProtection="1">
      <protection locked="0"/>
    </xf>
    <xf numFmtId="167" fontId="2" fillId="5" borderId="12" xfId="1" applyFont="1" applyFill="1" applyBorder="1" applyAlignment="1" applyProtection="1">
      <alignment horizontal="center"/>
      <protection locked="0"/>
    </xf>
    <xf numFmtId="165" fontId="2" fillId="5" borderId="12" xfId="0" quotePrefix="1" applyNumberFormat="1" applyFont="1" applyFill="1" applyBorder="1" applyAlignment="1" applyProtection="1">
      <alignment horizontal="center"/>
      <protection locked="0"/>
    </xf>
    <xf numFmtId="167" fontId="2" fillId="5" borderId="12" xfId="1" applyFont="1" applyFill="1" applyBorder="1" applyAlignment="1">
      <alignment horizontal="center"/>
    </xf>
    <xf numFmtId="168" fontId="2" fillId="5" borderId="12" xfId="1" applyNumberFormat="1" applyFont="1" applyFill="1" applyBorder="1"/>
    <xf numFmtId="0" fontId="8" fillId="0" borderId="12" xfId="0" applyFont="1" applyBorder="1" applyAlignment="1" applyProtection="1">
      <alignment horizontal="center"/>
      <protection locked="0" hidden="1"/>
    </xf>
    <xf numFmtId="0" fontId="8" fillId="5" borderId="12" xfId="0" applyFont="1" applyFill="1" applyBorder="1" applyProtection="1">
      <protection locked="0"/>
    </xf>
    <xf numFmtId="165" fontId="8" fillId="5" borderId="12" xfId="0" applyNumberFormat="1" applyFont="1" applyFill="1" applyBorder="1" applyAlignment="1">
      <alignment horizontal="center"/>
    </xf>
    <xf numFmtId="165" fontId="8" fillId="5" borderId="12" xfId="0" applyNumberFormat="1" applyFont="1" applyFill="1" applyBorder="1" applyAlignment="1" applyProtection="1">
      <alignment horizontal="center"/>
      <protection locked="0"/>
    </xf>
    <xf numFmtId="0" fontId="8" fillId="5" borderId="12" xfId="0" applyFont="1" applyFill="1" applyBorder="1" applyAlignment="1">
      <alignment vertical="top" wrapText="1"/>
    </xf>
    <xf numFmtId="0" fontId="8" fillId="5" borderId="12" xfId="0" applyFont="1" applyFill="1" applyBorder="1" applyAlignment="1">
      <alignment horizontal="left" vertical="center" wrapText="1"/>
    </xf>
    <xf numFmtId="167" fontId="8" fillId="5" borderId="12" xfId="1" applyFont="1" applyFill="1" applyBorder="1" applyAlignment="1" applyProtection="1">
      <alignment horizontal="center" vertical="center"/>
      <protection locked="0"/>
    </xf>
    <xf numFmtId="166" fontId="8" fillId="5" borderId="12" xfId="2" applyNumberFormat="1" applyFont="1" applyFill="1" applyBorder="1" applyAlignment="1">
      <alignment horizontal="center"/>
    </xf>
    <xf numFmtId="164" fontId="8" fillId="5" borderId="12" xfId="2" applyFont="1" applyFill="1" applyBorder="1"/>
    <xf numFmtId="167" fontId="8" fillId="5" borderId="12" xfId="1" applyFont="1" applyFill="1" applyBorder="1"/>
    <xf numFmtId="167" fontId="8" fillId="5" borderId="12" xfId="1" applyFont="1" applyFill="1" applyBorder="1" applyAlignment="1">
      <alignment horizontal="center"/>
    </xf>
    <xf numFmtId="170" fontId="8" fillId="5" borderId="12" xfId="3" applyNumberFormat="1" applyFont="1" applyFill="1" applyBorder="1" applyAlignment="1" applyProtection="1">
      <alignment horizontal="left" vertical="center"/>
      <protection locked="0"/>
    </xf>
    <xf numFmtId="0" fontId="8" fillId="5" borderId="12" xfId="0" applyFont="1" applyFill="1" applyBorder="1" applyProtection="1">
      <protection locked="0" hidden="1"/>
    </xf>
    <xf numFmtId="0" fontId="8" fillId="5" borderId="0" xfId="0" applyFont="1" applyFill="1" applyProtection="1">
      <protection locked="0"/>
    </xf>
    <xf numFmtId="167" fontId="8" fillId="5" borderId="0" xfId="1" applyFont="1" applyFill="1" applyAlignment="1" applyProtection="1">
      <protection locked="0"/>
    </xf>
    <xf numFmtId="43" fontId="8" fillId="5" borderId="0" xfId="0" applyNumberFormat="1" applyFont="1" applyFill="1" applyProtection="1">
      <protection locked="0"/>
    </xf>
    <xf numFmtId="168" fontId="8" fillId="5" borderId="0" xfId="1" applyNumberFormat="1" applyFont="1" applyFill="1" applyAlignment="1" applyProtection="1">
      <protection locked="0"/>
    </xf>
    <xf numFmtId="0" fontId="2" fillId="5" borderId="12" xfId="0" applyFont="1" applyFill="1" applyBorder="1" applyAlignment="1">
      <alignment horizontal="left"/>
    </xf>
    <xf numFmtId="0" fontId="2" fillId="5" borderId="12" xfId="0" applyFont="1" applyFill="1" applyBorder="1" applyAlignment="1" applyProtection="1">
      <alignment vertical="top" wrapText="1"/>
      <protection locked="0"/>
    </xf>
    <xf numFmtId="2" fontId="2" fillId="5" borderId="12" xfId="0" applyNumberFormat="1" applyFont="1" applyFill="1" applyBorder="1" applyProtection="1">
      <protection locked="0"/>
    </xf>
    <xf numFmtId="165" fontId="2" fillId="0" borderId="12" xfId="0" quotePrefix="1" applyNumberFormat="1" applyFont="1" applyBorder="1" applyAlignment="1" applyProtection="1">
      <alignment horizontal="center"/>
      <protection locked="0"/>
    </xf>
    <xf numFmtId="167" fontId="2" fillId="5" borderId="12" xfId="1" applyFont="1" applyFill="1" applyBorder="1" applyAlignment="1" applyProtection="1">
      <protection locked="0"/>
    </xf>
    <xf numFmtId="0" fontId="2" fillId="5" borderId="12" xfId="0" applyFont="1" applyFill="1" applyBorder="1" applyAlignment="1">
      <alignment horizontal="center"/>
    </xf>
    <xf numFmtId="0" fontId="2" fillId="5" borderId="12" xfId="0" applyFont="1" applyFill="1" applyBorder="1"/>
    <xf numFmtId="0" fontId="2" fillId="5" borderId="12" xfId="2" applyNumberFormat="1" applyFont="1" applyFill="1" applyBorder="1" applyAlignment="1">
      <alignment horizontal="left" vertical="center" wrapText="1"/>
    </xf>
    <xf numFmtId="167" fontId="2" fillId="3" borderId="12" xfId="1" applyFont="1" applyFill="1" applyBorder="1" applyAlignment="1" applyProtection="1">
      <alignment horizontal="center"/>
      <protection locked="0"/>
    </xf>
    <xf numFmtId="165" fontId="8" fillId="5" borderId="12" xfId="0" applyNumberFormat="1" applyFont="1" applyFill="1" applyBorder="1" applyAlignment="1">
      <alignment horizontal="center" vertical="top" wrapText="1"/>
    </xf>
    <xf numFmtId="164" fontId="8" fillId="5" borderId="12" xfId="2" applyFont="1" applyFill="1" applyBorder="1" applyAlignment="1" applyProtection="1">
      <alignment horizontal="center" vertical="center"/>
      <protection locked="0"/>
    </xf>
    <xf numFmtId="167" fontId="8" fillId="3" borderId="12" xfId="1" applyFont="1" applyFill="1" applyBorder="1" applyAlignment="1" applyProtection="1">
      <alignment horizontal="center" vertical="center"/>
      <protection locked="0"/>
    </xf>
    <xf numFmtId="170" fontId="8" fillId="5" borderId="13" xfId="3" applyNumberFormat="1" applyFont="1" applyFill="1" applyBorder="1" applyAlignment="1" applyProtection="1">
      <alignment horizontal="center" vertical="center" wrapText="1"/>
      <protection locked="0"/>
    </xf>
    <xf numFmtId="170" fontId="8" fillId="5" borderId="9" xfId="3" applyNumberFormat="1" applyFont="1" applyFill="1" applyBorder="1" applyAlignment="1" applyProtection="1">
      <alignment horizontal="center" vertical="center" wrapText="1"/>
      <protection locked="0"/>
    </xf>
    <xf numFmtId="0" fontId="12" fillId="5" borderId="12" xfId="0" applyFont="1" applyFill="1" applyBorder="1" applyAlignment="1">
      <alignment horizontal="left" vertical="top" wrapText="1"/>
    </xf>
    <xf numFmtId="0" fontId="8" fillId="5" borderId="12" xfId="2" applyNumberFormat="1" applyFont="1" applyFill="1" applyBorder="1" applyAlignment="1" applyProtection="1">
      <alignment horizontal="center" vertical="center"/>
      <protection locked="0"/>
    </xf>
    <xf numFmtId="164" fontId="12" fillId="5" borderId="12" xfId="2" applyFont="1" applyFill="1" applyBorder="1" applyAlignment="1" applyProtection="1">
      <alignment horizontal="center" vertical="center"/>
      <protection locked="0"/>
    </xf>
    <xf numFmtId="166" fontId="2" fillId="5" borderId="12" xfId="2" applyNumberFormat="1" applyFont="1" applyFill="1" applyBorder="1" applyAlignment="1" applyProtection="1">
      <alignment horizontal="center"/>
      <protection locked="0"/>
    </xf>
    <xf numFmtId="0" fontId="11" fillId="5" borderId="12" xfId="0" applyFont="1" applyFill="1" applyBorder="1" applyAlignment="1">
      <alignment horizontal="left" vertical="top"/>
    </xf>
    <xf numFmtId="0" fontId="2" fillId="5" borderId="12" xfId="2" applyNumberFormat="1" applyFont="1" applyFill="1" applyBorder="1" applyAlignment="1" applyProtection="1">
      <alignment vertical="center"/>
      <protection locked="0"/>
    </xf>
    <xf numFmtId="46" fontId="2" fillId="5" borderId="12" xfId="1" applyNumberFormat="1" applyFont="1" applyFill="1" applyBorder="1" applyAlignment="1">
      <alignment horizontal="center"/>
    </xf>
    <xf numFmtId="166" fontId="2" fillId="5" borderId="12" xfId="2" applyNumberFormat="1" applyFont="1" applyFill="1" applyBorder="1" applyAlignment="1" applyProtection="1">
      <alignment horizontal="center" vertical="center"/>
      <protection locked="0"/>
    </xf>
    <xf numFmtId="167" fontId="2" fillId="5" borderId="12" xfId="1" applyFont="1" applyFill="1" applyBorder="1" applyAlignment="1">
      <alignment vertical="center" wrapText="1"/>
    </xf>
    <xf numFmtId="165" fontId="2" fillId="5" borderId="12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left" wrapText="1"/>
    </xf>
    <xf numFmtId="164" fontId="2" fillId="5" borderId="12" xfId="2" applyFont="1" applyFill="1" applyBorder="1" applyAlignment="1">
      <alignment horizontal="center" vertical="center"/>
    </xf>
    <xf numFmtId="167" fontId="2" fillId="5" borderId="12" xfId="1" applyFont="1" applyFill="1" applyBorder="1" applyAlignment="1">
      <alignment horizontal="center" vertical="center"/>
    </xf>
    <xf numFmtId="164" fontId="2" fillId="5" borderId="12" xfId="0" applyNumberFormat="1" applyFont="1" applyFill="1" applyBorder="1" applyProtection="1">
      <protection locked="0"/>
    </xf>
    <xf numFmtId="0" fontId="11" fillId="5" borderId="12" xfId="0" applyFont="1" applyFill="1" applyBorder="1" applyProtection="1">
      <protection locked="0"/>
    </xf>
    <xf numFmtId="164" fontId="2" fillId="5" borderId="12" xfId="2" applyFont="1" applyFill="1" applyBorder="1" applyAlignment="1">
      <alignment vertical="center"/>
    </xf>
    <xf numFmtId="167" fontId="2" fillId="5" borderId="12" xfId="1" applyFont="1" applyFill="1" applyBorder="1" applyAlignment="1">
      <alignment vertical="center"/>
    </xf>
    <xf numFmtId="0" fontId="2" fillId="5" borderId="12" xfId="4" applyNumberFormat="1" applyFont="1" applyFill="1" applyBorder="1" applyAlignment="1">
      <alignment horizontal="left" vertical="center" wrapText="1"/>
    </xf>
    <xf numFmtId="165" fontId="2" fillId="5" borderId="12" xfId="0" applyNumberFormat="1" applyFont="1" applyFill="1" applyBorder="1" applyAlignment="1">
      <alignment horizontal="center" vertical="center" wrapText="1"/>
    </xf>
    <xf numFmtId="164" fontId="2" fillId="5" borderId="12" xfId="2" applyFont="1" applyFill="1" applyBorder="1" applyAlignment="1">
      <alignment horizontal="left" vertical="center" wrapText="1"/>
    </xf>
    <xf numFmtId="164" fontId="2" fillId="5" borderId="12" xfId="2" applyFont="1" applyFill="1" applyBorder="1" applyAlignment="1">
      <alignment horizontal="left" vertical="center"/>
    </xf>
    <xf numFmtId="164" fontId="11" fillId="5" borderId="12" xfId="2" applyFont="1" applyFill="1" applyBorder="1" applyAlignment="1">
      <alignment horizontal="left" vertical="center"/>
    </xf>
    <xf numFmtId="164" fontId="11" fillId="5" borderId="12" xfId="2" applyFont="1" applyFill="1" applyBorder="1"/>
    <xf numFmtId="164" fontId="11" fillId="5" borderId="12" xfId="2" applyFont="1" applyFill="1" applyBorder="1" applyAlignment="1">
      <alignment horizontal="left" vertical="center" wrapText="1"/>
    </xf>
    <xf numFmtId="165" fontId="2" fillId="5" borderId="12" xfId="2" applyNumberFormat="1" applyFont="1" applyFill="1" applyBorder="1" applyAlignment="1" applyProtection="1">
      <alignment horizontal="center"/>
      <protection locked="0"/>
    </xf>
    <xf numFmtId="164" fontId="11" fillId="5" borderId="12" xfId="2" applyFont="1" applyFill="1" applyBorder="1" applyAlignment="1">
      <alignment horizontal="left"/>
    </xf>
    <xf numFmtId="164" fontId="2" fillId="5" borderId="12" xfId="2" applyFont="1" applyFill="1" applyBorder="1" applyAlignment="1">
      <alignment horizontal="left"/>
    </xf>
    <xf numFmtId="164" fontId="11" fillId="5" borderId="12" xfId="2" applyFont="1" applyFill="1" applyBorder="1" applyAlignment="1">
      <alignment horizontal="center" vertical="center" wrapText="1"/>
    </xf>
    <xf numFmtId="42" fontId="2" fillId="5" borderId="12" xfId="0" applyNumberFormat="1" applyFont="1" applyFill="1" applyBorder="1" applyProtection="1">
      <protection locked="0"/>
    </xf>
    <xf numFmtId="167" fontId="11" fillId="5" borderId="12" xfId="1" applyFont="1" applyFill="1" applyBorder="1" applyAlignment="1" applyProtection="1">
      <protection locked="0"/>
    </xf>
    <xf numFmtId="167" fontId="2" fillId="5" borderId="12" xfId="1" applyFont="1" applyFill="1" applyBorder="1" applyAlignment="1">
      <alignment horizontal="left"/>
    </xf>
    <xf numFmtId="0" fontId="2" fillId="6" borderId="12" xfId="0" applyFont="1" applyFill="1" applyBorder="1" applyProtection="1">
      <protection locked="0"/>
    </xf>
    <xf numFmtId="165" fontId="2" fillId="6" borderId="12" xfId="0" applyNumberFormat="1" applyFont="1" applyFill="1" applyBorder="1" applyAlignment="1">
      <alignment horizontal="center" vertical="center"/>
    </xf>
    <xf numFmtId="165" fontId="2" fillId="6" borderId="12" xfId="0" applyNumberFormat="1" applyFont="1" applyFill="1" applyBorder="1" applyAlignment="1" applyProtection="1">
      <alignment horizontal="center"/>
      <protection locked="0"/>
    </xf>
    <xf numFmtId="0" fontId="2" fillId="6" borderId="12" xfId="0" applyFont="1" applyFill="1" applyBorder="1" applyAlignment="1" applyProtection="1">
      <alignment horizontal="left"/>
      <protection locked="0"/>
    </xf>
    <xf numFmtId="0" fontId="2" fillId="6" borderId="12" xfId="2" applyNumberFormat="1" applyFont="1" applyFill="1" applyBorder="1" applyAlignment="1" applyProtection="1">
      <alignment horizontal="center" vertical="center"/>
      <protection locked="0"/>
    </xf>
    <xf numFmtId="166" fontId="2" fillId="6" borderId="12" xfId="2" applyNumberFormat="1" applyFont="1" applyFill="1" applyBorder="1" applyAlignment="1" applyProtection="1">
      <alignment horizontal="center"/>
      <protection locked="0"/>
    </xf>
    <xf numFmtId="164" fontId="2" fillId="6" borderId="12" xfId="2" applyFont="1" applyFill="1" applyBorder="1" applyAlignment="1" applyProtection="1">
      <protection locked="0"/>
    </xf>
    <xf numFmtId="167" fontId="2" fillId="6" borderId="12" xfId="1" applyFont="1" applyFill="1" applyBorder="1" applyAlignment="1" applyProtection="1">
      <protection locked="0"/>
    </xf>
    <xf numFmtId="0" fontId="2" fillId="6" borderId="12" xfId="0" applyFont="1" applyFill="1" applyBorder="1" applyProtection="1">
      <protection locked="0" hidden="1"/>
    </xf>
    <xf numFmtId="0" fontId="2" fillId="6" borderId="0" xfId="0" applyFont="1" applyFill="1" applyProtection="1">
      <protection locked="0"/>
    </xf>
    <xf numFmtId="167" fontId="2" fillId="6" borderId="0" xfId="1" applyFont="1" applyFill="1" applyAlignment="1" applyProtection="1">
      <protection locked="0"/>
    </xf>
    <xf numFmtId="168" fontId="2" fillId="6" borderId="0" xfId="1" applyNumberFormat="1" applyFont="1" applyFill="1" applyAlignment="1" applyProtection="1">
      <protection locked="0"/>
    </xf>
    <xf numFmtId="168" fontId="2" fillId="6" borderId="12" xfId="1" applyNumberFormat="1" applyFont="1" applyFill="1" applyBorder="1" applyAlignment="1" applyProtection="1">
      <alignment horizontal="center" vertical="center"/>
      <protection locked="0"/>
    </xf>
    <xf numFmtId="166" fontId="2" fillId="6" borderId="12" xfId="2" applyNumberFormat="1" applyFont="1" applyFill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/>
      <protection locked="0"/>
    </xf>
    <xf numFmtId="164" fontId="11" fillId="0" borderId="12" xfId="2" applyFont="1" applyFill="1" applyBorder="1" applyAlignment="1" applyProtection="1">
      <protection locked="0"/>
    </xf>
    <xf numFmtId="167" fontId="2" fillId="0" borderId="12" xfId="1" applyFont="1" applyFill="1" applyBorder="1" applyAlignment="1" applyProtection="1">
      <protection locked="0"/>
    </xf>
    <xf numFmtId="164" fontId="2" fillId="0" borderId="12" xfId="2" applyFont="1" applyFill="1" applyBorder="1" applyAlignment="1" applyProtection="1">
      <protection locked="0"/>
    </xf>
    <xf numFmtId="3" fontId="2" fillId="5" borderId="12" xfId="0" applyNumberFormat="1" applyFont="1" applyFill="1" applyBorder="1" applyProtection="1">
      <protection locked="0"/>
    </xf>
    <xf numFmtId="167" fontId="2" fillId="5" borderId="12" xfId="1" applyFont="1" applyFill="1" applyBorder="1" applyAlignment="1" applyProtection="1">
      <alignment vertical="center"/>
      <protection locked="0"/>
    </xf>
    <xf numFmtId="165" fontId="2" fillId="0" borderId="12" xfId="0" applyNumberFormat="1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165" fontId="2" fillId="0" borderId="12" xfId="0" applyNumberFormat="1" applyFont="1" applyBorder="1" applyAlignment="1">
      <alignment vertical="top"/>
    </xf>
    <xf numFmtId="0" fontId="2" fillId="0" borderId="12" xfId="0" applyFont="1" applyBorder="1" applyAlignment="1">
      <alignment vertical="center" wrapText="1"/>
    </xf>
    <xf numFmtId="167" fontId="2" fillId="0" borderId="12" xfId="1" applyFont="1" applyFill="1" applyBorder="1" applyAlignment="1">
      <alignment horizontal="right" vertical="top" wrapText="1"/>
    </xf>
    <xf numFmtId="165" fontId="2" fillId="0" borderId="12" xfId="2" applyNumberFormat="1" applyFont="1" applyFill="1" applyBorder="1" applyAlignment="1" applyProtection="1">
      <alignment horizontal="center"/>
      <protection locked="0"/>
    </xf>
    <xf numFmtId="0" fontId="2" fillId="0" borderId="12" xfId="2" applyNumberFormat="1" applyFont="1" applyFill="1" applyBorder="1" applyAlignment="1" applyProtection="1">
      <alignment vertical="center"/>
      <protection locked="0"/>
    </xf>
    <xf numFmtId="167" fontId="11" fillId="7" borderId="12" xfId="1" applyFont="1" applyFill="1" applyBorder="1" applyAlignment="1" applyProtection="1">
      <protection locked="0"/>
    </xf>
    <xf numFmtId="0" fontId="2" fillId="0" borderId="12" xfId="2" applyNumberFormat="1" applyFont="1" applyFill="1" applyBorder="1" applyAlignment="1" applyProtection="1">
      <alignment horizontal="center" vertical="center"/>
      <protection locked="0"/>
    </xf>
    <xf numFmtId="170" fontId="2" fillId="0" borderId="12" xfId="3" applyNumberFormat="1" applyFont="1" applyBorder="1" applyAlignment="1" applyProtection="1">
      <alignment horizontal="left" vertical="center"/>
      <protection locked="0"/>
    </xf>
    <xf numFmtId="167" fontId="2" fillId="0" borderId="12" xfId="1" applyFont="1" applyFill="1" applyBorder="1" applyAlignment="1">
      <alignment vertical="center" wrapText="1"/>
    </xf>
    <xf numFmtId="2" fontId="2" fillId="0" borderId="12" xfId="0" applyNumberFormat="1" applyFont="1" applyBorder="1" applyAlignment="1" applyProtection="1">
      <alignment horizontal="center"/>
      <protection locked="0"/>
    </xf>
    <xf numFmtId="165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2" fontId="2" fillId="0" borderId="12" xfId="0" applyNumberFormat="1" applyFont="1" applyBorder="1" applyProtection="1">
      <protection locked="0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167" fontId="11" fillId="0" borderId="12" xfId="1" applyFont="1" applyFill="1" applyBorder="1" applyAlignment="1" applyProtection="1"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168" fontId="11" fillId="0" borderId="12" xfId="1" applyNumberFormat="1" applyFont="1" applyFill="1" applyBorder="1" applyAlignment="1" applyProtection="1">
      <protection locked="0"/>
    </xf>
    <xf numFmtId="168" fontId="2" fillId="0" borderId="12" xfId="1" applyNumberFormat="1" applyFont="1" applyFill="1" applyBorder="1" applyAlignment="1" applyProtection="1">
      <protection locked="0"/>
    </xf>
    <xf numFmtId="0" fontId="11" fillId="0" borderId="12" xfId="0" applyFont="1" applyBorder="1" applyAlignment="1" applyProtection="1">
      <alignment horizontal="left"/>
      <protection locked="0"/>
    </xf>
    <xf numFmtId="164" fontId="12" fillId="0" borderId="12" xfId="2" applyFont="1" applyFill="1" applyBorder="1" applyAlignment="1" applyProtection="1">
      <protection locked="0"/>
    </xf>
    <xf numFmtId="0" fontId="2" fillId="0" borderId="12" xfId="0" applyFont="1" applyBorder="1" applyAlignment="1">
      <alignment horizontal="left" wrapText="1"/>
    </xf>
    <xf numFmtId="164" fontId="2" fillId="0" borderId="12" xfId="2" applyFont="1" applyFill="1" applyBorder="1" applyAlignment="1">
      <alignment horizontal="center" vertical="center"/>
    </xf>
    <xf numFmtId="167" fontId="2" fillId="0" borderId="12" xfId="1" applyFont="1" applyFill="1" applyBorder="1" applyAlignment="1">
      <alignment horizontal="center" vertical="center"/>
    </xf>
    <xf numFmtId="164" fontId="2" fillId="0" borderId="12" xfId="2" applyFont="1" applyFill="1" applyBorder="1" applyAlignment="1">
      <alignment vertical="center"/>
    </xf>
    <xf numFmtId="167" fontId="2" fillId="0" borderId="12" xfId="1" applyFont="1" applyFill="1" applyBorder="1" applyAlignment="1">
      <alignment vertical="center"/>
    </xf>
    <xf numFmtId="0" fontId="2" fillId="0" borderId="12" xfId="0" applyFont="1" applyBorder="1" applyAlignment="1">
      <alignment wrapText="1"/>
    </xf>
    <xf numFmtId="164" fontId="11" fillId="0" borderId="12" xfId="0" applyNumberFormat="1" applyFont="1" applyBorder="1" applyProtection="1">
      <protection locked="0"/>
    </xf>
    <xf numFmtId="42" fontId="2" fillId="0" borderId="12" xfId="0" applyNumberFormat="1" applyFont="1" applyBorder="1"/>
    <xf numFmtId="167" fontId="2" fillId="0" borderId="12" xfId="1" applyFont="1" applyFill="1" applyBorder="1"/>
    <xf numFmtId="42" fontId="11" fillId="0" borderId="12" xfId="0" applyNumberFormat="1" applyFont="1" applyBorder="1" applyProtection="1">
      <protection locked="0"/>
    </xf>
    <xf numFmtId="164" fontId="2" fillId="0" borderId="12" xfId="0" applyNumberFormat="1" applyFont="1" applyBorder="1" applyProtection="1">
      <protection locked="0"/>
    </xf>
    <xf numFmtId="165" fontId="2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42" fontId="2" fillId="0" borderId="12" xfId="0" applyNumberFormat="1" applyFont="1" applyBorder="1" applyAlignment="1">
      <alignment horizontal="left" vertical="center" wrapText="1"/>
    </xf>
    <xf numFmtId="43" fontId="2" fillId="0" borderId="12" xfId="0" applyNumberFormat="1" applyFont="1" applyBorder="1" applyProtection="1">
      <protection locked="0"/>
    </xf>
    <xf numFmtId="0" fontId="2" fillId="0" borderId="12" xfId="0" applyFont="1" applyBorder="1" applyAlignment="1">
      <alignment horizontal="center" vertical="top" wrapText="1"/>
    </xf>
    <xf numFmtId="0" fontId="2" fillId="0" borderId="12" xfId="0" applyFont="1" applyBorder="1" applyAlignment="1" applyProtection="1">
      <alignment wrapText="1"/>
      <protection locked="0"/>
    </xf>
    <xf numFmtId="165" fontId="2" fillId="0" borderId="12" xfId="0" applyNumberFormat="1" applyFont="1" applyBorder="1" applyAlignment="1" applyProtection="1">
      <alignment wrapText="1"/>
      <protection locked="0"/>
    </xf>
    <xf numFmtId="0" fontId="11" fillId="0" borderId="12" xfId="0" applyFont="1" applyBorder="1" applyAlignment="1">
      <alignment vertical="top" wrapText="1"/>
    </xf>
    <xf numFmtId="171" fontId="2" fillId="0" borderId="12" xfId="0" applyNumberFormat="1" applyFont="1" applyBorder="1" applyAlignment="1" applyProtection="1">
      <alignment wrapText="1"/>
      <protection locked="0"/>
    </xf>
    <xf numFmtId="43" fontId="2" fillId="0" borderId="0" xfId="0" applyNumberFormat="1" applyFont="1" applyProtection="1">
      <protection locked="0"/>
    </xf>
    <xf numFmtId="14" fontId="14" fillId="5" borderId="12" xfId="0" applyNumberFormat="1" applyFont="1" applyFill="1" applyBorder="1" applyAlignment="1">
      <alignment horizontal="center" vertical="center"/>
    </xf>
    <xf numFmtId="14" fontId="2" fillId="0" borderId="12" xfId="0" applyNumberFormat="1" applyFont="1" applyBorder="1" applyAlignment="1" applyProtection="1">
      <alignment wrapText="1"/>
      <protection locked="0"/>
    </xf>
    <xf numFmtId="49" fontId="2" fillId="5" borderId="12" xfId="0" applyNumberFormat="1" applyFont="1" applyFill="1" applyBorder="1" applyAlignment="1">
      <alignment horizontal="center"/>
    </xf>
    <xf numFmtId="0" fontId="14" fillId="5" borderId="12" xfId="0" applyFont="1" applyFill="1" applyBorder="1"/>
    <xf numFmtId="2" fontId="15" fillId="0" borderId="12" xfId="0" applyNumberFormat="1" applyFont="1" applyBorder="1" applyAlignment="1">
      <alignment horizontal="center"/>
    </xf>
    <xf numFmtId="167" fontId="2" fillId="0" borderId="12" xfId="1" applyFont="1" applyFill="1" applyBorder="1" applyAlignment="1" applyProtection="1">
      <alignment wrapText="1"/>
      <protection locked="0"/>
    </xf>
    <xf numFmtId="172" fontId="2" fillId="0" borderId="12" xfId="0" applyNumberFormat="1" applyFont="1" applyBorder="1" applyAlignment="1">
      <alignment horizontal="right" vertical="top" wrapText="1"/>
    </xf>
    <xf numFmtId="173" fontId="2" fillId="0" borderId="12" xfId="0" applyNumberFormat="1" applyFont="1" applyBorder="1" applyAlignment="1">
      <alignment horizontal="left" vertical="top" wrapText="1"/>
    </xf>
    <xf numFmtId="172" fontId="2" fillId="5" borderId="12" xfId="0" applyNumberFormat="1" applyFont="1" applyFill="1" applyBorder="1" applyAlignment="1">
      <alignment horizontal="right" vertical="top" wrapText="1"/>
    </xf>
    <xf numFmtId="49" fontId="2" fillId="0" borderId="12" xfId="0" applyNumberFormat="1" applyFont="1" applyBorder="1" applyAlignment="1">
      <alignment horizontal="center"/>
    </xf>
    <xf numFmtId="0" fontId="14" fillId="0" borderId="12" xfId="0" applyFont="1" applyBorder="1"/>
    <xf numFmtId="164" fontId="11" fillId="7" borderId="12" xfId="2" applyFont="1" applyFill="1" applyBorder="1" applyAlignment="1" applyProtection="1">
      <protection locked="0"/>
    </xf>
    <xf numFmtId="164" fontId="11" fillId="0" borderId="12" xfId="2" applyFont="1" applyFill="1" applyBorder="1" applyAlignment="1" applyProtection="1">
      <alignment horizontal="center" vertical="center"/>
      <protection locked="0"/>
    </xf>
    <xf numFmtId="168" fontId="11" fillId="0" borderId="12" xfId="1" applyNumberFormat="1" applyFont="1" applyFill="1" applyBorder="1" applyAlignment="1">
      <alignment vertical="center" wrapText="1"/>
    </xf>
    <xf numFmtId="168" fontId="2" fillId="0" borderId="12" xfId="1" applyNumberFormat="1" applyFont="1" applyFill="1" applyBorder="1" applyAlignment="1" applyProtection="1">
      <alignment vertical="center"/>
      <protection locked="0"/>
    </xf>
    <xf numFmtId="0" fontId="8" fillId="0" borderId="12" xfId="0" applyFont="1" applyBorder="1" applyAlignment="1">
      <alignment horizontal="left" vertical="center" wrapText="1"/>
    </xf>
    <xf numFmtId="167" fontId="8" fillId="2" borderId="12" xfId="1" applyFont="1" applyFill="1" applyBorder="1" applyAlignment="1" applyProtection="1">
      <alignment horizontal="center" vertical="center"/>
      <protection locked="0"/>
    </xf>
    <xf numFmtId="166" fontId="8" fillId="0" borderId="12" xfId="2" applyNumberFormat="1" applyFont="1" applyFill="1" applyBorder="1" applyAlignment="1">
      <alignment horizontal="center"/>
    </xf>
    <xf numFmtId="164" fontId="8" fillId="0" borderId="12" xfId="2" applyFont="1" applyFill="1" applyBorder="1" applyAlignment="1" applyProtection="1">
      <protection locked="0"/>
    </xf>
    <xf numFmtId="167" fontId="8" fillId="0" borderId="12" xfId="1" applyFont="1" applyFill="1" applyBorder="1" applyAlignment="1" applyProtection="1">
      <alignment horizontal="center" vertical="center"/>
      <protection locked="0"/>
    </xf>
    <xf numFmtId="0" fontId="8" fillId="0" borderId="12" xfId="0" applyFont="1" applyBorder="1" applyProtection="1">
      <protection locked="0"/>
    </xf>
    <xf numFmtId="0" fontId="8" fillId="2" borderId="12" xfId="0" applyFont="1" applyFill="1" applyBorder="1" applyProtection="1">
      <protection locked="0"/>
    </xf>
    <xf numFmtId="165" fontId="2" fillId="0" borderId="12" xfId="1" applyNumberFormat="1" applyFont="1" applyFill="1" applyBorder="1" applyAlignment="1">
      <alignment horizontal="center"/>
    </xf>
    <xf numFmtId="0" fontId="2" fillId="0" borderId="12" xfId="5" applyFont="1" applyBorder="1" applyAlignment="1">
      <alignment horizontal="left" vertical="top" wrapText="1"/>
    </xf>
    <xf numFmtId="168" fontId="2" fillId="0" borderId="12" xfId="1" applyNumberFormat="1" applyFont="1" applyFill="1" applyBorder="1"/>
    <xf numFmtId="0" fontId="11" fillId="0" borderId="12" xfId="0" applyFont="1" applyBorder="1" applyAlignment="1">
      <alignment horizontal="center" vertical="top" wrapText="1"/>
    </xf>
    <xf numFmtId="0" fontId="11" fillId="0" borderId="12" xfId="0" applyFont="1" applyBorder="1" applyAlignment="1">
      <alignment vertical="center" wrapText="1"/>
    </xf>
    <xf numFmtId="167" fontId="2" fillId="0" borderId="12" xfId="1" applyFont="1" applyFill="1" applyBorder="1" applyAlignment="1" applyProtection="1">
      <alignment vertical="center"/>
      <protection locked="0"/>
    </xf>
    <xf numFmtId="0" fontId="2" fillId="0" borderId="12" xfId="2" applyNumberFormat="1" applyFont="1" applyFill="1" applyBorder="1" applyAlignment="1" applyProtection="1">
      <protection locked="0"/>
    </xf>
    <xf numFmtId="167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Protection="1">
      <protection locked="0"/>
    </xf>
    <xf numFmtId="0" fontId="2" fillId="0" borderId="12" xfId="0" applyFont="1" applyBorder="1" applyAlignment="1">
      <alignment horizontal="center" vertical="center"/>
    </xf>
    <xf numFmtId="42" fontId="2" fillId="0" borderId="12" xfId="0" applyNumberFormat="1" applyFont="1" applyBorder="1" applyProtection="1">
      <protection locked="0"/>
    </xf>
    <xf numFmtId="167" fontId="2" fillId="0" borderId="12" xfId="0" applyNumberFormat="1" applyFont="1" applyBorder="1" applyProtection="1">
      <protection locked="0"/>
    </xf>
    <xf numFmtId="37" fontId="2" fillId="0" borderId="12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vertical="center"/>
    </xf>
    <xf numFmtId="11" fontId="2" fillId="0" borderId="12" xfId="0" applyNumberFormat="1" applyFont="1" applyBorder="1" applyAlignment="1">
      <alignment vertical="center" wrapText="1"/>
    </xf>
    <xf numFmtId="42" fontId="2" fillId="0" borderId="12" xfId="0" applyNumberFormat="1" applyFont="1" applyBorder="1" applyAlignment="1">
      <alignment horizontal="left" vertical="center"/>
    </xf>
    <xf numFmtId="174" fontId="2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vertical="top" wrapText="1"/>
    </xf>
    <xf numFmtId="172" fontId="16" fillId="0" borderId="12" xfId="0" applyNumberFormat="1" applyFont="1" applyBorder="1" applyAlignment="1">
      <alignment horizontal="right" vertical="top" wrapText="1"/>
    </xf>
    <xf numFmtId="2" fontId="2" fillId="0" borderId="9" xfId="0" applyNumberFormat="1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13" xfId="0" applyFont="1" applyBorder="1" applyProtection="1">
      <protection locked="0"/>
    </xf>
    <xf numFmtId="165" fontId="2" fillId="0" borderId="13" xfId="2" applyNumberFormat="1" applyFont="1" applyFill="1" applyBorder="1" applyAlignment="1" applyProtection="1">
      <alignment horizontal="center"/>
      <protection locked="0"/>
    </xf>
    <xf numFmtId="0" fontId="2" fillId="0" borderId="13" xfId="2" applyNumberFormat="1" applyFont="1" applyFill="1" applyBorder="1" applyAlignment="1" applyProtection="1">
      <alignment horizontal="center"/>
      <protection locked="0"/>
    </xf>
    <xf numFmtId="2" fontId="2" fillId="0" borderId="13" xfId="0" applyNumberFormat="1" applyFont="1" applyBorder="1" applyAlignment="1">
      <alignment horizontal="center"/>
    </xf>
    <xf numFmtId="167" fontId="2" fillId="0" borderId="13" xfId="1" applyFont="1" applyFill="1" applyBorder="1" applyAlignment="1" applyProtection="1">
      <protection locked="0"/>
    </xf>
    <xf numFmtId="0" fontId="2" fillId="0" borderId="13" xfId="0" applyFont="1" applyBorder="1" applyProtection="1">
      <protection locked="0" hidden="1"/>
    </xf>
    <xf numFmtId="165" fontId="2" fillId="2" borderId="12" xfId="2" applyNumberFormat="1" applyFont="1" applyFill="1" applyBorder="1" applyAlignment="1" applyProtection="1">
      <alignment horizontal="center"/>
      <protection locked="0"/>
    </xf>
    <xf numFmtId="0" fontId="2" fillId="2" borderId="12" xfId="0" applyFont="1" applyFill="1" applyBorder="1" applyAlignment="1" applyProtection="1">
      <alignment horizontal="left"/>
      <protection locked="0"/>
    </xf>
    <xf numFmtId="0" fontId="2" fillId="2" borderId="12" xfId="2" applyNumberFormat="1" applyFont="1" applyFill="1" applyBorder="1" applyAlignment="1" applyProtection="1">
      <alignment horizontal="center"/>
      <protection locked="0"/>
    </xf>
    <xf numFmtId="166" fontId="2" fillId="2" borderId="12" xfId="2" applyNumberFormat="1" applyFont="1" applyFill="1" applyBorder="1" applyAlignment="1" applyProtection="1">
      <alignment horizontal="center"/>
      <protection locked="0"/>
    </xf>
    <xf numFmtId="168" fontId="2" fillId="2" borderId="12" xfId="1" applyNumberFormat="1" applyFont="1" applyFill="1" applyBorder="1" applyAlignment="1" applyProtection="1">
      <protection locked="0"/>
    </xf>
    <xf numFmtId="167" fontId="2" fillId="2" borderId="12" xfId="1" applyFont="1" applyFill="1" applyBorder="1" applyAlignment="1" applyProtection="1">
      <protection locked="0"/>
    </xf>
    <xf numFmtId="0" fontId="5" fillId="2" borderId="12" xfId="0" applyFont="1" applyFill="1" applyBorder="1" applyProtection="1">
      <protection locked="0"/>
    </xf>
    <xf numFmtId="0" fontId="17" fillId="0" borderId="14" xfId="0" quotePrefix="1" applyFont="1" applyBorder="1" applyAlignment="1" applyProtection="1">
      <alignment horizontal="left"/>
      <protection locked="0" hidden="1"/>
    </xf>
    <xf numFmtId="0" fontId="2" fillId="2" borderId="15" xfId="0" applyFont="1" applyFill="1" applyBorder="1" applyProtection="1">
      <protection locked="0"/>
    </xf>
    <xf numFmtId="165" fontId="2" fillId="2" borderId="15" xfId="2" applyNumberFormat="1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left"/>
      <protection locked="0"/>
    </xf>
    <xf numFmtId="0" fontId="2" fillId="2" borderId="15" xfId="2" applyNumberFormat="1" applyFont="1" applyFill="1" applyBorder="1" applyAlignment="1" applyProtection="1">
      <alignment horizontal="center"/>
      <protection locked="0"/>
    </xf>
    <xf numFmtId="166" fontId="2" fillId="2" borderId="15" xfId="2" applyNumberFormat="1" applyFont="1" applyFill="1" applyBorder="1" applyAlignment="1" applyProtection="1">
      <alignment horizontal="center"/>
      <protection locked="0"/>
    </xf>
    <xf numFmtId="168" fontId="2" fillId="2" borderId="15" xfId="1" applyNumberFormat="1" applyFont="1" applyFill="1" applyBorder="1" applyAlignment="1" applyProtection="1">
      <protection locked="0"/>
    </xf>
    <xf numFmtId="167" fontId="2" fillId="2" borderId="15" xfId="1" applyFont="1" applyFill="1" applyBorder="1" applyAlignment="1" applyProtection="1">
      <protection locked="0"/>
    </xf>
    <xf numFmtId="167" fontId="2" fillId="3" borderId="15" xfId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Protection="1">
      <protection locked="0"/>
    </xf>
    <xf numFmtId="165" fontId="2" fillId="2" borderId="0" xfId="2" applyNumberFormat="1" applyFont="1" applyFill="1" applyAlignment="1" applyProtection="1">
      <alignment horizontal="center"/>
      <protection locked="0"/>
    </xf>
    <xf numFmtId="0" fontId="2" fillId="2" borderId="0" xfId="2" applyNumberFormat="1" applyFont="1" applyFill="1" applyAlignment="1" applyProtection="1">
      <alignment horizontal="center"/>
      <protection locked="0"/>
    </xf>
    <xf numFmtId="166" fontId="2" fillId="2" borderId="0" xfId="2" applyNumberFormat="1" applyFont="1" applyFill="1" applyAlignment="1" applyProtection="1">
      <alignment horizontal="center"/>
      <protection locked="0"/>
    </xf>
    <xf numFmtId="167" fontId="2" fillId="2" borderId="0" xfId="1" applyFont="1" applyFill="1" applyAlignment="1" applyProtection="1">
      <protection locked="0"/>
    </xf>
    <xf numFmtId="167" fontId="2" fillId="3" borderId="0" xfId="1" applyFont="1" applyFill="1" applyAlignment="1" applyProtection="1">
      <alignment horizontal="center"/>
      <protection locked="0"/>
    </xf>
  </cellXfs>
  <cellStyles count="6">
    <cellStyle name="Comma" xfId="1" builtinId="3"/>
    <cellStyle name="Comma [0]" xfId="2" builtinId="6"/>
    <cellStyle name="Comma [0] 3 2" xfId="4" xr:uid="{C5A9ED15-9E1C-4880-BAAA-6A7C7762DBBC}"/>
    <cellStyle name="Normal" xfId="0" builtinId="0"/>
    <cellStyle name="Normal 10" xfId="5" xr:uid="{22FCAD08-721B-4766-9FD2-9F963E6D9FF4}"/>
    <cellStyle name="Normal 3" xfId="3" xr:uid="{C8FD9F0F-D00D-4D79-A500-6E38635CAF48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3333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2878387</xdr:colOff>
      <xdr:row>0</xdr:row>
      <xdr:rowOff>122464</xdr:rowOff>
    </xdr:from>
    <xdr:to>
      <xdr:col>9</xdr:col>
      <xdr:colOff>657169</xdr:colOff>
      <xdr:row>1</xdr:row>
      <xdr:rowOff>169164</xdr:rowOff>
    </xdr:to>
    <xdr:sp macro="" textlink="">
      <xdr:nvSpPr>
        <xdr:cNvPr id="2" name="Text Box 1">
          <a:hlinkClick xmlns:r="http://schemas.openxmlformats.org/officeDocument/2006/relationships" r:id="rId1" tooltip="Menu"/>
          <a:extLst>
            <a:ext uri="{FF2B5EF4-FFF2-40B4-BE49-F238E27FC236}">
              <a16:creationId xmlns:a16="http://schemas.microsoft.com/office/drawing/2014/main" id="{0D9529D0-ED89-4D8B-B321-9429EC99304A}"/>
            </a:ext>
          </a:extLst>
        </xdr:cNvPr>
        <xdr:cNvSpPr txBox="1">
          <a:spLocks noChangeArrowheads="1"/>
        </xdr:cNvSpPr>
      </xdr:nvSpPr>
      <xdr:spPr bwMode="auto">
        <a:xfrm>
          <a:off x="9869737" y="122464"/>
          <a:ext cx="912507" cy="284825"/>
        </a:xfrm>
        <a:prstGeom prst="rect">
          <a:avLst/>
        </a:prstGeom>
        <a:gradFill rotWithShape="1">
          <a:gsLst>
            <a:gs pos="0">
              <a:srgbClr val="666699"/>
            </a:gs>
            <a:gs pos="100000">
              <a:srgbClr val="FFFFFF"/>
            </a:gs>
          </a:gsLst>
          <a:lin ang="5400000" scaled="1"/>
        </a:gradFill>
        <a:ln w="9525">
          <a:solidFill>
            <a:srgbClr val="666699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100" b="0" i="0" strike="noStrike">
              <a:solidFill>
                <a:srgbClr val="800000"/>
              </a:solidFill>
              <a:latin typeface="Arial"/>
              <a:cs typeface="Arial"/>
            </a:rPr>
            <a:t>Menu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ew%20Report%20Proccare%20Jan-Mar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/PII%20STOCK%20INTERNAL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GRAM%20APLIKASI\AKUNTANSI%20EXCEL%202013\Excel2013%20u%20Akun\Bab4\aplikasi4_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AkunBantu"/>
      <sheetName val="Sheet2"/>
      <sheetName val="Sheet1"/>
      <sheetName val="Jurnal"/>
      <sheetName val="Buku Besar"/>
      <sheetName val="Claim Ongkir"/>
      <sheetName val="NOTES LEDGER"/>
      <sheetName val="BB Pembantu"/>
      <sheetName val="Neraca"/>
      <sheetName val="LabaRugi"/>
      <sheetName val="NRC"/>
      <sheetName val="RL"/>
      <sheetName val="CF "/>
      <sheetName val="IS Eng"/>
      <sheetName val="CONDOM"/>
      <sheetName val="Stock"/>
      <sheetName val="CashFlow"/>
      <sheetName val="SALES"/>
      <sheetName val="LIST PEMOTONGAN PPH 23"/>
      <sheetName val="BNI IDR"/>
      <sheetName val="REKAP PAJAK"/>
      <sheetName val="DAFSET"/>
      <sheetName val="BS"/>
      <sheetName val="IS"/>
      <sheetName val="Sewa &amp; Asuransi"/>
      <sheetName val="NOTES"/>
      <sheetName val="AP"/>
    </sheetNames>
    <sheetDataSet>
      <sheetData sheetId="0">
        <row r="4">
          <cell r="C4" t="str">
            <v>PT. PROCARRE INTERNATIONAL INDONESIA</v>
          </cell>
        </row>
        <row r="7">
          <cell r="C7" t="str">
            <v>JAN - DES</v>
          </cell>
        </row>
        <row r="8">
          <cell r="C8">
            <v>2022</v>
          </cell>
        </row>
      </sheetData>
      <sheetData sheetId="1">
        <row r="1">
          <cell r="A1" t="str">
            <v>PT. PROCARRE INTERNATIONAL INDONESIA</v>
          </cell>
        </row>
        <row r="2">
          <cell r="A2" t="str">
            <v>DAFTAR AKUN</v>
          </cell>
        </row>
        <row r="3">
          <cell r="A3" t="str">
            <v>Bulan : JAN - DES 2022</v>
          </cell>
        </row>
        <row r="5">
          <cell r="A5" t="str">
            <v>Kode</v>
          </cell>
          <cell r="B5" t="str">
            <v>Nama Akun</v>
          </cell>
          <cell r="C5" t="str">
            <v>Pos</v>
          </cell>
          <cell r="D5" t="str">
            <v>Pos</v>
          </cell>
          <cell r="F5" t="str">
            <v>Saldo Awal</v>
          </cell>
          <cell r="G5" t="str">
            <v>Saldo Awal</v>
          </cell>
        </row>
        <row r="6">
          <cell r="A6" t="str">
            <v>Akun</v>
          </cell>
          <cell r="C6" t="str">
            <v>atk</v>
          </cell>
          <cell r="D6" t="str">
            <v>Laporan</v>
          </cell>
          <cell r="F6" t="str">
            <v>Debet</v>
          </cell>
          <cell r="G6" t="str">
            <v>Kredit</v>
          </cell>
        </row>
        <row r="7">
          <cell r="A7">
            <v>1</v>
          </cell>
          <cell r="B7" t="str">
            <v xml:space="preserve"> A  K   T   I   V   A</v>
          </cell>
          <cell r="C7" t="str">
            <v>Db</v>
          </cell>
          <cell r="D7" t="str">
            <v>NRC</v>
          </cell>
          <cell r="F7">
            <v>0</v>
          </cell>
          <cell r="G7">
            <v>0</v>
          </cell>
        </row>
        <row r="8">
          <cell r="A8">
            <v>11</v>
          </cell>
          <cell r="B8" t="str">
            <v>Aktiva Lancar</v>
          </cell>
          <cell r="C8" t="str">
            <v>Db</v>
          </cell>
          <cell r="D8" t="str">
            <v>NRC</v>
          </cell>
          <cell r="F8">
            <v>0</v>
          </cell>
          <cell r="G8">
            <v>0</v>
          </cell>
        </row>
        <row r="9">
          <cell r="A9">
            <v>110</v>
          </cell>
          <cell r="B9" t="str">
            <v xml:space="preserve"> Kas Kecil</v>
          </cell>
          <cell r="C9" t="str">
            <v>Db</v>
          </cell>
          <cell r="D9" t="str">
            <v>NRC</v>
          </cell>
          <cell r="F9">
            <v>5122478.0845031701</v>
          </cell>
          <cell r="G9">
            <v>0</v>
          </cell>
        </row>
        <row r="10">
          <cell r="A10">
            <v>111</v>
          </cell>
          <cell r="B10" t="str">
            <v xml:space="preserve"> Bank </v>
          </cell>
          <cell r="C10" t="str">
            <v>Db</v>
          </cell>
          <cell r="D10" t="str">
            <v>NRC</v>
          </cell>
          <cell r="F10">
            <v>0</v>
          </cell>
          <cell r="G10">
            <v>0</v>
          </cell>
        </row>
        <row r="11">
          <cell r="A11">
            <v>111.01</v>
          </cell>
          <cell r="B11" t="str">
            <v>BNI IDR 768</v>
          </cell>
          <cell r="C11" t="str">
            <v>Db</v>
          </cell>
          <cell r="D11" t="str">
            <v>NRC</v>
          </cell>
          <cell r="F11">
            <v>3291181735</v>
          </cell>
          <cell r="G11">
            <v>0</v>
          </cell>
        </row>
        <row r="12">
          <cell r="A12">
            <v>111.02</v>
          </cell>
          <cell r="B12" t="str">
            <v>BNI USD 688</v>
          </cell>
          <cell r="C12" t="str">
            <v>Db</v>
          </cell>
          <cell r="D12" t="str">
            <v>NRC</v>
          </cell>
          <cell r="F12">
            <v>21296535.199999988</v>
          </cell>
          <cell r="G12">
            <v>0</v>
          </cell>
        </row>
        <row r="13">
          <cell r="A13">
            <v>111.03</v>
          </cell>
          <cell r="B13" t="str">
            <v>BCA 8607</v>
          </cell>
          <cell r="C13" t="str">
            <v>Db</v>
          </cell>
          <cell r="D13" t="str">
            <v>NRC</v>
          </cell>
          <cell r="F13">
            <v>429851105</v>
          </cell>
          <cell r="G13">
            <v>0</v>
          </cell>
        </row>
        <row r="14">
          <cell r="A14">
            <v>111.04</v>
          </cell>
          <cell r="B14" t="str">
            <v>BCA 8615</v>
          </cell>
          <cell r="C14" t="str">
            <v>Db</v>
          </cell>
          <cell r="D14" t="str">
            <v>NRC</v>
          </cell>
          <cell r="F14">
            <v>1585000</v>
          </cell>
          <cell r="G14">
            <v>0</v>
          </cell>
        </row>
        <row r="15">
          <cell r="A15">
            <v>111.05</v>
          </cell>
          <cell r="B15" t="str">
            <v>BCA USD 8623</v>
          </cell>
          <cell r="C15" t="str">
            <v>Db</v>
          </cell>
          <cell r="D15" t="str">
            <v>NRC</v>
          </cell>
          <cell r="F15">
            <v>14144016</v>
          </cell>
          <cell r="G15">
            <v>0</v>
          </cell>
        </row>
        <row r="16">
          <cell r="A16">
            <v>111.9</v>
          </cell>
          <cell r="B16" t="str">
            <v>Deviden</v>
          </cell>
          <cell r="C16" t="str">
            <v>Db</v>
          </cell>
          <cell r="D16" t="str">
            <v>NRC</v>
          </cell>
        </row>
        <row r="17">
          <cell r="A17">
            <v>112</v>
          </cell>
          <cell r="B17" t="str">
            <v>Piutang Usaha</v>
          </cell>
          <cell r="C17" t="str">
            <v>Db</v>
          </cell>
          <cell r="D17" t="str">
            <v>NRC</v>
          </cell>
          <cell r="F17">
            <v>4646137871.2189064</v>
          </cell>
          <cell r="G17">
            <v>0</v>
          </cell>
        </row>
        <row r="18">
          <cell r="A18">
            <v>113</v>
          </cell>
          <cell r="B18" t="str">
            <v>Piutang Karyawan</v>
          </cell>
          <cell r="C18" t="str">
            <v>Db</v>
          </cell>
          <cell r="D18" t="str">
            <v>NRC</v>
          </cell>
          <cell r="F18">
            <v>18695168.82</v>
          </cell>
          <cell r="G18">
            <v>0</v>
          </cell>
        </row>
        <row r="19">
          <cell r="A19">
            <v>114</v>
          </cell>
          <cell r="B19" t="str">
            <v>Piutang Lain - Lain</v>
          </cell>
          <cell r="C19" t="str">
            <v>Db</v>
          </cell>
          <cell r="D19" t="str">
            <v>NRC</v>
          </cell>
          <cell r="F19">
            <v>25800022.092499971</v>
          </cell>
          <cell r="G19">
            <v>0</v>
          </cell>
        </row>
        <row r="20">
          <cell r="A20">
            <v>115</v>
          </cell>
          <cell r="B20" t="str">
            <v>Piutang Pihak ke 3 - PT Proteksi</v>
          </cell>
          <cell r="C20" t="str">
            <v>Db</v>
          </cell>
          <cell r="D20" t="str">
            <v>NRC</v>
          </cell>
          <cell r="F20">
            <v>23750000</v>
          </cell>
          <cell r="G20">
            <v>0</v>
          </cell>
        </row>
        <row r="21">
          <cell r="A21">
            <v>116</v>
          </cell>
          <cell r="B21" t="str">
            <v>Persediaan  Barang Dagangan</v>
          </cell>
          <cell r="C21" t="str">
            <v>Db</v>
          </cell>
          <cell r="D21" t="str">
            <v>NRC</v>
          </cell>
          <cell r="F21">
            <v>0</v>
          </cell>
          <cell r="G21">
            <v>0</v>
          </cell>
        </row>
        <row r="22">
          <cell r="A22">
            <v>116.01</v>
          </cell>
          <cell r="B22" t="str">
            <v>Persediaan Intouch</v>
          </cell>
          <cell r="C22" t="str">
            <v>Db</v>
          </cell>
          <cell r="D22" t="str">
            <v>NRC</v>
          </cell>
          <cell r="F22">
            <v>2527035120.5313463</v>
          </cell>
          <cell r="G22">
            <v>0</v>
          </cell>
        </row>
        <row r="23">
          <cell r="A23">
            <v>116.02</v>
          </cell>
          <cell r="B23" t="str">
            <v>Persediaan Exam</v>
          </cell>
          <cell r="C23" t="str">
            <v>Db</v>
          </cell>
          <cell r="D23" t="str">
            <v>NRC</v>
          </cell>
          <cell r="F23">
            <v>2918689514.2735538</v>
          </cell>
          <cell r="G23">
            <v>0</v>
          </cell>
        </row>
        <row r="24">
          <cell r="A24">
            <v>116.03</v>
          </cell>
          <cell r="B24" t="str">
            <v>Persediaan Condom</v>
          </cell>
          <cell r="C24" t="str">
            <v>Db</v>
          </cell>
          <cell r="D24" t="str">
            <v>NRC</v>
          </cell>
          <cell r="F24">
            <v>3388805082.5635047</v>
          </cell>
          <cell r="G24">
            <v>0</v>
          </cell>
        </row>
        <row r="25">
          <cell r="A25">
            <v>117</v>
          </cell>
          <cell r="B25" t="str">
            <v>Pajak Dibayar Di Muka</v>
          </cell>
          <cell r="C25" t="str">
            <v>Db</v>
          </cell>
          <cell r="D25" t="str">
            <v>NRC</v>
          </cell>
          <cell r="F25">
            <v>0</v>
          </cell>
          <cell r="G25">
            <v>0</v>
          </cell>
        </row>
        <row r="26">
          <cell r="A26">
            <v>117.01</v>
          </cell>
          <cell r="B26" t="str">
            <v>Pajak Dibayar Di Muka - PPN Masukan</v>
          </cell>
          <cell r="C26" t="str">
            <v>Db</v>
          </cell>
          <cell r="D26" t="str">
            <v>NRC</v>
          </cell>
          <cell r="F26">
            <v>0</v>
          </cell>
          <cell r="G26">
            <v>0</v>
          </cell>
        </row>
        <row r="27">
          <cell r="A27">
            <v>117.02</v>
          </cell>
          <cell r="B27" t="str">
            <v>Pajak Dibayar Di Muka - PPh 22</v>
          </cell>
          <cell r="C27" t="str">
            <v>Db</v>
          </cell>
          <cell r="D27" t="str">
            <v>NRC</v>
          </cell>
          <cell r="F27">
            <v>-0.44925022125244141</v>
          </cell>
          <cell r="G27">
            <v>0</v>
          </cell>
        </row>
        <row r="28">
          <cell r="A28">
            <v>117.03</v>
          </cell>
          <cell r="B28" t="str">
            <v>Pajak Dibayar Di Muka - PPh 23</v>
          </cell>
          <cell r="C28" t="str">
            <v>Db</v>
          </cell>
          <cell r="D28" t="str">
            <v>NRC</v>
          </cell>
          <cell r="F28">
            <v>0</v>
          </cell>
          <cell r="G28">
            <v>0</v>
          </cell>
        </row>
        <row r="29">
          <cell r="A29">
            <v>117.04</v>
          </cell>
          <cell r="B29" t="str">
            <v>Pajak Dibayar Di Muka - PPh 25</v>
          </cell>
          <cell r="C29" t="str">
            <v>Db</v>
          </cell>
          <cell r="D29" t="str">
            <v>NRC</v>
          </cell>
          <cell r="F29">
            <v>0</v>
          </cell>
          <cell r="G29">
            <v>0</v>
          </cell>
        </row>
        <row r="30">
          <cell r="A30">
            <v>117.05</v>
          </cell>
          <cell r="B30" t="str">
            <v>Piutang PPH Pasal 28 A</v>
          </cell>
          <cell r="C30" t="str">
            <v>Db</v>
          </cell>
          <cell r="D30" t="str">
            <v>NRC</v>
          </cell>
          <cell r="F30">
            <v>88797538</v>
          </cell>
          <cell r="G30">
            <v>0</v>
          </cell>
        </row>
        <row r="31">
          <cell r="A31">
            <v>117.06</v>
          </cell>
          <cell r="B31" t="str">
            <v>Pajak Dibayar Dimuka - Bea Masuk</v>
          </cell>
          <cell r="C31" t="str">
            <v>Db</v>
          </cell>
          <cell r="D31" t="str">
            <v>NRC</v>
          </cell>
          <cell r="F31">
            <v>0</v>
          </cell>
          <cell r="G31">
            <v>0</v>
          </cell>
        </row>
        <row r="32">
          <cell r="A32">
            <v>118</v>
          </cell>
          <cell r="B32" t="str">
            <v>Biaya Dibayar Dimuka</v>
          </cell>
          <cell r="C32" t="str">
            <v>Db</v>
          </cell>
          <cell r="D32" t="str">
            <v>NRC</v>
          </cell>
          <cell r="F32">
            <v>0</v>
          </cell>
          <cell r="G32">
            <v>0</v>
          </cell>
        </row>
        <row r="33">
          <cell r="A33">
            <v>118.01</v>
          </cell>
          <cell r="B33" t="str">
            <v>Sewa Dibayar Dimuka</v>
          </cell>
          <cell r="C33" t="str">
            <v>Db</v>
          </cell>
          <cell r="D33" t="str">
            <v>NRC</v>
          </cell>
          <cell r="F33">
            <v>268611110.79166675</v>
          </cell>
          <cell r="G33">
            <v>0</v>
          </cell>
        </row>
        <row r="34">
          <cell r="A34">
            <v>118.02</v>
          </cell>
          <cell r="B34" t="str">
            <v>Asuransi Dibayar Dimuka</v>
          </cell>
          <cell r="C34" t="str">
            <v>Db</v>
          </cell>
          <cell r="D34" t="str">
            <v>NRC</v>
          </cell>
          <cell r="F34">
            <v>7860111.107777372</v>
          </cell>
          <cell r="G34">
            <v>0</v>
          </cell>
        </row>
        <row r="35">
          <cell r="A35">
            <v>118.03</v>
          </cell>
          <cell r="B35" t="str">
            <v>Biaya Dibayar Dimuka Lainnya</v>
          </cell>
          <cell r="C35" t="str">
            <v>Db</v>
          </cell>
          <cell r="D35" t="str">
            <v>NRC</v>
          </cell>
          <cell r="F35">
            <v>0</v>
          </cell>
          <cell r="G35">
            <v>0</v>
          </cell>
        </row>
        <row r="36">
          <cell r="A36">
            <v>119</v>
          </cell>
          <cell r="B36" t="str">
            <v>Uang Muka Biaya Pengiriman dan Perjalanan Dinas Marketing</v>
          </cell>
          <cell r="C36" t="str">
            <v>Db</v>
          </cell>
          <cell r="D36" t="str">
            <v>NRC</v>
          </cell>
          <cell r="F36">
            <v>3775000</v>
          </cell>
          <cell r="G36">
            <v>0</v>
          </cell>
        </row>
        <row r="37">
          <cell r="A37">
            <v>120</v>
          </cell>
          <cell r="B37" t="str">
            <v>Jaminan</v>
          </cell>
          <cell r="C37" t="str">
            <v>Db</v>
          </cell>
          <cell r="D37" t="str">
            <v>NRC</v>
          </cell>
          <cell r="F37">
            <v>-30085750</v>
          </cell>
          <cell r="G37">
            <v>0</v>
          </cell>
        </row>
        <row r="38">
          <cell r="A38">
            <v>121</v>
          </cell>
          <cell r="B38" t="str">
            <v>Aktiva Tetap</v>
          </cell>
          <cell r="C38" t="str">
            <v>Db</v>
          </cell>
          <cell r="D38" t="str">
            <v>NRC</v>
          </cell>
          <cell r="F38">
            <v>0</v>
          </cell>
          <cell r="G38">
            <v>0</v>
          </cell>
        </row>
        <row r="39">
          <cell r="A39">
            <v>121.01</v>
          </cell>
          <cell r="B39" t="str">
            <v>Tanah</v>
          </cell>
          <cell r="C39" t="str">
            <v>Db</v>
          </cell>
          <cell r="D39" t="str">
            <v>NRC</v>
          </cell>
          <cell r="F39">
            <v>0</v>
          </cell>
          <cell r="G39">
            <v>0</v>
          </cell>
        </row>
        <row r="40">
          <cell r="A40">
            <v>121.02</v>
          </cell>
          <cell r="B40" t="str">
            <v>Bangunan</v>
          </cell>
          <cell r="C40" t="str">
            <v>Db</v>
          </cell>
          <cell r="D40" t="str">
            <v>NRC</v>
          </cell>
          <cell r="F40">
            <v>0</v>
          </cell>
          <cell r="G40">
            <v>0</v>
          </cell>
        </row>
        <row r="41">
          <cell r="A41">
            <v>121.03</v>
          </cell>
          <cell r="B41" t="str">
            <v>Mesin</v>
          </cell>
          <cell r="C41" t="str">
            <v>Db</v>
          </cell>
          <cell r="D41" t="str">
            <v>NRC</v>
          </cell>
          <cell r="F41">
            <v>0</v>
          </cell>
          <cell r="G41">
            <v>0</v>
          </cell>
        </row>
        <row r="42">
          <cell r="A42">
            <v>121.04</v>
          </cell>
          <cell r="B42" t="str">
            <v>Peralatan</v>
          </cell>
          <cell r="C42" t="str">
            <v>Db</v>
          </cell>
          <cell r="D42" t="str">
            <v>NRC</v>
          </cell>
          <cell r="F42">
            <v>0</v>
          </cell>
          <cell r="G42">
            <v>0</v>
          </cell>
        </row>
        <row r="43">
          <cell r="A43">
            <v>121.05</v>
          </cell>
          <cell r="B43" t="str">
            <v>Kendaraan</v>
          </cell>
          <cell r="C43" t="str">
            <v>Db</v>
          </cell>
          <cell r="D43" t="str">
            <v>NRC</v>
          </cell>
          <cell r="F43">
            <v>493729682</v>
          </cell>
          <cell r="G43">
            <v>0</v>
          </cell>
        </row>
        <row r="44">
          <cell r="A44">
            <v>121.06</v>
          </cell>
          <cell r="B44" t="str">
            <v>Inventaris Kantor</v>
          </cell>
          <cell r="C44" t="str">
            <v>Db</v>
          </cell>
          <cell r="D44" t="str">
            <v>NRC</v>
          </cell>
          <cell r="F44">
            <v>627922194.704</v>
          </cell>
          <cell r="G44">
            <v>0</v>
          </cell>
        </row>
        <row r="45">
          <cell r="A45">
            <v>121.07</v>
          </cell>
          <cell r="B45" t="str">
            <v>Other Assets</v>
          </cell>
          <cell r="C45" t="str">
            <v>Db</v>
          </cell>
          <cell r="D45" t="str">
            <v>NRC</v>
          </cell>
          <cell r="F45">
            <v>0</v>
          </cell>
          <cell r="G45">
            <v>0</v>
          </cell>
        </row>
        <row r="46">
          <cell r="A46">
            <v>122</v>
          </cell>
          <cell r="B46" t="str">
            <v>Akumulasi Penyusutan</v>
          </cell>
          <cell r="C46" t="str">
            <v>Db</v>
          </cell>
          <cell r="D46" t="str">
            <v>NRC</v>
          </cell>
          <cell r="F46">
            <v>0</v>
          </cell>
          <cell r="G46">
            <v>0</v>
          </cell>
        </row>
        <row r="47">
          <cell r="A47">
            <v>122.01</v>
          </cell>
          <cell r="B47" t="str">
            <v xml:space="preserve">Akumulasi Peny Bangunan </v>
          </cell>
          <cell r="C47" t="str">
            <v>Db</v>
          </cell>
          <cell r="D47" t="str">
            <v>NRC</v>
          </cell>
          <cell r="F47">
            <v>0</v>
          </cell>
          <cell r="G47">
            <v>0</v>
          </cell>
        </row>
        <row r="48">
          <cell r="A48">
            <v>122.02</v>
          </cell>
          <cell r="B48" t="str">
            <v>Akumulasi Peny Mesin</v>
          </cell>
          <cell r="C48" t="str">
            <v>Db</v>
          </cell>
          <cell r="D48" t="str">
            <v>NRC</v>
          </cell>
          <cell r="F48">
            <v>0</v>
          </cell>
          <cell r="G48">
            <v>0</v>
          </cell>
        </row>
        <row r="49">
          <cell r="A49">
            <v>122.03</v>
          </cell>
          <cell r="B49" t="str">
            <v>Akumulasi Peny Peralatan</v>
          </cell>
          <cell r="C49" t="str">
            <v>Db</v>
          </cell>
          <cell r="D49" t="str">
            <v>NRC</v>
          </cell>
          <cell r="F49">
            <v>0</v>
          </cell>
          <cell r="G49">
            <v>0</v>
          </cell>
        </row>
        <row r="50">
          <cell r="A50">
            <v>122.04</v>
          </cell>
          <cell r="B50" t="str">
            <v>Akumulasi Peny Kendaraan</v>
          </cell>
          <cell r="C50" t="str">
            <v>Db</v>
          </cell>
          <cell r="D50" t="str">
            <v>NRC</v>
          </cell>
          <cell r="F50">
            <v>-44753905.333333343</v>
          </cell>
          <cell r="G50">
            <v>0</v>
          </cell>
        </row>
        <row r="51">
          <cell r="A51">
            <v>122.05</v>
          </cell>
          <cell r="B51" t="str">
            <v>Akumulasi Peny Inventaris Kantor</v>
          </cell>
          <cell r="C51" t="str">
            <v>Db</v>
          </cell>
          <cell r="D51" t="str">
            <v>NRC</v>
          </cell>
          <cell r="F51">
            <v>-397156985.06249988</v>
          </cell>
          <cell r="G51">
            <v>0</v>
          </cell>
        </row>
        <row r="52">
          <cell r="A52">
            <v>122.06</v>
          </cell>
          <cell r="B52" t="str">
            <v>Akumulasi Amortisasi Other Assets</v>
          </cell>
          <cell r="C52" t="str">
            <v>Db</v>
          </cell>
          <cell r="D52" t="str">
            <v>NRC</v>
          </cell>
          <cell r="F52">
            <v>0</v>
          </cell>
          <cell r="G52">
            <v>0</v>
          </cell>
        </row>
        <row r="53">
          <cell r="A53">
            <v>21</v>
          </cell>
          <cell r="B53" t="str">
            <v>KEWAJIBAN</v>
          </cell>
          <cell r="C53" t="str">
            <v>Db</v>
          </cell>
          <cell r="D53" t="str">
            <v>NRC</v>
          </cell>
          <cell r="F53">
            <v>0</v>
          </cell>
          <cell r="G53">
            <v>0</v>
          </cell>
        </row>
        <row r="54">
          <cell r="A54">
            <v>210</v>
          </cell>
          <cell r="B54" t="str">
            <v>Hutang Jangka Pendek</v>
          </cell>
          <cell r="C54" t="str">
            <v>Kr</v>
          </cell>
          <cell r="D54" t="str">
            <v>NRC</v>
          </cell>
          <cell r="F54">
            <v>0</v>
          </cell>
          <cell r="G54">
            <v>0</v>
          </cell>
        </row>
        <row r="55">
          <cell r="A55">
            <v>210.01</v>
          </cell>
          <cell r="B55" t="str">
            <v>Hutang Usaha</v>
          </cell>
          <cell r="C55" t="str">
            <v>Kr</v>
          </cell>
          <cell r="D55" t="str">
            <v>NRC</v>
          </cell>
          <cell r="F55">
            <v>0</v>
          </cell>
          <cell r="G55">
            <v>2976638322.3999996</v>
          </cell>
        </row>
        <row r="56">
          <cell r="A56">
            <v>210.2</v>
          </cell>
          <cell r="B56" t="str">
            <v>Pendapatan Diterima Dimuka</v>
          </cell>
          <cell r="C56" t="str">
            <v>Kr</v>
          </cell>
          <cell r="D56" t="str">
            <v>NRC</v>
          </cell>
          <cell r="F56">
            <v>0</v>
          </cell>
          <cell r="G56">
            <v>0</v>
          </cell>
        </row>
        <row r="57">
          <cell r="A57">
            <v>211</v>
          </cell>
          <cell r="B57" t="str">
            <v>Hutang Pajak</v>
          </cell>
          <cell r="C57" t="str">
            <v>Kr</v>
          </cell>
          <cell r="D57" t="str">
            <v>NRC</v>
          </cell>
          <cell r="F57">
            <v>0</v>
          </cell>
          <cell r="G57">
            <v>0</v>
          </cell>
        </row>
        <row r="58">
          <cell r="A58">
            <v>211.01</v>
          </cell>
          <cell r="B58" t="str">
            <v>Hutang Pajak PPN</v>
          </cell>
          <cell r="C58" t="str">
            <v>Kr</v>
          </cell>
          <cell r="D58" t="str">
            <v>NRC</v>
          </cell>
          <cell r="F58">
            <v>0</v>
          </cell>
          <cell r="G58">
            <v>226009370.45474887</v>
          </cell>
        </row>
        <row r="59">
          <cell r="A59">
            <v>211.02</v>
          </cell>
          <cell r="B59" t="str">
            <v>Hutang PPh 21</v>
          </cell>
          <cell r="C59" t="str">
            <v>Kr</v>
          </cell>
          <cell r="D59" t="str">
            <v>NRC</v>
          </cell>
          <cell r="F59">
            <v>0</v>
          </cell>
          <cell r="G59">
            <v>4215500</v>
          </cell>
        </row>
        <row r="60">
          <cell r="A60">
            <v>211.03</v>
          </cell>
          <cell r="B60" t="str">
            <v>Hutang PPh 22</v>
          </cell>
          <cell r="C60" t="str">
            <v>Kr</v>
          </cell>
          <cell r="D60" t="str">
            <v>NRC</v>
          </cell>
          <cell r="F60">
            <v>0</v>
          </cell>
          <cell r="G60">
            <v>0</v>
          </cell>
        </row>
        <row r="61">
          <cell r="A61">
            <v>211.04</v>
          </cell>
          <cell r="B61" t="str">
            <v>Hutang PPh 23</v>
          </cell>
          <cell r="C61" t="str">
            <v>Kr</v>
          </cell>
          <cell r="D61" t="str">
            <v>NRC</v>
          </cell>
          <cell r="F61">
            <v>0</v>
          </cell>
          <cell r="G61">
            <v>6435124.6797263622</v>
          </cell>
        </row>
        <row r="62">
          <cell r="A62">
            <v>211.05</v>
          </cell>
          <cell r="B62" t="str">
            <v>Hutang PPh 25</v>
          </cell>
          <cell r="C62" t="str">
            <v>Kr</v>
          </cell>
          <cell r="D62" t="str">
            <v>NRC</v>
          </cell>
          <cell r="F62">
            <v>0</v>
          </cell>
          <cell r="G62">
            <v>18433778</v>
          </cell>
        </row>
        <row r="63">
          <cell r="A63">
            <v>211.06</v>
          </cell>
          <cell r="B63" t="str">
            <v>Hutang PPh 29</v>
          </cell>
          <cell r="C63" t="str">
            <v>Kr</v>
          </cell>
          <cell r="D63" t="str">
            <v>NRC</v>
          </cell>
          <cell r="F63">
            <v>0</v>
          </cell>
          <cell r="G63">
            <v>0.28873515129089355</v>
          </cell>
        </row>
        <row r="64">
          <cell r="A64">
            <v>211.07</v>
          </cell>
          <cell r="B64" t="str">
            <v>Hutang PPh 4 (2)</v>
          </cell>
          <cell r="C64" t="str">
            <v>Kr</v>
          </cell>
          <cell r="D64" t="str">
            <v>NRC</v>
          </cell>
          <cell r="F64">
            <v>0</v>
          </cell>
          <cell r="G64">
            <v>0</v>
          </cell>
        </row>
        <row r="65">
          <cell r="A65">
            <v>211.2</v>
          </cell>
          <cell r="B65" t="str">
            <v>Hutang Pajak Lainnya</v>
          </cell>
          <cell r="C65" t="str">
            <v>Kr</v>
          </cell>
          <cell r="D65" t="str">
            <v>NRC</v>
          </cell>
          <cell r="F65">
            <v>0</v>
          </cell>
          <cell r="G65">
            <v>0</v>
          </cell>
        </row>
        <row r="66">
          <cell r="A66">
            <v>212</v>
          </cell>
          <cell r="B66" t="str">
            <v>Biaya Yang masih Harus Dibayar</v>
          </cell>
          <cell r="C66" t="str">
            <v>Kr</v>
          </cell>
          <cell r="D66" t="str">
            <v>NRC</v>
          </cell>
          <cell r="F66">
            <v>0</v>
          </cell>
          <cell r="G66">
            <v>0</v>
          </cell>
        </row>
        <row r="67">
          <cell r="A67">
            <v>220</v>
          </cell>
          <cell r="B67" t="str">
            <v>Hutang Jangka Panjang</v>
          </cell>
          <cell r="C67" t="str">
            <v>Kr</v>
          </cell>
          <cell r="D67" t="str">
            <v>NRC</v>
          </cell>
          <cell r="F67">
            <v>0</v>
          </cell>
          <cell r="G67">
            <v>0</v>
          </cell>
        </row>
        <row r="68">
          <cell r="A68">
            <v>220.01</v>
          </cell>
          <cell r="B68" t="str">
            <v>Hutang Bank/Leasing</v>
          </cell>
          <cell r="C68" t="str">
            <v>Kr</v>
          </cell>
          <cell r="D68" t="str">
            <v>NRC</v>
          </cell>
          <cell r="F68">
            <v>0</v>
          </cell>
          <cell r="G68">
            <v>317260157</v>
          </cell>
        </row>
        <row r="69">
          <cell r="A69">
            <v>220.02</v>
          </cell>
          <cell r="B69" t="str">
            <v>Hutang Direksi</v>
          </cell>
          <cell r="C69" t="str">
            <v>Kr</v>
          </cell>
          <cell r="D69" t="str">
            <v>NRC</v>
          </cell>
          <cell r="F69">
            <v>0</v>
          </cell>
          <cell r="G69">
            <v>1191491325.5392885</v>
          </cell>
        </row>
        <row r="70">
          <cell r="A70">
            <v>220.03</v>
          </cell>
          <cell r="B70" t="str">
            <v>Hutang BIaya</v>
          </cell>
          <cell r="C70" t="str">
            <v>Kr</v>
          </cell>
          <cell r="D70" t="str">
            <v>NRC</v>
          </cell>
          <cell r="F70">
            <v>0</v>
          </cell>
          <cell r="G70">
            <v>12080733.986591816</v>
          </cell>
        </row>
        <row r="71">
          <cell r="A71">
            <v>220.9</v>
          </cell>
          <cell r="B71" t="str">
            <v>Hutang Lain-lain</v>
          </cell>
          <cell r="C71" t="str">
            <v>Kr</v>
          </cell>
          <cell r="D71" t="str">
            <v>NRC</v>
          </cell>
          <cell r="F71">
            <v>0</v>
          </cell>
          <cell r="G71">
            <v>0</v>
          </cell>
        </row>
        <row r="72">
          <cell r="A72">
            <v>310</v>
          </cell>
          <cell r="B72" t="str">
            <v>EQUITY</v>
          </cell>
          <cell r="C72" t="str">
            <v>Kr</v>
          </cell>
          <cell r="D72" t="str">
            <v>NRC</v>
          </cell>
          <cell r="F72">
            <v>0</v>
          </cell>
          <cell r="G72">
            <v>0</v>
          </cell>
        </row>
        <row r="73">
          <cell r="A73">
            <v>310.01</v>
          </cell>
          <cell r="B73" t="str">
            <v>Modal</v>
          </cell>
          <cell r="C73" t="str">
            <v>Kr</v>
          </cell>
          <cell r="D73" t="str">
            <v>NRC</v>
          </cell>
          <cell r="F73">
            <v>0</v>
          </cell>
          <cell r="G73">
            <v>3250000000</v>
          </cell>
        </row>
        <row r="74">
          <cell r="A74">
            <v>310.02</v>
          </cell>
          <cell r="B74" t="str">
            <v>Laba/Rugi Ditahan</v>
          </cell>
          <cell r="C74" t="str">
            <v>Kr</v>
          </cell>
          <cell r="D74" t="str">
            <v>NRC</v>
          </cell>
          <cell r="F74">
            <v>0</v>
          </cell>
          <cell r="G74">
            <v>10328228332.193584</v>
          </cell>
        </row>
        <row r="75">
          <cell r="A75">
            <v>310.02999999999997</v>
          </cell>
          <cell r="B75" t="str">
            <v xml:space="preserve">   Laba / Rugi s/d bulan lalu</v>
          </cell>
          <cell r="C75" t="str">
            <v>Kr</v>
          </cell>
          <cell r="D75" t="str">
            <v>NRC</v>
          </cell>
          <cell r="F75">
            <v>0</v>
          </cell>
          <cell r="G75">
            <v>0</v>
          </cell>
        </row>
        <row r="76">
          <cell r="A76">
            <v>310.04000000000002</v>
          </cell>
          <cell r="B76" t="str">
            <v xml:space="preserve">   Laba / Rugi bulan berjalan</v>
          </cell>
          <cell r="C76" t="str">
            <v>Kr</v>
          </cell>
          <cell r="D76" t="str">
            <v>NRC</v>
          </cell>
          <cell r="F76">
            <v>0</v>
          </cell>
          <cell r="G76">
            <v>0</v>
          </cell>
        </row>
        <row r="77">
          <cell r="A77">
            <v>310.05</v>
          </cell>
          <cell r="B77" t="str">
            <v>Ikhtisar Laba Rugi</v>
          </cell>
          <cell r="C77" t="str">
            <v>Kr</v>
          </cell>
          <cell r="D77" t="str">
            <v>NRC</v>
          </cell>
          <cell r="F77">
            <v>0</v>
          </cell>
          <cell r="G77">
            <v>0</v>
          </cell>
        </row>
        <row r="78">
          <cell r="A78">
            <v>410</v>
          </cell>
          <cell r="B78" t="str">
            <v>Penjualan</v>
          </cell>
          <cell r="C78" t="str">
            <v>Kr</v>
          </cell>
          <cell r="D78" t="str">
            <v>LR</v>
          </cell>
          <cell r="F78">
            <v>0</v>
          </cell>
          <cell r="G78">
            <v>0</v>
          </cell>
        </row>
        <row r="79">
          <cell r="A79">
            <v>410.01</v>
          </cell>
          <cell r="B79" t="str">
            <v>Penjualan Intouch</v>
          </cell>
          <cell r="C79" t="str">
            <v>Kr</v>
          </cell>
          <cell r="D79" t="str">
            <v>LR</v>
          </cell>
          <cell r="F79">
            <v>0</v>
          </cell>
          <cell r="G79">
            <v>0</v>
          </cell>
        </row>
        <row r="80">
          <cell r="A80">
            <v>410.02</v>
          </cell>
          <cell r="B80" t="str">
            <v>Penjualan Condom</v>
          </cell>
          <cell r="C80" t="str">
            <v>Kr</v>
          </cell>
          <cell r="D80" t="str">
            <v>LR</v>
          </cell>
          <cell r="F80">
            <v>0</v>
          </cell>
          <cell r="G80">
            <v>0</v>
          </cell>
        </row>
        <row r="81">
          <cell r="A81">
            <v>410.03</v>
          </cell>
          <cell r="B81" t="str">
            <v>Penjualan Exam</v>
          </cell>
          <cell r="C81" t="str">
            <v>Kr</v>
          </cell>
          <cell r="D81" t="str">
            <v>LR</v>
          </cell>
          <cell r="F81">
            <v>0</v>
          </cell>
          <cell r="G81">
            <v>0</v>
          </cell>
        </row>
        <row r="82">
          <cell r="A82">
            <v>411</v>
          </cell>
          <cell r="B82" t="str">
            <v>Retur Penjualan</v>
          </cell>
          <cell r="C82" t="str">
            <v>Kr</v>
          </cell>
          <cell r="D82" t="str">
            <v>LR</v>
          </cell>
          <cell r="F82">
            <v>0</v>
          </cell>
          <cell r="G82">
            <v>0</v>
          </cell>
        </row>
        <row r="83">
          <cell r="A83">
            <v>411.01</v>
          </cell>
          <cell r="B83" t="str">
            <v>Retur Penjualan Intouch</v>
          </cell>
          <cell r="C83" t="str">
            <v>Kr</v>
          </cell>
          <cell r="D83" t="str">
            <v>LR</v>
          </cell>
          <cell r="F83">
            <v>0</v>
          </cell>
          <cell r="G83">
            <v>0</v>
          </cell>
        </row>
        <row r="84">
          <cell r="A84">
            <v>411.02</v>
          </cell>
          <cell r="B84" t="str">
            <v>Retur Penjualan Condom</v>
          </cell>
          <cell r="C84" t="str">
            <v>Kr</v>
          </cell>
          <cell r="D84" t="str">
            <v>LR</v>
          </cell>
          <cell r="F84">
            <v>0</v>
          </cell>
          <cell r="G84">
            <v>0</v>
          </cell>
        </row>
        <row r="85">
          <cell r="A85">
            <v>411.03</v>
          </cell>
          <cell r="B85" t="str">
            <v>Retur Penjualan Exam</v>
          </cell>
          <cell r="C85" t="str">
            <v>Kr</v>
          </cell>
          <cell r="D85" t="str">
            <v>LR</v>
          </cell>
          <cell r="F85">
            <v>0</v>
          </cell>
          <cell r="G85">
            <v>0</v>
          </cell>
        </row>
        <row r="86">
          <cell r="A86">
            <v>412</v>
          </cell>
          <cell r="B86" t="str">
            <v>Discount/Potongan Penjualan</v>
          </cell>
          <cell r="C86" t="str">
            <v>Kr</v>
          </cell>
          <cell r="D86" t="str">
            <v>LR</v>
          </cell>
          <cell r="F86">
            <v>0</v>
          </cell>
          <cell r="G86">
            <v>0</v>
          </cell>
        </row>
        <row r="87">
          <cell r="A87">
            <v>412.01</v>
          </cell>
          <cell r="B87" t="str">
            <v>Discount/Potongan Penjualan Intouch</v>
          </cell>
          <cell r="C87" t="str">
            <v>Kr</v>
          </cell>
          <cell r="D87" t="str">
            <v>LR</v>
          </cell>
          <cell r="F87">
            <v>0</v>
          </cell>
          <cell r="G87">
            <v>0</v>
          </cell>
        </row>
        <row r="88">
          <cell r="A88">
            <v>412.02</v>
          </cell>
          <cell r="B88" t="str">
            <v>Discount/Potongan Penjualan Exam</v>
          </cell>
          <cell r="C88" t="str">
            <v>Kr</v>
          </cell>
          <cell r="D88" t="str">
            <v>LR</v>
          </cell>
          <cell r="F88">
            <v>0</v>
          </cell>
          <cell r="G88">
            <v>0</v>
          </cell>
        </row>
        <row r="89">
          <cell r="A89">
            <v>412.03</v>
          </cell>
          <cell r="B89" t="str">
            <v>Discount/Potongan Penjualan Condom</v>
          </cell>
          <cell r="C89" t="str">
            <v>Kr</v>
          </cell>
          <cell r="D89" t="str">
            <v>LR</v>
          </cell>
          <cell r="F89">
            <v>0</v>
          </cell>
          <cell r="G89">
            <v>0</v>
          </cell>
        </row>
        <row r="90">
          <cell r="A90">
            <v>510</v>
          </cell>
          <cell r="B90" t="str">
            <v>Harga Pokok Penjualan</v>
          </cell>
          <cell r="C90" t="str">
            <v>Db</v>
          </cell>
          <cell r="D90" t="str">
            <v>LR</v>
          </cell>
          <cell r="F90">
            <v>0</v>
          </cell>
          <cell r="G90">
            <v>0</v>
          </cell>
        </row>
        <row r="91">
          <cell r="A91">
            <v>510.01</v>
          </cell>
          <cell r="B91" t="str">
            <v>Harga Pokok Penjualan Intouch</v>
          </cell>
          <cell r="C91" t="str">
            <v>Db</v>
          </cell>
          <cell r="D91" t="str">
            <v>LR</v>
          </cell>
          <cell r="F91">
            <v>0</v>
          </cell>
          <cell r="G91">
            <v>0</v>
          </cell>
        </row>
        <row r="92">
          <cell r="A92">
            <v>510.02</v>
          </cell>
          <cell r="B92" t="str">
            <v>Harga Pokok Penjualan  Condom</v>
          </cell>
          <cell r="C92" t="str">
            <v>Db</v>
          </cell>
          <cell r="D92" t="str">
            <v>LR</v>
          </cell>
          <cell r="F92">
            <v>0</v>
          </cell>
          <cell r="G92">
            <v>0</v>
          </cell>
        </row>
        <row r="93">
          <cell r="A93">
            <v>510.03</v>
          </cell>
          <cell r="B93" t="str">
            <v>Harga Pokok Penjualan Exam</v>
          </cell>
          <cell r="C93" t="str">
            <v>Db</v>
          </cell>
          <cell r="D93" t="str">
            <v>LR</v>
          </cell>
          <cell r="F93">
            <v>0</v>
          </cell>
          <cell r="G93">
            <v>0</v>
          </cell>
        </row>
        <row r="94">
          <cell r="A94">
            <v>511</v>
          </cell>
          <cell r="B94" t="str">
            <v>Biaya Operational  :</v>
          </cell>
          <cell r="C94" t="str">
            <v>Db</v>
          </cell>
          <cell r="D94" t="str">
            <v>LR</v>
          </cell>
          <cell r="F94">
            <v>0</v>
          </cell>
          <cell r="G94">
            <v>0</v>
          </cell>
        </row>
        <row r="95">
          <cell r="A95">
            <v>511.01</v>
          </cell>
          <cell r="B95" t="str">
            <v>Biaya Packing</v>
          </cell>
          <cell r="C95" t="str">
            <v>Db</v>
          </cell>
          <cell r="D95" t="str">
            <v>LR</v>
          </cell>
          <cell r="F95">
            <v>0</v>
          </cell>
          <cell r="G95">
            <v>0</v>
          </cell>
        </row>
        <row r="96">
          <cell r="A96">
            <v>511.02</v>
          </cell>
          <cell r="B96" t="str">
            <v>Biaya Loading UnLoading</v>
          </cell>
          <cell r="C96" t="str">
            <v>Db</v>
          </cell>
          <cell r="D96" t="str">
            <v>LR</v>
          </cell>
          <cell r="F96">
            <v>0</v>
          </cell>
          <cell r="G96">
            <v>0</v>
          </cell>
        </row>
        <row r="97">
          <cell r="A97">
            <v>511.03</v>
          </cell>
          <cell r="B97" t="str">
            <v>Biaya Pengiriman Barang Ekspedisi</v>
          </cell>
          <cell r="C97" t="str">
            <v>Db</v>
          </cell>
          <cell r="D97" t="str">
            <v>LR</v>
          </cell>
          <cell r="F97">
            <v>0</v>
          </cell>
          <cell r="G97">
            <v>0</v>
          </cell>
        </row>
        <row r="98">
          <cell r="A98">
            <v>511.04</v>
          </cell>
          <cell r="B98" t="str">
            <v>Biaya pengiriman Via Online (Gojek,Grab), Kuli</v>
          </cell>
          <cell r="C98" t="str">
            <v>Db</v>
          </cell>
          <cell r="D98" t="str">
            <v>LR</v>
          </cell>
          <cell r="F98">
            <v>0</v>
          </cell>
          <cell r="G98">
            <v>0</v>
          </cell>
        </row>
        <row r="99">
          <cell r="A99">
            <v>511.05</v>
          </cell>
          <cell r="B99" t="str">
            <v>Biaya Transport Pengiriman Bensin, Parkir, Tol</v>
          </cell>
          <cell r="C99" t="str">
            <v>Db</v>
          </cell>
          <cell r="D99" t="str">
            <v>LR</v>
          </cell>
          <cell r="F99">
            <v>0</v>
          </cell>
          <cell r="G99">
            <v>0</v>
          </cell>
        </row>
        <row r="100">
          <cell r="A100">
            <v>511.2</v>
          </cell>
          <cell r="B100" t="str">
            <v>Biaya Operasional Lainnya</v>
          </cell>
          <cell r="C100" t="str">
            <v>Db</v>
          </cell>
          <cell r="D100" t="str">
            <v>LR</v>
          </cell>
          <cell r="F100">
            <v>0</v>
          </cell>
          <cell r="G100">
            <v>0</v>
          </cell>
        </row>
        <row r="101">
          <cell r="A101">
            <v>512</v>
          </cell>
          <cell r="B101" t="str">
            <v>Beban Sales dan Marketing</v>
          </cell>
          <cell r="C101" t="str">
            <v>Db</v>
          </cell>
          <cell r="D101" t="str">
            <v>LR</v>
          </cell>
          <cell r="F101">
            <v>0</v>
          </cell>
          <cell r="G101">
            <v>0</v>
          </cell>
        </row>
        <row r="102">
          <cell r="A102">
            <v>512.01</v>
          </cell>
          <cell r="B102" t="str">
            <v>Beban Iklan dan Promosi</v>
          </cell>
          <cell r="C102" t="str">
            <v>Db</v>
          </cell>
          <cell r="D102" t="str">
            <v>LR</v>
          </cell>
          <cell r="F102">
            <v>0</v>
          </cell>
          <cell r="G102">
            <v>0</v>
          </cell>
        </row>
        <row r="103">
          <cell r="A103">
            <v>512.02</v>
          </cell>
          <cell r="B103" t="str">
            <v>Beban Komisi</v>
          </cell>
          <cell r="C103" t="str">
            <v>Db</v>
          </cell>
          <cell r="D103" t="str">
            <v>LR</v>
          </cell>
          <cell r="F103">
            <v>0</v>
          </cell>
          <cell r="G103">
            <v>0</v>
          </cell>
        </row>
        <row r="104">
          <cell r="A104">
            <v>512.03</v>
          </cell>
          <cell r="B104" t="str">
            <v>Beban Gasoline Marketing (Bensin, Parkir, Tol)</v>
          </cell>
          <cell r="C104" t="str">
            <v>Db</v>
          </cell>
          <cell r="D104" t="str">
            <v>LR</v>
          </cell>
          <cell r="F104">
            <v>0</v>
          </cell>
          <cell r="G104">
            <v>0</v>
          </cell>
        </row>
        <row r="105">
          <cell r="A105">
            <v>512.04</v>
          </cell>
          <cell r="B105" t="str">
            <v>Beban Akomodasi</v>
          </cell>
          <cell r="C105" t="str">
            <v>Db</v>
          </cell>
          <cell r="D105" t="str">
            <v>LR</v>
          </cell>
          <cell r="F105">
            <v>0</v>
          </cell>
          <cell r="G105">
            <v>0</v>
          </cell>
        </row>
        <row r="106">
          <cell r="A106">
            <v>512.04999999999995</v>
          </cell>
          <cell r="B106" t="str">
            <v>Beban Operasional Marketing Lainnya</v>
          </cell>
          <cell r="C106" t="str">
            <v>Db</v>
          </cell>
          <cell r="D106" t="str">
            <v>LR</v>
          </cell>
          <cell r="F106">
            <v>0</v>
          </cell>
          <cell r="G106">
            <v>0</v>
          </cell>
        </row>
        <row r="107">
          <cell r="A107">
            <v>610</v>
          </cell>
          <cell r="B107" t="str">
            <v>Biaya Umum &amp; Adm :</v>
          </cell>
          <cell r="C107" t="str">
            <v>Db</v>
          </cell>
          <cell r="D107" t="str">
            <v>LR</v>
          </cell>
          <cell r="F107">
            <v>0</v>
          </cell>
          <cell r="G107">
            <v>0</v>
          </cell>
        </row>
        <row r="108">
          <cell r="A108">
            <v>610.01</v>
          </cell>
          <cell r="B108" t="str">
            <v>Biaya Gaji, Upah &amp; Honorer</v>
          </cell>
          <cell r="C108" t="str">
            <v>Db</v>
          </cell>
          <cell r="D108" t="str">
            <v>LR</v>
          </cell>
          <cell r="F108">
            <v>0</v>
          </cell>
          <cell r="G108">
            <v>0</v>
          </cell>
        </row>
        <row r="109">
          <cell r="A109">
            <v>610.02</v>
          </cell>
          <cell r="B109" t="str">
            <v>Biaya THR &amp; Bonus</v>
          </cell>
          <cell r="C109" t="str">
            <v>Db</v>
          </cell>
          <cell r="D109" t="str">
            <v>LR</v>
          </cell>
          <cell r="F109">
            <v>0</v>
          </cell>
          <cell r="G109">
            <v>0</v>
          </cell>
        </row>
        <row r="110">
          <cell r="A110">
            <v>610.03</v>
          </cell>
          <cell r="B110" t="str">
            <v>Biaya BPJS Kesehatan Dan Ketenagakerjaan</v>
          </cell>
          <cell r="C110" t="str">
            <v>Db</v>
          </cell>
          <cell r="D110" t="str">
            <v>LR</v>
          </cell>
          <cell r="F110">
            <v>0</v>
          </cell>
          <cell r="G110">
            <v>0</v>
          </cell>
        </row>
        <row r="111">
          <cell r="A111">
            <v>610.04</v>
          </cell>
          <cell r="B111" t="str">
            <v>Biaya Transportasi Umum (Bensin, Tol, Parkir) dan Kirim Dokumen</v>
          </cell>
          <cell r="C111" t="str">
            <v>Db</v>
          </cell>
          <cell r="D111" t="str">
            <v>LR</v>
          </cell>
          <cell r="F111">
            <v>0</v>
          </cell>
          <cell r="G111">
            <v>0</v>
          </cell>
        </row>
        <row r="112">
          <cell r="A112">
            <v>610.04999999999995</v>
          </cell>
          <cell r="B112" t="str">
            <v>Biaya Listrik</v>
          </cell>
          <cell r="C112" t="str">
            <v>Db</v>
          </cell>
          <cell r="D112" t="str">
            <v>LR</v>
          </cell>
          <cell r="F112">
            <v>0</v>
          </cell>
          <cell r="G112">
            <v>0</v>
          </cell>
        </row>
        <row r="113">
          <cell r="A113">
            <v>610.05999999999995</v>
          </cell>
          <cell r="B113" t="str">
            <v>Biaya Telp, Pulsa  &amp; Internet</v>
          </cell>
          <cell r="C113" t="str">
            <v>Db</v>
          </cell>
          <cell r="D113" t="str">
            <v>LR</v>
          </cell>
          <cell r="F113">
            <v>0</v>
          </cell>
          <cell r="G113">
            <v>0</v>
          </cell>
        </row>
        <row r="114">
          <cell r="A114">
            <v>610.07000000000005</v>
          </cell>
          <cell r="B114" t="str">
            <v>Biaya PAM/Air Gedung</v>
          </cell>
          <cell r="C114" t="str">
            <v>Db</v>
          </cell>
          <cell r="D114" t="str">
            <v>LR</v>
          </cell>
          <cell r="F114">
            <v>0</v>
          </cell>
          <cell r="G114">
            <v>0</v>
          </cell>
        </row>
        <row r="115">
          <cell r="A115">
            <v>610.08000000000004</v>
          </cell>
          <cell r="B115" t="str">
            <v>Biaya Cetakan dan Fotocopy</v>
          </cell>
          <cell r="C115" t="str">
            <v>Db</v>
          </cell>
          <cell r="D115" t="str">
            <v>LR</v>
          </cell>
          <cell r="F115">
            <v>0</v>
          </cell>
          <cell r="G115">
            <v>0</v>
          </cell>
        </row>
        <row r="116">
          <cell r="A116">
            <v>610.09</v>
          </cell>
          <cell r="B116" t="str">
            <v>Biaya ATK &amp; Perlengkapan Kantor</v>
          </cell>
          <cell r="C116" t="str">
            <v>Db</v>
          </cell>
          <cell r="D116" t="str">
            <v>LR</v>
          </cell>
          <cell r="F116">
            <v>0</v>
          </cell>
          <cell r="G116">
            <v>0</v>
          </cell>
        </row>
        <row r="117">
          <cell r="A117">
            <v>610.1</v>
          </cell>
          <cell r="B117" t="str">
            <v>Biaya Rumah Tangga Kantor</v>
          </cell>
          <cell r="C117" t="str">
            <v>Db</v>
          </cell>
          <cell r="D117" t="str">
            <v>LR</v>
          </cell>
          <cell r="F117">
            <v>0</v>
          </cell>
          <cell r="G117">
            <v>0</v>
          </cell>
        </row>
        <row r="118">
          <cell r="A118">
            <v>610.11</v>
          </cell>
          <cell r="B118" t="str">
            <v xml:space="preserve">Biaya Sewa Gedung </v>
          </cell>
          <cell r="C118" t="str">
            <v>Db</v>
          </cell>
          <cell r="D118" t="str">
            <v>LR</v>
          </cell>
          <cell r="F118">
            <v>0</v>
          </cell>
          <cell r="G118">
            <v>0</v>
          </cell>
        </row>
        <row r="119">
          <cell r="A119">
            <v>610.12</v>
          </cell>
          <cell r="B119" t="str">
            <v>Biaya Pemeliharaan Bangunan</v>
          </cell>
          <cell r="C119" t="str">
            <v>Db</v>
          </cell>
          <cell r="D119" t="str">
            <v>LR</v>
          </cell>
          <cell r="F119">
            <v>0</v>
          </cell>
          <cell r="G119">
            <v>0</v>
          </cell>
        </row>
        <row r="120">
          <cell r="A120">
            <v>610.13</v>
          </cell>
          <cell r="B120" t="str">
            <v>Biaya Pemeliharaan Peralatan dan Inventaris Kantor</v>
          </cell>
          <cell r="C120" t="str">
            <v>Db</v>
          </cell>
          <cell r="D120" t="str">
            <v>LR</v>
          </cell>
          <cell r="F120">
            <v>0</v>
          </cell>
          <cell r="G120">
            <v>0</v>
          </cell>
        </row>
        <row r="121">
          <cell r="A121">
            <v>610.14</v>
          </cell>
          <cell r="B121" t="str">
            <v>Biaya Pemeliharaan Kendaraan</v>
          </cell>
          <cell r="C121" t="str">
            <v>Db</v>
          </cell>
          <cell r="D121" t="str">
            <v>LR</v>
          </cell>
          <cell r="F121">
            <v>0</v>
          </cell>
          <cell r="G121">
            <v>0</v>
          </cell>
        </row>
        <row r="122">
          <cell r="A122">
            <v>610.15</v>
          </cell>
          <cell r="B122" t="str">
            <v>Biaya Pemeliharaan Lingkungan (Keamanan dan Kebersihan)</v>
          </cell>
          <cell r="C122" t="str">
            <v>Db</v>
          </cell>
          <cell r="D122" t="str">
            <v>LR</v>
          </cell>
          <cell r="F122">
            <v>0</v>
          </cell>
          <cell r="G122">
            <v>0</v>
          </cell>
        </row>
        <row r="123">
          <cell r="A123">
            <v>610.16</v>
          </cell>
          <cell r="B123" t="str">
            <v>Biaya Perizinan &amp; Legalitas</v>
          </cell>
          <cell r="C123" t="str">
            <v>Db</v>
          </cell>
          <cell r="D123" t="str">
            <v>LR</v>
          </cell>
          <cell r="F123">
            <v>0</v>
          </cell>
          <cell r="G123">
            <v>0</v>
          </cell>
        </row>
        <row r="124">
          <cell r="A124">
            <v>610.16999999999996</v>
          </cell>
          <cell r="B124" t="str">
            <v>Beban Membership / Keanggotaan</v>
          </cell>
          <cell r="C124" t="str">
            <v>Db</v>
          </cell>
          <cell r="D124" t="str">
            <v>LR</v>
          </cell>
          <cell r="F124">
            <v>0</v>
          </cell>
          <cell r="G124">
            <v>0</v>
          </cell>
        </row>
        <row r="125">
          <cell r="A125">
            <v>610.17999999999995</v>
          </cell>
          <cell r="B125" t="str">
            <v>Biaya Profesional</v>
          </cell>
          <cell r="C125" t="str">
            <v>Db</v>
          </cell>
          <cell r="D125" t="str">
            <v>LR</v>
          </cell>
          <cell r="F125">
            <v>0</v>
          </cell>
          <cell r="G125">
            <v>0</v>
          </cell>
        </row>
        <row r="126">
          <cell r="A126">
            <v>610.19000000000005</v>
          </cell>
          <cell r="B126" t="str">
            <v>Biaya Asuransi</v>
          </cell>
          <cell r="C126" t="str">
            <v>Db</v>
          </cell>
          <cell r="D126" t="str">
            <v>LR</v>
          </cell>
          <cell r="F126">
            <v>0</v>
          </cell>
          <cell r="G126">
            <v>0</v>
          </cell>
        </row>
        <row r="127">
          <cell r="A127">
            <v>610.20000000000005</v>
          </cell>
          <cell r="B127" t="str">
            <v>Biaya Literatur &amp; Pengembangan SDM</v>
          </cell>
          <cell r="C127" t="str">
            <v>Db</v>
          </cell>
          <cell r="D127" t="str">
            <v>LR</v>
          </cell>
          <cell r="F127">
            <v>0</v>
          </cell>
          <cell r="G127">
            <v>0</v>
          </cell>
        </row>
        <row r="128">
          <cell r="A128">
            <v>610.21</v>
          </cell>
          <cell r="B128" t="str">
            <v>Biaya Kebersamaan Karyawan/Gathering</v>
          </cell>
          <cell r="C128" t="str">
            <v>Db</v>
          </cell>
          <cell r="D128" t="str">
            <v>LR</v>
          </cell>
          <cell r="F128">
            <v>0</v>
          </cell>
          <cell r="G128">
            <v>0</v>
          </cell>
        </row>
        <row r="129">
          <cell r="A129">
            <v>610.22</v>
          </cell>
          <cell r="B129" t="str">
            <v>Biaya Pajak PPH Pasal 4 (2)</v>
          </cell>
          <cell r="C129" t="str">
            <v>Db</v>
          </cell>
          <cell r="D129" t="str">
            <v>LR</v>
          </cell>
          <cell r="F129">
            <v>0</v>
          </cell>
          <cell r="G129">
            <v>0</v>
          </cell>
        </row>
        <row r="130">
          <cell r="A130">
            <v>610.23</v>
          </cell>
          <cell r="B130" t="str">
            <v>Biaya Pajak PPH 21</v>
          </cell>
          <cell r="C130" t="str">
            <v>Db</v>
          </cell>
          <cell r="D130" t="str">
            <v>LR</v>
          </cell>
          <cell r="F130">
            <v>0</v>
          </cell>
          <cell r="G130">
            <v>0</v>
          </cell>
        </row>
        <row r="131">
          <cell r="A131">
            <v>610.24</v>
          </cell>
          <cell r="B131" t="str">
            <v>Biaya Pajak PPH 23</v>
          </cell>
          <cell r="C131" t="str">
            <v>Db</v>
          </cell>
          <cell r="D131" t="str">
            <v>LR</v>
          </cell>
          <cell r="F131">
            <v>0</v>
          </cell>
          <cell r="G131">
            <v>0</v>
          </cell>
        </row>
        <row r="132">
          <cell r="A132">
            <v>610.25</v>
          </cell>
          <cell r="B132" t="str">
            <v>Biaya Pajak Lainnya</v>
          </cell>
          <cell r="C132" t="str">
            <v>Db</v>
          </cell>
          <cell r="D132" t="str">
            <v>LR</v>
          </cell>
          <cell r="F132">
            <v>0</v>
          </cell>
          <cell r="G132">
            <v>0</v>
          </cell>
        </row>
        <row r="133">
          <cell r="A133">
            <v>610.26</v>
          </cell>
          <cell r="B133" t="str">
            <v>Biaya Penyusutan Bangunan</v>
          </cell>
          <cell r="C133" t="str">
            <v>Db</v>
          </cell>
          <cell r="D133" t="str">
            <v>LR</v>
          </cell>
          <cell r="F133">
            <v>0</v>
          </cell>
          <cell r="G133">
            <v>0</v>
          </cell>
        </row>
        <row r="134">
          <cell r="A134">
            <v>610.27</v>
          </cell>
          <cell r="B134" t="str">
            <v>Biaya Penyusutan Kendaraan</v>
          </cell>
          <cell r="C134" t="str">
            <v>Db</v>
          </cell>
          <cell r="D134" t="str">
            <v>LR</v>
          </cell>
          <cell r="F134">
            <v>0</v>
          </cell>
          <cell r="G134">
            <v>0</v>
          </cell>
        </row>
        <row r="135">
          <cell r="A135">
            <v>610.28</v>
          </cell>
          <cell r="B135" t="str">
            <v>Biaya Penyusutan Inventaris Kantor</v>
          </cell>
          <cell r="C135" t="str">
            <v>Db</v>
          </cell>
          <cell r="D135" t="str">
            <v>LR</v>
          </cell>
          <cell r="F135">
            <v>0</v>
          </cell>
          <cell r="G135">
            <v>0</v>
          </cell>
        </row>
        <row r="136">
          <cell r="A136">
            <v>610.29</v>
          </cell>
          <cell r="B136" t="str">
            <v>Biaya Penyusutan Aktiva Lainnya</v>
          </cell>
          <cell r="C136" t="str">
            <v>Db</v>
          </cell>
          <cell r="D136" t="str">
            <v>LR</v>
          </cell>
          <cell r="F136">
            <v>0</v>
          </cell>
          <cell r="G136">
            <v>0</v>
          </cell>
        </row>
        <row r="137">
          <cell r="A137">
            <v>610.29999999999995</v>
          </cell>
          <cell r="B137" t="str">
            <v>Biaya Piutang Tak tertagih</v>
          </cell>
          <cell r="C137" t="str">
            <v>Db</v>
          </cell>
          <cell r="D137" t="str">
            <v>LR</v>
          </cell>
          <cell r="F137">
            <v>0</v>
          </cell>
          <cell r="G137">
            <v>0</v>
          </cell>
        </row>
        <row r="138">
          <cell r="A138">
            <v>610.30999999999995</v>
          </cell>
          <cell r="B138" t="str">
            <v>Biaya Instalasi &amp; System</v>
          </cell>
          <cell r="C138" t="str">
            <v>Db</v>
          </cell>
          <cell r="D138" t="str">
            <v>LR</v>
          </cell>
          <cell r="F138">
            <v>0</v>
          </cell>
          <cell r="G138">
            <v>0</v>
          </cell>
        </row>
        <row r="139">
          <cell r="A139">
            <v>610.32000000000005</v>
          </cell>
          <cell r="B139" t="str">
            <v>Biaya Representasi</v>
          </cell>
          <cell r="C139" t="str">
            <v>Db</v>
          </cell>
          <cell r="D139" t="str">
            <v>LR</v>
          </cell>
          <cell r="F139">
            <v>0</v>
          </cell>
          <cell r="G139">
            <v>0</v>
          </cell>
        </row>
        <row r="140">
          <cell r="A140">
            <v>610.99</v>
          </cell>
          <cell r="B140" t="str">
            <v>Biaya Umum dan Administrasi Lainnya</v>
          </cell>
          <cell r="C140" t="str">
            <v>Db</v>
          </cell>
          <cell r="D140" t="str">
            <v>LR</v>
          </cell>
          <cell r="F140">
            <v>0</v>
          </cell>
          <cell r="G140">
            <v>0</v>
          </cell>
        </row>
        <row r="141">
          <cell r="A141">
            <v>710</v>
          </cell>
          <cell r="B141" t="str">
            <v>Pendapatan Lainnya</v>
          </cell>
          <cell r="C141" t="str">
            <v>Db</v>
          </cell>
          <cell r="D141" t="str">
            <v>LR</v>
          </cell>
          <cell r="F141">
            <v>0</v>
          </cell>
          <cell r="G141">
            <v>0</v>
          </cell>
        </row>
        <row r="142">
          <cell r="A142">
            <v>710.01</v>
          </cell>
          <cell r="B142" t="str">
            <v>Pendapatan Jasa Giro/Bunga Bank</v>
          </cell>
          <cell r="C142" t="str">
            <v>Db</v>
          </cell>
          <cell r="D142" t="str">
            <v>LR</v>
          </cell>
          <cell r="F142">
            <v>0</v>
          </cell>
          <cell r="G142">
            <v>0</v>
          </cell>
        </row>
        <row r="143">
          <cell r="A143">
            <v>710.02</v>
          </cell>
          <cell r="B143" t="str">
            <v>Pendapatan Lain-lain</v>
          </cell>
          <cell r="C143" t="str">
            <v>Db</v>
          </cell>
          <cell r="D143" t="str">
            <v>LR</v>
          </cell>
          <cell r="F143">
            <v>0</v>
          </cell>
          <cell r="G143">
            <v>0</v>
          </cell>
        </row>
        <row r="144">
          <cell r="A144">
            <v>810</v>
          </cell>
          <cell r="B144" t="str">
            <v>Biaya Lain-lain</v>
          </cell>
          <cell r="C144" t="str">
            <v>Db</v>
          </cell>
          <cell r="D144" t="str">
            <v>LR</v>
          </cell>
          <cell r="F144">
            <v>0</v>
          </cell>
          <cell r="G144">
            <v>0</v>
          </cell>
        </row>
        <row r="145">
          <cell r="A145">
            <v>810.01</v>
          </cell>
          <cell r="B145" t="str">
            <v>Biaya Admin Transfer dan Rek</v>
          </cell>
          <cell r="C145" t="str">
            <v>Db</v>
          </cell>
          <cell r="D145" t="str">
            <v>LR</v>
          </cell>
          <cell r="F145">
            <v>0</v>
          </cell>
          <cell r="G145">
            <v>0</v>
          </cell>
        </row>
        <row r="146">
          <cell r="A146">
            <v>810.02</v>
          </cell>
          <cell r="B146" t="str">
            <v>Biaya Pajak Jagir</v>
          </cell>
          <cell r="C146" t="str">
            <v>Db</v>
          </cell>
          <cell r="D146" t="str">
            <v>LR</v>
          </cell>
          <cell r="F146">
            <v>0</v>
          </cell>
          <cell r="G146">
            <v>0</v>
          </cell>
        </row>
        <row r="147">
          <cell r="A147">
            <v>810.03</v>
          </cell>
          <cell r="B147" t="str">
            <v>Biaya Bunga Pinjaman Bank/Leasing</v>
          </cell>
          <cell r="C147" t="str">
            <v>Db</v>
          </cell>
          <cell r="D147" t="str">
            <v>LR</v>
          </cell>
          <cell r="F147">
            <v>0</v>
          </cell>
          <cell r="G147">
            <v>0</v>
          </cell>
        </row>
        <row r="148">
          <cell r="A148">
            <v>810.04</v>
          </cell>
          <cell r="B148" t="str">
            <v>Selisih kurs</v>
          </cell>
          <cell r="C148" t="str">
            <v>Db</v>
          </cell>
          <cell r="D148" t="str">
            <v>LR</v>
          </cell>
          <cell r="F148">
            <v>0</v>
          </cell>
          <cell r="G148">
            <v>0</v>
          </cell>
        </row>
        <row r="149">
          <cell r="A149">
            <v>810.05</v>
          </cell>
          <cell r="B149" t="str">
            <v>Biaya lain-lain</v>
          </cell>
          <cell r="C149" t="str">
            <v>Db</v>
          </cell>
          <cell r="D149" t="str">
            <v>LR</v>
          </cell>
          <cell r="F149">
            <v>0</v>
          </cell>
          <cell r="G149">
            <v>0</v>
          </cell>
        </row>
        <row r="150">
          <cell r="F150">
            <v>0</v>
          </cell>
          <cell r="G150">
            <v>0</v>
          </cell>
        </row>
        <row r="153">
          <cell r="F153">
            <v>18330792644.542675</v>
          </cell>
          <cell r="G153">
            <v>18330792644.542675</v>
          </cell>
        </row>
        <row r="154">
          <cell r="F154" t="str">
            <v xml:space="preserve">    </v>
          </cell>
        </row>
        <row r="157">
          <cell r="F157">
            <v>0</v>
          </cell>
        </row>
      </sheetData>
      <sheetData sheetId="2">
        <row r="1">
          <cell r="A1" t="str">
            <v>PT. PROCARRE INTERNATIONAL INDONESIA</v>
          </cell>
        </row>
        <row r="2">
          <cell r="A2" t="str">
            <v>DAFTAR KODE PEMBANTU</v>
          </cell>
        </row>
        <row r="3">
          <cell r="A3" t="str">
            <v>Bulan : JAN - DES 2022</v>
          </cell>
        </row>
        <row r="5">
          <cell r="A5" t="str">
            <v>Kode</v>
          </cell>
          <cell r="B5" t="str">
            <v>Nama</v>
          </cell>
          <cell r="C5" t="str">
            <v>Status</v>
          </cell>
          <cell r="D5" t="str">
            <v>Saldo Awal</v>
          </cell>
        </row>
        <row r="6">
          <cell r="A6">
            <v>112.01</v>
          </cell>
          <cell r="B6" t="str">
            <v>PT ANUGERAH MAHIRA PRATAMA</v>
          </cell>
          <cell r="C6" t="str">
            <v>Piutang</v>
          </cell>
          <cell r="D6">
            <v>761930269</v>
          </cell>
        </row>
        <row r="7">
          <cell r="A7">
            <v>112.02</v>
          </cell>
          <cell r="B7" t="str">
            <v>PT ANUGERAH PERSADA MULIA</v>
          </cell>
          <cell r="C7" t="str">
            <v>Piutang</v>
          </cell>
          <cell r="D7">
            <v>941308500</v>
          </cell>
        </row>
        <row r="8">
          <cell r="A8">
            <v>112.03</v>
          </cell>
          <cell r="B8" t="str">
            <v>PT TIRTA MEDICAL INDONESIA</v>
          </cell>
          <cell r="C8" t="str">
            <v>Piutang</v>
          </cell>
          <cell r="D8">
            <v>1198018800</v>
          </cell>
        </row>
        <row r="9">
          <cell r="A9">
            <v>112.04</v>
          </cell>
          <cell r="B9" t="str">
            <v>PT CENTRAL BANDUNG RAYA</v>
          </cell>
          <cell r="C9" t="str">
            <v>Piutang</v>
          </cell>
          <cell r="D9">
            <v>57459000</v>
          </cell>
        </row>
        <row r="10">
          <cell r="A10">
            <v>112.05</v>
          </cell>
          <cell r="B10" t="str">
            <v>DAVID HALIM (C0030 )</v>
          </cell>
          <cell r="C10" t="str">
            <v>Piutang</v>
          </cell>
          <cell r="D10">
            <v>-0.40000000037252903</v>
          </cell>
        </row>
        <row r="11">
          <cell r="A11">
            <v>112.06</v>
          </cell>
          <cell r="B11" t="str">
            <v>PT GLOBINDO MEGA PRATAMA</v>
          </cell>
          <cell r="C11" t="str">
            <v>Piutang</v>
          </cell>
          <cell r="D11">
            <v>380829850</v>
          </cell>
        </row>
        <row r="12">
          <cell r="A12">
            <v>112.07</v>
          </cell>
          <cell r="B12" t="str">
            <v>BUDI SUJONO</v>
          </cell>
          <cell r="C12" t="str">
            <v>Piutang</v>
          </cell>
          <cell r="D12">
            <v>0</v>
          </cell>
        </row>
        <row r="13">
          <cell r="A13">
            <v>112.08</v>
          </cell>
          <cell r="B13" t="str">
            <v>SYAHDU HILAL S,T</v>
          </cell>
          <cell r="C13" t="str">
            <v>Piutang</v>
          </cell>
          <cell r="D13">
            <v>7975000.0920400023</v>
          </cell>
        </row>
        <row r="14">
          <cell r="A14">
            <v>112.09</v>
          </cell>
          <cell r="B14" t="str">
            <v>PT AZKEN INDONESIA (C0005 )</v>
          </cell>
          <cell r="C14" t="str">
            <v>Piutang</v>
          </cell>
          <cell r="D14">
            <v>237699000</v>
          </cell>
        </row>
        <row r="15">
          <cell r="A15">
            <v>112.1</v>
          </cell>
          <cell r="B15" t="str">
            <v xml:space="preserve">ANDERSON MEDICARE CO., LTD </v>
          </cell>
          <cell r="C15" t="str">
            <v>Piutang</v>
          </cell>
          <cell r="D15">
            <v>0</v>
          </cell>
        </row>
        <row r="16">
          <cell r="A16">
            <v>112.11</v>
          </cell>
          <cell r="B16" t="str">
            <v>PT ALPRIDO ALKESINDO</v>
          </cell>
          <cell r="C16" t="str">
            <v>Piutang</v>
          </cell>
          <cell r="D16">
            <v>128413000</v>
          </cell>
        </row>
        <row r="17">
          <cell r="A17">
            <v>112.12</v>
          </cell>
          <cell r="B17" t="str">
            <v>CV ZANET MULIA ABADI</v>
          </cell>
          <cell r="C17" t="str">
            <v>Piutang</v>
          </cell>
          <cell r="D17">
            <v>13860000</v>
          </cell>
        </row>
        <row r="18">
          <cell r="A18">
            <v>112.13</v>
          </cell>
          <cell r="B18" t="str">
            <v>CECEP ESA SUDIANA</v>
          </cell>
          <cell r="C18" t="str">
            <v>Piutang</v>
          </cell>
          <cell r="D18">
            <v>0</v>
          </cell>
        </row>
        <row r="19">
          <cell r="A19">
            <v>112.14</v>
          </cell>
          <cell r="B19" t="str">
            <v>PT RADITYA BINA FARMA (C0033 )</v>
          </cell>
          <cell r="C19" t="str">
            <v>Piutang</v>
          </cell>
          <cell r="D19">
            <v>1938816</v>
          </cell>
        </row>
        <row r="20">
          <cell r="A20">
            <v>112.15</v>
          </cell>
          <cell r="B20" t="str">
            <v>PT VIRTUS ANALITIKA MITRATAMA (C0026 )</v>
          </cell>
          <cell r="C20" t="str">
            <v>Piutang</v>
          </cell>
          <cell r="D20">
            <v>0</v>
          </cell>
        </row>
        <row r="21">
          <cell r="A21">
            <v>112.16</v>
          </cell>
          <cell r="B21" t="str">
            <v>FAHREZA</v>
          </cell>
          <cell r="C21" t="str">
            <v>Piutang</v>
          </cell>
          <cell r="D21">
            <v>0</v>
          </cell>
        </row>
        <row r="22">
          <cell r="A22">
            <v>112.17</v>
          </cell>
          <cell r="B22" t="str">
            <v>PT OPTIMASK INDONESIA</v>
          </cell>
          <cell r="C22" t="str">
            <v>Piutang</v>
          </cell>
          <cell r="D22">
            <v>0</v>
          </cell>
        </row>
        <row r="23">
          <cell r="A23">
            <v>112.18</v>
          </cell>
          <cell r="B23" t="str">
            <v>PT GAGAS ENVIROTEK INDONESIA</v>
          </cell>
          <cell r="C23" t="str">
            <v>Piutang</v>
          </cell>
          <cell r="D23">
            <v>0</v>
          </cell>
        </row>
        <row r="24">
          <cell r="A24">
            <v>112.19</v>
          </cell>
          <cell r="B24" t="str">
            <v>DR MOLLI OKTAVIA</v>
          </cell>
          <cell r="C24" t="str">
            <v>Piutang</v>
          </cell>
          <cell r="D24">
            <v>0</v>
          </cell>
        </row>
        <row r="25">
          <cell r="A25">
            <v>112.2</v>
          </cell>
          <cell r="B25" t="str">
            <v>PT JASA MULTI SOLUSI INDONESIA</v>
          </cell>
          <cell r="C25" t="str">
            <v>Piutang</v>
          </cell>
          <cell r="D25">
            <v>0</v>
          </cell>
        </row>
        <row r="26">
          <cell r="A26">
            <v>112.21</v>
          </cell>
          <cell r="B26" t="str">
            <v>PT MITRA RAJAWALI BANJARAN</v>
          </cell>
          <cell r="C26" t="str">
            <v>Piutang</v>
          </cell>
          <cell r="D26">
            <v>0</v>
          </cell>
        </row>
        <row r="27">
          <cell r="A27">
            <v>112.22</v>
          </cell>
          <cell r="B27" t="str">
            <v>AKP AGUNG RIYANTO</v>
          </cell>
          <cell r="C27" t="str">
            <v>Piutang</v>
          </cell>
          <cell r="D27">
            <v>0</v>
          </cell>
        </row>
        <row r="28">
          <cell r="A28">
            <v>112.23</v>
          </cell>
          <cell r="B28" t="str">
            <v>PT PADMA BUANA SUKSES</v>
          </cell>
          <cell r="C28" t="str">
            <v>Piutang</v>
          </cell>
          <cell r="D28">
            <v>0</v>
          </cell>
        </row>
        <row r="29">
          <cell r="A29">
            <v>112.24</v>
          </cell>
          <cell r="B29" t="str">
            <v>WRAYEN KOMALING</v>
          </cell>
          <cell r="C29" t="str">
            <v>Piutang</v>
          </cell>
          <cell r="D29">
            <v>0</v>
          </cell>
        </row>
        <row r="30">
          <cell r="A30">
            <v>112.25</v>
          </cell>
          <cell r="B30" t="str">
            <v>ERIK</v>
          </cell>
          <cell r="C30" t="str">
            <v>Piutang</v>
          </cell>
          <cell r="D30">
            <v>0</v>
          </cell>
        </row>
        <row r="31">
          <cell r="A31">
            <v>112.26</v>
          </cell>
          <cell r="B31" t="str">
            <v>PT BEST PERFORMANCE ENERGY SOLUTION</v>
          </cell>
          <cell r="C31" t="str">
            <v>Piutang</v>
          </cell>
        </row>
        <row r="32">
          <cell r="A32">
            <v>112.27</v>
          </cell>
          <cell r="B32" t="str">
            <v>PT ADISARANA PERDANA MAKMUR</v>
          </cell>
          <cell r="C32" t="str">
            <v>Piutang</v>
          </cell>
        </row>
        <row r="33">
          <cell r="A33">
            <v>112.28</v>
          </cell>
          <cell r="B33" t="str">
            <v>SUWANTO KARYONO</v>
          </cell>
          <cell r="C33" t="str">
            <v>Piutang</v>
          </cell>
        </row>
        <row r="34">
          <cell r="A34">
            <v>112.29</v>
          </cell>
          <cell r="B34" t="str">
            <v>ALMAAS BORNEO JAYA</v>
          </cell>
          <cell r="C34" t="str">
            <v>Piutang</v>
          </cell>
        </row>
        <row r="35">
          <cell r="A35">
            <v>112.3</v>
          </cell>
          <cell r="B35" t="str">
            <v>PT SPIRIT SEHAT SUKSES INDONESIA/3S</v>
          </cell>
          <cell r="C35" t="str">
            <v>Piutang</v>
          </cell>
        </row>
        <row r="36">
          <cell r="A36">
            <v>112.31</v>
          </cell>
          <cell r="B36" t="str">
            <v xml:space="preserve">PT MEDIVA BERKAH PERMANA </v>
          </cell>
          <cell r="C36" t="str">
            <v>Piutang</v>
          </cell>
          <cell r="D36">
            <v>4125000</v>
          </cell>
        </row>
        <row r="37">
          <cell r="A37">
            <v>112.32</v>
          </cell>
          <cell r="B37" t="str">
            <v>PT BERJAYA TANGGUH ABADI</v>
          </cell>
          <cell r="C37" t="str">
            <v>Piutang</v>
          </cell>
        </row>
        <row r="38">
          <cell r="A38">
            <v>112.33</v>
          </cell>
          <cell r="B38" t="str">
            <v>IBU KURNIAWATI</v>
          </cell>
          <cell r="C38" t="str">
            <v>Piutang</v>
          </cell>
        </row>
        <row r="39">
          <cell r="A39">
            <v>112.34</v>
          </cell>
          <cell r="B39" t="str">
            <v>RUMAH SAKIT STROKE NASIONAL</v>
          </cell>
          <cell r="C39" t="str">
            <v>Piutang</v>
          </cell>
        </row>
        <row r="40">
          <cell r="A40">
            <v>112.35</v>
          </cell>
          <cell r="B40" t="str">
            <v>CV TRI JAYA DINAMIKA</v>
          </cell>
          <cell r="C40" t="str">
            <v>Piutang</v>
          </cell>
        </row>
        <row r="41">
          <cell r="A41">
            <v>112.36</v>
          </cell>
          <cell r="B41" t="str">
            <v>CV SARANA ABDI BAKTI MEDIKA</v>
          </cell>
          <cell r="C41" t="str">
            <v>Piutang</v>
          </cell>
        </row>
        <row r="42">
          <cell r="A42">
            <v>112.37</v>
          </cell>
          <cell r="B42" t="str">
            <v xml:space="preserve">PT BANK NEGARA INDONESIA </v>
          </cell>
          <cell r="C42" t="str">
            <v>Piutang</v>
          </cell>
        </row>
        <row r="43">
          <cell r="A43">
            <v>112.38</v>
          </cell>
          <cell r="B43" t="str">
            <v>FERI FARDI (C0053 )</v>
          </cell>
          <cell r="C43" t="str">
            <v>Piutang</v>
          </cell>
        </row>
        <row r="44">
          <cell r="A44">
            <v>112.39</v>
          </cell>
          <cell r="B44" t="str">
            <v>LIES DIANI</v>
          </cell>
          <cell r="C44" t="str">
            <v>Piutang</v>
          </cell>
        </row>
        <row r="45">
          <cell r="A45">
            <v>112.4</v>
          </cell>
          <cell r="B45" t="str">
            <v>PT PELITA RELIANCE INTERNATIONAL HOSPITAL</v>
          </cell>
          <cell r="C45" t="str">
            <v>Piutang</v>
          </cell>
          <cell r="D45">
            <v>262555433.5</v>
          </cell>
        </row>
        <row r="46">
          <cell r="A46">
            <v>112.41</v>
          </cell>
          <cell r="B46" t="str">
            <v>RANGGA ADI SYAHPUTRA</v>
          </cell>
          <cell r="C46" t="str">
            <v>Piutang</v>
          </cell>
        </row>
        <row r="47">
          <cell r="A47">
            <v>112.42</v>
          </cell>
          <cell r="B47" t="str">
            <v>CV GLOBAL HYGIENE SOLUSINDO</v>
          </cell>
          <cell r="C47" t="str">
            <v>Piutang</v>
          </cell>
        </row>
        <row r="48">
          <cell r="A48">
            <v>112.43</v>
          </cell>
          <cell r="B48" t="str">
            <v>PT. Endo Medica Nusantara</v>
          </cell>
          <cell r="C48" t="str">
            <v>Piutang</v>
          </cell>
          <cell r="D48">
            <v>185691000</v>
          </cell>
        </row>
        <row r="49">
          <cell r="A49">
            <v>112.44</v>
          </cell>
          <cell r="B49" t="str">
            <v>DINAS KESEHATAN PEMPROV SUMUT</v>
          </cell>
          <cell r="C49" t="str">
            <v>Piutang</v>
          </cell>
        </row>
        <row r="50">
          <cell r="A50">
            <v>112.45</v>
          </cell>
          <cell r="B50" t="str">
            <v>PT EKAMAS INTERNATIONAL HOSPITAL (C0064 )</v>
          </cell>
          <cell r="C50" t="str">
            <v>Piutang</v>
          </cell>
          <cell r="D50">
            <v>297240748</v>
          </cell>
        </row>
        <row r="51">
          <cell r="A51">
            <v>112.46</v>
          </cell>
          <cell r="B51" t="str">
            <v>PT MTA ALKES INDO</v>
          </cell>
          <cell r="C51" t="str">
            <v>Piutang</v>
          </cell>
        </row>
        <row r="52">
          <cell r="A52">
            <v>112.47</v>
          </cell>
          <cell r="B52" t="str">
            <v>DINAS KESEHATAN PEMPROV JAMBI</v>
          </cell>
          <cell r="C52" t="str">
            <v>Piutang</v>
          </cell>
          <cell r="D52">
            <v>-3870001</v>
          </cell>
        </row>
        <row r="53">
          <cell r="A53">
            <v>112.48</v>
          </cell>
          <cell r="B53" t="str">
            <v>DINAS KESEHATAN BIREUEN</v>
          </cell>
          <cell r="C53" t="str">
            <v>Piutang</v>
          </cell>
        </row>
        <row r="54">
          <cell r="A54">
            <v>112.49</v>
          </cell>
          <cell r="B54" t="str">
            <v>RSIA Abby (Guarantee Mandala Putra)/IDAA</v>
          </cell>
          <cell r="C54" t="str">
            <v>Piutang</v>
          </cell>
        </row>
        <row r="55">
          <cell r="A55">
            <v>112.5</v>
          </cell>
          <cell r="B55" t="str">
            <v>RSUD Dr Zainoel Abidin</v>
          </cell>
          <cell r="C55" t="str">
            <v>Piutang</v>
          </cell>
        </row>
        <row r="56">
          <cell r="A56">
            <v>112.51</v>
          </cell>
          <cell r="B56" t="str">
            <v>RSUD Bengkalis</v>
          </cell>
          <cell r="C56" t="str">
            <v>Piutang</v>
          </cell>
        </row>
        <row r="57">
          <cell r="A57">
            <v>112.52</v>
          </cell>
          <cell r="B57" t="str">
            <v>PT. Lordsa Dispo Mandiri</v>
          </cell>
          <cell r="C57" t="str">
            <v>Piutang</v>
          </cell>
        </row>
        <row r="58">
          <cell r="A58">
            <v>112.53</v>
          </cell>
          <cell r="B58" t="str">
            <v>RS Prima Inti Medica/PIM</v>
          </cell>
          <cell r="C58" t="str">
            <v>Piutang</v>
          </cell>
        </row>
        <row r="59">
          <cell r="A59">
            <v>112.54</v>
          </cell>
          <cell r="B59" t="str">
            <v>PT. Japan Pack Indonesia</v>
          </cell>
          <cell r="C59" t="str">
            <v>Piutang</v>
          </cell>
        </row>
        <row r="60">
          <cell r="A60">
            <v>112.55</v>
          </cell>
          <cell r="B60" t="str">
            <v>CV. Semesta Mulia Medika</v>
          </cell>
          <cell r="C60" t="str">
            <v>Piutang</v>
          </cell>
        </row>
        <row r="61">
          <cell r="A61">
            <v>112.56</v>
          </cell>
          <cell r="B61" t="str">
            <v>PT. Topaz Borneo Utama</v>
          </cell>
          <cell r="C61" t="str">
            <v>Piutang</v>
          </cell>
        </row>
        <row r="62">
          <cell r="A62">
            <v>112.57</v>
          </cell>
          <cell r="B62" t="str">
            <v>PT. Kamardi Isye Famili/Ropanasuri/ IFR</v>
          </cell>
          <cell r="C62" t="str">
            <v>Piutang</v>
          </cell>
          <cell r="D62">
            <v>14309497.649999999</v>
          </cell>
        </row>
        <row r="63">
          <cell r="A63">
            <v>112.58</v>
          </cell>
          <cell r="B63" t="str">
            <v>PT. Central Era Intijaya</v>
          </cell>
          <cell r="C63" t="str">
            <v>Piutang</v>
          </cell>
        </row>
        <row r="64">
          <cell r="A64">
            <v>112.59</v>
          </cell>
          <cell r="B64" t="str">
            <v>DINAS KESEHATAN KABUPATEN DEMAK</v>
          </cell>
          <cell r="C64" t="str">
            <v>Piutang</v>
          </cell>
        </row>
        <row r="65">
          <cell r="A65">
            <v>112.6</v>
          </cell>
          <cell r="B65" t="str">
            <v>DINAS KESEHATAN KABUPATEN LANGKAT</v>
          </cell>
          <cell r="C65" t="str">
            <v>Piutang</v>
          </cell>
          <cell r="D65">
            <v>25042684</v>
          </cell>
        </row>
        <row r="66">
          <cell r="A66">
            <v>112.61</v>
          </cell>
          <cell r="B66" t="str">
            <v>PT ERLIMPEX/ELF</v>
          </cell>
          <cell r="C66" t="str">
            <v>Piutang</v>
          </cell>
          <cell r="D66">
            <v>5775000</v>
          </cell>
        </row>
        <row r="67">
          <cell r="A67">
            <v>112.62</v>
          </cell>
          <cell r="B67" t="str">
            <v>PT. ANDARESTA BINTANG CEMERLANG/ABC</v>
          </cell>
          <cell r="C67" t="str">
            <v>Piutang</v>
          </cell>
          <cell r="D67">
            <v>16937499.5</v>
          </cell>
        </row>
        <row r="68">
          <cell r="A68">
            <v>112.63</v>
          </cell>
          <cell r="B68" t="str">
            <v>PT. KUAT BERKAT BERSATU</v>
          </cell>
          <cell r="C68" t="str">
            <v>Piutang</v>
          </cell>
        </row>
        <row r="69">
          <cell r="A69">
            <v>112.64</v>
          </cell>
          <cell r="B69" t="str">
            <v>YAYASAN RUMAH SAKIT ISLAM IBNU SINA PADANG/IISP</v>
          </cell>
          <cell r="C69" t="str">
            <v>Piutang</v>
          </cell>
          <cell r="D69">
            <v>14553773</v>
          </cell>
        </row>
        <row r="70">
          <cell r="A70">
            <v>112.65</v>
          </cell>
          <cell r="B70" t="str">
            <v>DINAS KESEHATAN KABUPATEN SIAK</v>
          </cell>
          <cell r="C70" t="str">
            <v>Piutang</v>
          </cell>
        </row>
        <row r="71">
          <cell r="A71">
            <v>112.66</v>
          </cell>
          <cell r="B71" t="str">
            <v>RS SEPAKAT ATA BERSAMA / SAB</v>
          </cell>
          <cell r="C71" t="str">
            <v>Piutang</v>
          </cell>
          <cell r="D71">
            <v>49300000</v>
          </cell>
        </row>
        <row r="72">
          <cell r="A72">
            <v>112.67</v>
          </cell>
          <cell r="B72" t="str">
            <v>PT. SOLUSI SURYA DISTRINDO/ Surya Wardhana/SDD</v>
          </cell>
          <cell r="C72" t="str">
            <v>Piutang</v>
          </cell>
        </row>
        <row r="73">
          <cell r="A73">
            <v>112.68</v>
          </cell>
          <cell r="B73" t="str">
            <v>RUMAH SAKIT AISYIYAH / ASY</v>
          </cell>
          <cell r="C73" t="str">
            <v>Piutang</v>
          </cell>
          <cell r="D73">
            <v>43560000</v>
          </cell>
        </row>
        <row r="74">
          <cell r="A74">
            <v>112.69</v>
          </cell>
          <cell r="B74" t="str">
            <v>RUMAH SAKIT JEUMPA /RSJ</v>
          </cell>
          <cell r="C74" t="str">
            <v>Piutang</v>
          </cell>
          <cell r="D74">
            <v>1485000</v>
          </cell>
        </row>
        <row r="75">
          <cell r="A75">
            <v>112.7</v>
          </cell>
          <cell r="B75" t="str">
            <v>CV TISHASHI ANUGRAH MANDIRI</v>
          </cell>
          <cell r="C75" t="str">
            <v>Piutang</v>
          </cell>
        </row>
        <row r="76">
          <cell r="A76">
            <v>112.71</v>
          </cell>
          <cell r="B76" t="str">
            <v>MADINA BUKITTINGGI</v>
          </cell>
          <cell r="C76" t="str">
            <v>Piutang</v>
          </cell>
        </row>
        <row r="77">
          <cell r="A77">
            <v>112.72</v>
          </cell>
          <cell r="B77" t="str">
            <v>PT. PRIMA ABYRRA SENTOSA</v>
          </cell>
          <cell r="C77" t="str">
            <v>Piutang</v>
          </cell>
        </row>
        <row r="78">
          <cell r="A78">
            <v>112.73</v>
          </cell>
          <cell r="B78" t="str">
            <v>PT. BUANA MEDIKA UTAMA</v>
          </cell>
          <cell r="C78" t="str">
            <v>Piutang</v>
          </cell>
        </row>
        <row r="79">
          <cell r="A79">
            <v>112.74</v>
          </cell>
          <cell r="B79" t="str">
            <v>RUMAH SAKIT UMUM DAERAH PETALA BUMI PROVINSI RIAU</v>
          </cell>
          <cell r="C79" t="str">
            <v>Piutang</v>
          </cell>
        </row>
        <row r="80">
          <cell r="A80">
            <v>112.75</v>
          </cell>
          <cell r="B80" t="str">
            <v>YAYASAN ASSYIFAH BLANG RAYA</v>
          </cell>
          <cell r="C80" t="str">
            <v>Piutang</v>
          </cell>
        </row>
        <row r="90">
          <cell r="A90">
            <v>119.01</v>
          </cell>
          <cell r="B90" t="str">
            <v xml:space="preserve"> Uang muka Teguh Wicaksono </v>
          </cell>
          <cell r="C90" t="str">
            <v>Piutang</v>
          </cell>
          <cell r="D90">
            <v>1475000</v>
          </cell>
        </row>
        <row r="91">
          <cell r="A91">
            <v>119.02</v>
          </cell>
          <cell r="B91" t="str">
            <v xml:space="preserve"> Uang Muka Samhadi </v>
          </cell>
          <cell r="C91" t="str">
            <v>Piutang</v>
          </cell>
          <cell r="D91">
            <v>2300000</v>
          </cell>
        </row>
        <row r="92">
          <cell r="A92">
            <v>119.03</v>
          </cell>
          <cell r="B92" t="str">
            <v xml:space="preserve"> Uang Muka Kusbi Alim </v>
          </cell>
          <cell r="C92" t="str">
            <v>Piutang</v>
          </cell>
          <cell r="D92">
            <v>0</v>
          </cell>
        </row>
        <row r="93">
          <cell r="A93">
            <v>119.04</v>
          </cell>
          <cell r="B93" t="str">
            <v xml:space="preserve"> Uang Muka Pak Syahdu </v>
          </cell>
          <cell r="C93" t="str">
            <v>Piutang</v>
          </cell>
        </row>
        <row r="94">
          <cell r="A94">
            <v>119.05</v>
          </cell>
          <cell r="B94" t="str">
            <v xml:space="preserve"> Uang Muka Pak Alvin </v>
          </cell>
          <cell r="C94" t="str">
            <v>Piutang</v>
          </cell>
          <cell r="D94">
            <v>0</v>
          </cell>
        </row>
        <row r="95">
          <cell r="A95">
            <v>119.06</v>
          </cell>
          <cell r="B95" t="str">
            <v xml:space="preserve"> Uang Muka Susy </v>
          </cell>
          <cell r="C95" t="str">
            <v>Piutang</v>
          </cell>
          <cell r="D95">
            <v>0</v>
          </cell>
        </row>
        <row r="96">
          <cell r="A96">
            <v>119.07</v>
          </cell>
          <cell r="B96" t="str">
            <v>Uang Muka Ari</v>
          </cell>
        </row>
        <row r="97">
          <cell r="A97">
            <v>119.08</v>
          </cell>
          <cell r="B97" t="str">
            <v>Uang Muka Pak Ferry</v>
          </cell>
        </row>
        <row r="110">
          <cell r="A110" t="str">
            <v>210,01,01</v>
          </cell>
          <cell r="B110" t="str">
            <v>PLP00673</v>
          </cell>
          <cell r="C110" t="str">
            <v>Hutang</v>
          </cell>
          <cell r="D110">
            <v>0</v>
          </cell>
        </row>
        <row r="111">
          <cell r="A111" t="str">
            <v>210,01,02</v>
          </cell>
          <cell r="B111" t="str">
            <v>PLP00729</v>
          </cell>
          <cell r="C111" t="str">
            <v>Hutang</v>
          </cell>
          <cell r="D111">
            <v>0</v>
          </cell>
        </row>
        <row r="112">
          <cell r="A112" t="str">
            <v>210,01,03</v>
          </cell>
          <cell r="B112" t="str">
            <v>PLP00738</v>
          </cell>
          <cell r="C112" t="str">
            <v>Hutang</v>
          </cell>
          <cell r="D112">
            <v>99.75</v>
          </cell>
        </row>
        <row r="113">
          <cell r="A113" t="str">
            <v>210,01,04</v>
          </cell>
          <cell r="B113" t="str">
            <v>W5-0324/2019</v>
          </cell>
          <cell r="C113" t="str">
            <v>Hutang</v>
          </cell>
          <cell r="D113">
            <v>0</v>
          </cell>
        </row>
        <row r="114">
          <cell r="A114" t="str">
            <v>210,01,05</v>
          </cell>
          <cell r="B114" t="str">
            <v>W5-0373/2019</v>
          </cell>
          <cell r="C114" t="str">
            <v>Hutang</v>
          </cell>
          <cell r="D114">
            <v>0</v>
          </cell>
        </row>
        <row r="115">
          <cell r="A115" t="str">
            <v>210,01,06</v>
          </cell>
          <cell r="B115" t="str">
            <v xml:space="preserve">W5-0463/2019 </v>
          </cell>
          <cell r="C115" t="str">
            <v>Hutang</v>
          </cell>
          <cell r="D115">
            <v>0</v>
          </cell>
        </row>
        <row r="116">
          <cell r="A116" t="str">
            <v>210,01,07</v>
          </cell>
          <cell r="B116" t="str">
            <v xml:space="preserve">W5-0538/2019 </v>
          </cell>
          <cell r="C116" t="str">
            <v>Hutang</v>
          </cell>
          <cell r="D116">
            <v>0</v>
          </cell>
        </row>
        <row r="117">
          <cell r="A117" t="str">
            <v>210,01,08</v>
          </cell>
          <cell r="B117" t="str">
            <v>W5-077/2020</v>
          </cell>
          <cell r="C117" t="str">
            <v>Hutang</v>
          </cell>
          <cell r="D117">
            <v>0</v>
          </cell>
        </row>
        <row r="118">
          <cell r="A118" t="str">
            <v>210,01,09</v>
          </cell>
          <cell r="B118" t="str">
            <v>PLP01048</v>
          </cell>
          <cell r="C118" t="str">
            <v>Hutang</v>
          </cell>
          <cell r="D118">
            <v>0</v>
          </cell>
        </row>
        <row r="119">
          <cell r="A119" t="str">
            <v>210,01,10</v>
          </cell>
          <cell r="B119" t="str">
            <v>PIB W5-0116/2020</v>
          </cell>
          <cell r="C119" t="str">
            <v>Hutang</v>
          </cell>
          <cell r="D119">
            <v>0</v>
          </cell>
        </row>
        <row r="120">
          <cell r="A120" t="str">
            <v>210,01,11</v>
          </cell>
          <cell r="B120" t="str">
            <v>W5-0158/2020</v>
          </cell>
          <cell r="C120" t="str">
            <v>Hutang</v>
          </cell>
          <cell r="D120">
            <v>0</v>
          </cell>
        </row>
        <row r="121">
          <cell r="A121" t="str">
            <v>210,01,12</v>
          </cell>
          <cell r="B121" t="str">
            <v>W5-0167/2020</v>
          </cell>
          <cell r="C121" t="str">
            <v>Hutang</v>
          </cell>
          <cell r="D121">
            <v>0</v>
          </cell>
        </row>
        <row r="122">
          <cell r="A122" t="str">
            <v>210,01,13</v>
          </cell>
          <cell r="B122" t="str">
            <v>PLP01089</v>
          </cell>
          <cell r="C122" t="str">
            <v>Hutang</v>
          </cell>
          <cell r="D122">
            <v>0</v>
          </cell>
        </row>
        <row r="123">
          <cell r="A123" t="str">
            <v>210,01,14</v>
          </cell>
          <cell r="B123" t="str">
            <v>W5-0303/2020</v>
          </cell>
          <cell r="C123" t="str">
            <v>Hutang</v>
          </cell>
          <cell r="D123">
            <v>0</v>
          </cell>
        </row>
        <row r="124">
          <cell r="A124" t="str">
            <v>210,01,15</v>
          </cell>
          <cell r="B124" t="str">
            <v>PIB W5-0305/2020 USD 40375 IDR 14675</v>
          </cell>
          <cell r="C124" t="str">
            <v>Hutang</v>
          </cell>
          <cell r="D124">
            <v>0</v>
          </cell>
        </row>
        <row r="125">
          <cell r="A125" t="str">
            <v>210,01,16</v>
          </cell>
          <cell r="B125" t="str">
            <v>PIB W5-0305/2020 USD 40375 IDR 14675</v>
          </cell>
          <cell r="C125" t="str">
            <v>Hutang</v>
          </cell>
          <cell r="D125">
            <v>0</v>
          </cell>
        </row>
        <row r="126">
          <cell r="A126" t="str">
            <v>210,01,17</v>
          </cell>
          <cell r="B126" t="str">
            <v>PLP01153 USD 32760 IDR 14895</v>
          </cell>
          <cell r="C126" t="str">
            <v>Hutang</v>
          </cell>
          <cell r="D126">
            <v>0</v>
          </cell>
        </row>
        <row r="127">
          <cell r="A127" t="str">
            <v>210,01,18</v>
          </cell>
          <cell r="B127" t="str">
            <v>W5-0427/2020 USD 54215 IDR 14817</v>
          </cell>
          <cell r="C127" t="str">
            <v>Hutang</v>
          </cell>
          <cell r="D127">
            <v>0</v>
          </cell>
        </row>
        <row r="128">
          <cell r="A128" t="str">
            <v>210,01,19</v>
          </cell>
          <cell r="B128" t="str">
            <v>PLP01173 USD 93420 IDR 14,746</v>
          </cell>
          <cell r="C128" t="str">
            <v>Hutang</v>
          </cell>
          <cell r="D128">
            <v>0</v>
          </cell>
        </row>
        <row r="129">
          <cell r="A129" t="str">
            <v>210,01,20</v>
          </cell>
          <cell r="B129" t="str">
            <v>W5-0503/2020</v>
          </cell>
          <cell r="C129" t="str">
            <v>Hutang</v>
          </cell>
          <cell r="D129">
            <v>0</v>
          </cell>
        </row>
        <row r="130">
          <cell r="A130" t="str">
            <v>210,01,21</v>
          </cell>
          <cell r="B130" t="str">
            <v>W5-0558/2020</v>
          </cell>
          <cell r="C130" t="str">
            <v>Hutang</v>
          </cell>
          <cell r="D130">
            <v>0</v>
          </cell>
        </row>
        <row r="131">
          <cell r="A131" t="str">
            <v>210,01,22</v>
          </cell>
          <cell r="B131" t="str">
            <v>W5-0537/2020</v>
          </cell>
          <cell r="C131" t="str">
            <v>Hutang</v>
          </cell>
          <cell r="D131">
            <v>0</v>
          </cell>
        </row>
        <row r="132">
          <cell r="A132" t="str">
            <v>210,01,23</v>
          </cell>
          <cell r="B132" t="str">
            <v>KB-5688/2020</v>
          </cell>
          <cell r="C132" t="str">
            <v>Hutang</v>
          </cell>
          <cell r="D132">
            <v>0</v>
          </cell>
        </row>
        <row r="133">
          <cell r="A133" t="str">
            <v>210,01,24</v>
          </cell>
          <cell r="B133" t="str">
            <v>W50545 2020</v>
          </cell>
          <cell r="C133" t="str">
            <v>Hutang</v>
          </cell>
          <cell r="D133">
            <v>0</v>
          </cell>
        </row>
        <row r="134">
          <cell r="A134" t="str">
            <v>210,01,25</v>
          </cell>
          <cell r="B134" t="str">
            <v>W5-0009/2021 PIB Impor 45423 Kurs 14122</v>
          </cell>
          <cell r="C134" t="str">
            <v>Hutang</v>
          </cell>
          <cell r="D134">
            <v>0</v>
          </cell>
        </row>
        <row r="135">
          <cell r="A135" t="str">
            <v>210,01,26</v>
          </cell>
          <cell r="B135" t="str">
            <v>KB-0459/2021 PIB Impor 126.300 Kurs 14,085</v>
          </cell>
          <cell r="C135" t="str">
            <v>Hutang</v>
          </cell>
          <cell r="D135">
            <v>0</v>
          </cell>
        </row>
        <row r="136">
          <cell r="A136" t="str">
            <v>210,01,27</v>
          </cell>
          <cell r="B136" t="str">
            <v xml:space="preserve">W5-0042/2021 PIB Impor 124,797 kurs 13,987 </v>
          </cell>
          <cell r="C136" t="str">
            <v>Hutang</v>
          </cell>
          <cell r="D136">
            <v>0</v>
          </cell>
        </row>
        <row r="137">
          <cell r="A137" t="str">
            <v>210,01,28</v>
          </cell>
          <cell r="B137" t="str">
            <v>Inv PLP01244 PIB Impor 27,480 kurs 14,028</v>
          </cell>
          <cell r="C137" t="str">
            <v>Hutang</v>
          </cell>
          <cell r="D137">
            <v>0</v>
          </cell>
        </row>
        <row r="138">
          <cell r="A138" t="str">
            <v>210,01,29</v>
          </cell>
          <cell r="B138" t="str">
            <v>Inv W5-0091/2021 64,560 Kurs 14420</v>
          </cell>
          <cell r="C138" t="str">
            <v>Hutang</v>
          </cell>
          <cell r="D138">
            <v>0</v>
          </cell>
        </row>
        <row r="139">
          <cell r="A139" t="str">
            <v>210,01,30</v>
          </cell>
          <cell r="B139" t="str">
            <v>Inv PLP01254 PIB Impor 116,625 Kurs 14,420</v>
          </cell>
          <cell r="C139" t="str">
            <v>Hutang</v>
          </cell>
        </row>
        <row r="140">
          <cell r="A140" t="str">
            <v>210,01,31</v>
          </cell>
          <cell r="B140" t="str">
            <v>Inv PLP01271 PIB Impor 113,625 Kurs 14,545</v>
          </cell>
          <cell r="C140" t="str">
            <v>Hutang</v>
          </cell>
          <cell r="D140">
            <v>826337812.5</v>
          </cell>
        </row>
        <row r="141">
          <cell r="A141" t="str">
            <v>210,01,32</v>
          </cell>
          <cell r="B141" t="str">
            <v>Payment W5-0159/2021 USD 1.147.50</v>
          </cell>
          <cell r="C141" t="str">
            <v>Hutang</v>
          </cell>
        </row>
        <row r="142">
          <cell r="A142" t="str">
            <v>210,01,33</v>
          </cell>
          <cell r="B142" t="str">
            <v>Inv W5-0155/2021 PIB Impor 123,982,50 Kurs 14,541</v>
          </cell>
          <cell r="C142" t="str">
            <v>Hutang</v>
          </cell>
        </row>
        <row r="143">
          <cell r="A143" t="str">
            <v>210,01,34</v>
          </cell>
          <cell r="B143" t="str">
            <v>Inv KB-2259/2021 PIB Impor 78,650 Kurs 14,541</v>
          </cell>
          <cell r="C143" t="str">
            <v>Hutang</v>
          </cell>
        </row>
        <row r="144">
          <cell r="A144" t="str">
            <v>210,01,35</v>
          </cell>
          <cell r="B144" t="str">
            <v>Inv KB-2456 PIB Impor 64,850 Kurs 14,398</v>
          </cell>
          <cell r="C144" t="str">
            <v>Hutang</v>
          </cell>
        </row>
        <row r="145">
          <cell r="A145" t="str">
            <v>210,01,36</v>
          </cell>
          <cell r="B145" t="str">
            <v>Inv KB-3253/2021 PIB Impor 39,650 Kurs 14,301</v>
          </cell>
          <cell r="C145" t="str">
            <v>Hutang</v>
          </cell>
        </row>
        <row r="146">
          <cell r="A146" t="str">
            <v>210,01,37</v>
          </cell>
          <cell r="B146" t="str">
            <v>Inv W5-0212/2021 PIB Impor 59172,50 Kurs 14,296</v>
          </cell>
          <cell r="C146" t="str">
            <v>Hutang</v>
          </cell>
        </row>
        <row r="147">
          <cell r="A147" t="str">
            <v>210,01,38</v>
          </cell>
          <cell r="B147" t="str">
            <v>Inv KB-3637/2021 PIB Impor 54,625 Kurs 14,497</v>
          </cell>
          <cell r="C147" t="str">
            <v>Hutang</v>
          </cell>
        </row>
        <row r="148">
          <cell r="A148" t="str">
            <v>210,01,39</v>
          </cell>
          <cell r="B148" t="str">
            <v>Inv W5-0256/2021 PIB Impor 130.099,50 Kurs 14,448</v>
          </cell>
          <cell r="C148" t="str">
            <v>Hutang</v>
          </cell>
        </row>
        <row r="149">
          <cell r="A149" t="str">
            <v>210,01,40</v>
          </cell>
          <cell r="B149" t="str">
            <v>INV KB-3961/2021 USD 39.200 kurs 14.371</v>
          </cell>
          <cell r="C149" t="str">
            <v>Hutang</v>
          </cell>
        </row>
        <row r="150">
          <cell r="A150" t="str">
            <v>210,01,41</v>
          </cell>
          <cell r="B150" t="str">
            <v>INV W5-0310/2021 USD 55.412,50 kurs 14.414</v>
          </cell>
          <cell r="C150" t="str">
            <v>Hutang</v>
          </cell>
        </row>
        <row r="151">
          <cell r="A151" t="str">
            <v>210,01,42</v>
          </cell>
          <cell r="B151" t="str">
            <v>INV KB-4298/2021 USD 72,390 Kurs 14.240</v>
          </cell>
          <cell r="C151" t="str">
            <v>Hutang</v>
          </cell>
        </row>
        <row r="152">
          <cell r="A152" t="str">
            <v>210,01,43</v>
          </cell>
          <cell r="B152" t="str">
            <v>Inv KB-4688/2021 45.490 Kurs 14.250</v>
          </cell>
          <cell r="C152" t="str">
            <v>Hutang</v>
          </cell>
        </row>
        <row r="153">
          <cell r="A153" t="str">
            <v>210,01,44</v>
          </cell>
          <cell r="B153" t="str">
            <v>Inv KB-5370/2021 kurs 14.257 USD 32.400</v>
          </cell>
          <cell r="C153" t="str">
            <v>Hutang</v>
          </cell>
          <cell r="D153">
            <v>461926800</v>
          </cell>
        </row>
        <row r="154">
          <cell r="A154" t="str">
            <v>210,01,45</v>
          </cell>
          <cell r="B154" t="str">
            <v xml:space="preserve">Inv W5-0400/2021 USD 62.298 Kurs 14.118 </v>
          </cell>
          <cell r="C154" t="str">
            <v>Hutang</v>
          </cell>
          <cell r="D154">
            <v>879523164</v>
          </cell>
        </row>
        <row r="155">
          <cell r="A155" t="str">
            <v>210,01,46</v>
          </cell>
          <cell r="B155" t="str">
            <v>Inv W5-0419/2021 USD 56.563 Kurs 14.300</v>
          </cell>
          <cell r="C155" t="str">
            <v>Hutang</v>
          </cell>
          <cell r="D155">
            <v>808850900</v>
          </cell>
        </row>
        <row r="156">
          <cell r="A156" t="str">
            <v>210,01,47</v>
          </cell>
          <cell r="B156" t="str">
            <v>W5-0461 Intouch Powder Free USD 61.398 Kurs 14.294</v>
          </cell>
          <cell r="C156" t="str">
            <v>Hutang</v>
          </cell>
        </row>
        <row r="157">
          <cell r="A157" t="str">
            <v>210,01,48</v>
          </cell>
          <cell r="B157" t="str">
            <v>W5-0286/2022 Exam Size S PS68 USD 4.502,40 kurs 14.344</v>
          </cell>
          <cell r="C157" t="str">
            <v>Hutang</v>
          </cell>
        </row>
        <row r="158">
          <cell r="A158" t="str">
            <v>210,01,49</v>
          </cell>
          <cell r="B158" t="str">
            <v>W5-0014/2022 53.723 Kurs 14.344 PIB No 003180</v>
          </cell>
          <cell r="C158" t="str">
            <v>Hutang</v>
          </cell>
        </row>
        <row r="159">
          <cell r="A159" t="str">
            <v>210,01,50</v>
          </cell>
          <cell r="B159" t="str">
            <v>KB-0513/2022 22.600 Kurs 14.374</v>
          </cell>
          <cell r="C159" t="str">
            <v>Hutang</v>
          </cell>
        </row>
        <row r="160">
          <cell r="A160" t="str">
            <v>210,01,51</v>
          </cell>
          <cell r="B160" t="str">
            <v>W5-0051/2022</v>
          </cell>
          <cell r="C160" t="str">
            <v>Hutang</v>
          </cell>
        </row>
        <row r="161">
          <cell r="A161" t="str">
            <v>210,01,52</v>
          </cell>
          <cell r="B161" t="str">
            <v>W5-0052/2022</v>
          </cell>
          <cell r="C161" t="str">
            <v>Hutang</v>
          </cell>
        </row>
        <row r="168">
          <cell r="A168">
            <v>119.01</v>
          </cell>
          <cell r="B168" t="str">
            <v>Uang Muka Teguh</v>
          </cell>
        </row>
        <row r="169">
          <cell r="A169">
            <v>119.02</v>
          </cell>
          <cell r="B169" t="str">
            <v>Uang Muka Syamhadi</v>
          </cell>
        </row>
        <row r="170">
          <cell r="A170">
            <v>119.03</v>
          </cell>
          <cell r="B170" t="str">
            <v>Uang Muka Kusbi</v>
          </cell>
        </row>
        <row r="171">
          <cell r="A171">
            <v>119.04</v>
          </cell>
          <cell r="B171" t="str">
            <v>Uang Muka Pak Syahdu</v>
          </cell>
        </row>
        <row r="172">
          <cell r="A172">
            <v>119.05</v>
          </cell>
          <cell r="B172" t="str">
            <v>Uang Muka Susy</v>
          </cell>
        </row>
        <row r="173">
          <cell r="A173">
            <v>119.06</v>
          </cell>
          <cell r="B173" t="str">
            <v>Uang Muka Pak Tan</v>
          </cell>
        </row>
        <row r="174">
          <cell r="A174">
            <v>119.07</v>
          </cell>
          <cell r="B174" t="str">
            <v>Uang Muka Pak Ari</v>
          </cell>
        </row>
        <row r="175">
          <cell r="A175">
            <v>119.08</v>
          </cell>
          <cell r="B175" t="str">
            <v>Uang Muka Pak Fery</v>
          </cell>
        </row>
        <row r="176">
          <cell r="A176">
            <v>119.09</v>
          </cell>
          <cell r="B176" t="str">
            <v>Uang Muka Pak Syahrul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02">
          <cell r="BN102">
            <v>6327194.5833333349</v>
          </cell>
          <cell r="BP102">
            <v>6327194.5833333349</v>
          </cell>
          <cell r="BR102">
            <v>6385165.1250000019</v>
          </cell>
        </row>
        <row r="109">
          <cell r="BN109">
            <v>5143017.520833334</v>
          </cell>
          <cell r="BP109">
            <v>5143017.520833334</v>
          </cell>
          <cell r="BR109">
            <v>6303330.020833334</v>
          </cell>
        </row>
      </sheetData>
      <sheetData sheetId="24"/>
      <sheetData sheetId="25"/>
      <sheetData sheetId="26">
        <row r="30">
          <cell r="CA30">
            <v>24444444.458333332</v>
          </cell>
        </row>
        <row r="33">
          <cell r="CC33">
            <v>24444444.458333332</v>
          </cell>
          <cell r="CE33">
            <v>24444444.458333332</v>
          </cell>
        </row>
        <row r="94">
          <cell r="C94">
            <v>393005.55555555556</v>
          </cell>
        </row>
        <row r="95">
          <cell r="C95">
            <v>393005.55555555556</v>
          </cell>
        </row>
        <row r="96">
          <cell r="C96">
            <v>393005.55555555556</v>
          </cell>
        </row>
        <row r="138">
          <cell r="B138">
            <v>588376</v>
          </cell>
          <cell r="C138">
            <v>4393624</v>
          </cell>
        </row>
        <row r="139">
          <cell r="B139">
            <v>559218</v>
          </cell>
          <cell r="C139">
            <v>4422782</v>
          </cell>
        </row>
        <row r="156">
          <cell r="D156">
            <v>4982000</v>
          </cell>
        </row>
      </sheetData>
      <sheetData sheetId="27">
        <row r="2">
          <cell r="F2">
            <v>14381.005000000001</v>
          </cell>
        </row>
        <row r="3">
          <cell r="F3">
            <v>14371.005000000001</v>
          </cell>
        </row>
      </sheetData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'22"/>
      <sheetName val="SalesJan"/>
      <sheetName val="Feb"/>
      <sheetName val="SalesFeb"/>
      <sheetName val="Mar"/>
      <sheetName val="Sales Maret"/>
      <sheetName val="REKAP PEMBELIAN"/>
      <sheetName val="Sheet3"/>
      <sheetName val="Sheet2"/>
      <sheetName val="Sheet6"/>
      <sheetName val="SURAT JALAN"/>
      <sheetName val="DATA BARANG"/>
    </sheetNames>
    <sheetDataSet>
      <sheetData sheetId="0">
        <row r="58">
          <cell r="AF58">
            <v>392611806.03779972</v>
          </cell>
          <cell r="BJ58">
            <v>-12797926.556933818</v>
          </cell>
        </row>
        <row r="80">
          <cell r="AF80">
            <v>341184004.83101398</v>
          </cell>
          <cell r="BJ80">
            <v>3018139.2275296501</v>
          </cell>
        </row>
        <row r="93">
          <cell r="AF93">
            <v>6032756.5029142378</v>
          </cell>
        </row>
      </sheetData>
      <sheetData sheetId="1" refreshError="1"/>
      <sheetData sheetId="2">
        <row r="130">
          <cell r="D130">
            <v>638231387.46944726</v>
          </cell>
        </row>
        <row r="131">
          <cell r="D131">
            <v>5052823.9673605328</v>
          </cell>
        </row>
        <row r="132">
          <cell r="D132">
            <v>237328574.60062194</v>
          </cell>
        </row>
        <row r="135">
          <cell r="D135">
            <v>3649044.536961447</v>
          </cell>
        </row>
      </sheetData>
      <sheetData sheetId="3" refreshError="1"/>
      <sheetData sheetId="4">
        <row r="130">
          <cell r="C130">
            <v>709375249.7018503</v>
          </cell>
        </row>
        <row r="131">
          <cell r="C131">
            <v>175669876.41703492</v>
          </cell>
        </row>
        <row r="132">
          <cell r="C132">
            <v>253656568.15722713</v>
          </cell>
        </row>
        <row r="137">
          <cell r="C137">
            <v>5679420.7324357405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un"/>
      <sheetName val="Saldo Awal"/>
      <sheetName val="Produk"/>
      <sheetName val="Relasi"/>
      <sheetName val="Data Kredit"/>
      <sheetName val="Aset Tetap"/>
      <sheetName val="Penyusutan"/>
      <sheetName val="Jurnal"/>
      <sheetName val="BukuBesar"/>
      <sheetName val="Piutang"/>
      <sheetName val="Hutang"/>
      <sheetName val="Persediaan"/>
      <sheetName val="LabaRugi"/>
      <sheetName val="Neraca"/>
      <sheetName val="ArusKas(1)"/>
      <sheetName val="ArusKas (2)"/>
      <sheetName val="LapPiutang"/>
      <sheetName val="LapHutang"/>
      <sheetName val="LapPersediaan"/>
    </sheetNames>
    <sheetDataSet>
      <sheetData sheetId="0">
        <row r="9">
          <cell r="B9">
            <v>11000</v>
          </cell>
          <cell r="C9" t="str">
            <v>Aktiva lancar</v>
          </cell>
        </row>
      </sheetData>
      <sheetData sheetId="1">
        <row r="13">
          <cell r="B13">
            <v>11000</v>
          </cell>
          <cell r="C13" t="str">
            <v>Aktiva lancar</v>
          </cell>
        </row>
        <row r="14">
          <cell r="B14">
            <v>11100</v>
          </cell>
          <cell r="C14" t="str">
            <v>Kas</v>
          </cell>
          <cell r="D14">
            <v>45670000</v>
          </cell>
        </row>
        <row r="15">
          <cell r="B15">
            <v>11200</v>
          </cell>
          <cell r="C15" t="str">
            <v>Bank Permata</v>
          </cell>
          <cell r="D15">
            <v>153361000</v>
          </cell>
        </row>
        <row r="16">
          <cell r="B16">
            <v>11300</v>
          </cell>
          <cell r="C16" t="str">
            <v>Bank Mutiara</v>
          </cell>
          <cell r="D16">
            <v>107364000</v>
          </cell>
        </row>
        <row r="17">
          <cell r="B17">
            <v>11400</v>
          </cell>
          <cell r="C17" t="str">
            <v>Piutang</v>
          </cell>
          <cell r="D17">
            <v>0</v>
          </cell>
        </row>
        <row r="18">
          <cell r="B18">
            <v>11500</v>
          </cell>
          <cell r="C18" t="str">
            <v>Persediaan motor</v>
          </cell>
          <cell r="D18">
            <v>189501000</v>
          </cell>
        </row>
        <row r="19">
          <cell r="B19">
            <v>11600</v>
          </cell>
          <cell r="C19" t="str">
            <v>Perlengkapan kantor</v>
          </cell>
          <cell r="D19">
            <v>5000000</v>
          </cell>
        </row>
        <row r="20">
          <cell r="B20">
            <v>11700</v>
          </cell>
          <cell r="C20" t="str">
            <v>Sewa dibayar dimuka</v>
          </cell>
          <cell r="D20">
            <v>54250000</v>
          </cell>
        </row>
        <row r="21">
          <cell r="B21">
            <v>12000</v>
          </cell>
          <cell r="C21" t="str">
            <v>Aktiva Tetap</v>
          </cell>
        </row>
        <row r="22">
          <cell r="B22">
            <v>12100</v>
          </cell>
          <cell r="C22" t="str">
            <v>Peralatan kantor</v>
          </cell>
          <cell r="D22">
            <v>25000000</v>
          </cell>
        </row>
        <row r="23">
          <cell r="B23">
            <v>12110</v>
          </cell>
          <cell r="C23" t="str">
            <v>Akum. penyusutan peralatan kantor</v>
          </cell>
          <cell r="D23">
            <v>-1800000</v>
          </cell>
        </row>
        <row r="24">
          <cell r="B24">
            <v>12200</v>
          </cell>
          <cell r="C24" t="str">
            <v>Kendaraan</v>
          </cell>
          <cell r="D24">
            <v>83000000</v>
          </cell>
        </row>
        <row r="25">
          <cell r="B25">
            <v>12210</v>
          </cell>
          <cell r="C25" t="str">
            <v>Akum. penyusutan kendaraan</v>
          </cell>
          <cell r="D25">
            <v>-1987500</v>
          </cell>
        </row>
        <row r="26">
          <cell r="B26">
            <v>21000</v>
          </cell>
          <cell r="C26" t="str">
            <v>Hutang lancar</v>
          </cell>
        </row>
        <row r="27">
          <cell r="B27">
            <v>21100</v>
          </cell>
          <cell r="C27" t="str">
            <v>Hutang usaha</v>
          </cell>
          <cell r="E27">
            <v>128103000</v>
          </cell>
        </row>
        <row r="28">
          <cell r="B28">
            <v>21200</v>
          </cell>
          <cell r="C28" t="str">
            <v>Uang muka customer</v>
          </cell>
          <cell r="E28">
            <v>0</v>
          </cell>
        </row>
        <row r="29">
          <cell r="B29">
            <v>21300</v>
          </cell>
          <cell r="C29" t="str">
            <v>PPn masukan</v>
          </cell>
          <cell r="E29">
            <v>0</v>
          </cell>
        </row>
        <row r="30">
          <cell r="B30">
            <v>21400</v>
          </cell>
          <cell r="C30" t="str">
            <v>PPn keluaran</v>
          </cell>
          <cell r="E30">
            <v>0</v>
          </cell>
        </row>
        <row r="31">
          <cell r="B31">
            <v>30000</v>
          </cell>
          <cell r="C31" t="str">
            <v>Modal</v>
          </cell>
        </row>
        <row r="32">
          <cell r="B32">
            <v>31000</v>
          </cell>
          <cell r="C32" t="str">
            <v>Modal usaha</v>
          </cell>
          <cell r="E32">
            <v>500000000</v>
          </cell>
        </row>
        <row r="33">
          <cell r="B33">
            <v>32000</v>
          </cell>
          <cell r="C33" t="str">
            <v>Laba ditahan</v>
          </cell>
          <cell r="E33">
            <v>31255500</v>
          </cell>
        </row>
        <row r="34">
          <cell r="B34">
            <v>33000</v>
          </cell>
          <cell r="C34" t="str">
            <v>Laba periode berjalan</v>
          </cell>
          <cell r="E34">
            <v>0</v>
          </cell>
        </row>
        <row r="35">
          <cell r="B35" t="str">
            <v xml:space="preserve"> </v>
          </cell>
          <cell r="C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</row>
        <row r="37">
          <cell r="B37" t="str">
            <v xml:space="preserve"> </v>
          </cell>
          <cell r="C37" t="str">
            <v xml:space="preserve"> </v>
          </cell>
        </row>
        <row r="38">
          <cell r="B38" t="str">
            <v xml:space="preserve"> </v>
          </cell>
          <cell r="C38" t="str">
            <v xml:space="preserve"> </v>
          </cell>
        </row>
        <row r="39">
          <cell r="B39" t="str">
            <v xml:space="preserve"> </v>
          </cell>
          <cell r="C39" t="str">
            <v xml:space="preserve"> </v>
          </cell>
        </row>
        <row r="40">
          <cell r="B40" t="str">
            <v xml:space="preserve"> </v>
          </cell>
          <cell r="C40" t="str">
            <v xml:space="preserve"> </v>
          </cell>
        </row>
        <row r="41">
          <cell r="B41" t="str">
            <v xml:space="preserve"> </v>
          </cell>
          <cell r="C41" t="str">
            <v xml:space="preserve"> </v>
          </cell>
        </row>
        <row r="42">
          <cell r="B42" t="str">
            <v xml:space="preserve"> </v>
          </cell>
          <cell r="C42" t="str">
            <v xml:space="preserve"> </v>
          </cell>
        </row>
        <row r="43">
          <cell r="B43" t="str">
            <v xml:space="preserve"> </v>
          </cell>
          <cell r="C43" t="str">
            <v xml:space="preserve"> </v>
          </cell>
        </row>
        <row r="44">
          <cell r="B44" t="str">
            <v xml:space="preserve"> </v>
          </cell>
          <cell r="C44" t="str">
            <v xml:space="preserve"> </v>
          </cell>
        </row>
        <row r="45">
          <cell r="B45" t="str">
            <v xml:space="preserve"> </v>
          </cell>
          <cell r="C45" t="str">
            <v xml:space="preserve"> </v>
          </cell>
        </row>
        <row r="46">
          <cell r="B46" t="str">
            <v xml:space="preserve"> </v>
          </cell>
          <cell r="C46" t="str">
            <v xml:space="preserve"> </v>
          </cell>
        </row>
        <row r="47">
          <cell r="B47" t="str">
            <v xml:space="preserve"> </v>
          </cell>
          <cell r="C47" t="str">
            <v xml:space="preserve"> </v>
          </cell>
        </row>
        <row r="48">
          <cell r="B48" t="str">
            <v xml:space="preserve"> </v>
          </cell>
          <cell r="C48" t="str">
            <v xml:space="preserve"> </v>
          </cell>
        </row>
        <row r="49">
          <cell r="B49" t="str">
            <v xml:space="preserve"> </v>
          </cell>
          <cell r="C49" t="str">
            <v xml:space="preserve"> </v>
          </cell>
        </row>
        <row r="50">
          <cell r="B50" t="str">
            <v xml:space="preserve"> </v>
          </cell>
          <cell r="C50" t="str">
            <v xml:space="preserve"> </v>
          </cell>
        </row>
        <row r="51">
          <cell r="C51" t="str">
            <v>Total</v>
          </cell>
          <cell r="D51">
            <v>659358500</v>
          </cell>
          <cell r="E51">
            <v>659358500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">
          <cell r="G9" t="str">
            <v>JKm</v>
          </cell>
          <cell r="H9">
            <v>11100</v>
          </cell>
          <cell r="J9">
            <v>14569500</v>
          </cell>
        </row>
        <row r="10">
          <cell r="G10" t="str">
            <v>JKm</v>
          </cell>
          <cell r="H10">
            <v>21400</v>
          </cell>
          <cell r="K10">
            <v>1324500</v>
          </cell>
        </row>
        <row r="11">
          <cell r="G11" t="str">
            <v>JKm</v>
          </cell>
          <cell r="H11">
            <v>41000</v>
          </cell>
          <cell r="K11">
            <v>13245000</v>
          </cell>
        </row>
        <row r="12">
          <cell r="G12" t="str">
            <v>JKm</v>
          </cell>
          <cell r="H12">
            <v>11100</v>
          </cell>
          <cell r="J12">
            <v>19030000</v>
          </cell>
        </row>
        <row r="13">
          <cell r="G13" t="str">
            <v>JKm</v>
          </cell>
          <cell r="H13">
            <v>21400</v>
          </cell>
          <cell r="K13">
            <v>1730000</v>
          </cell>
        </row>
        <row r="14">
          <cell r="G14" t="str">
            <v>JKm</v>
          </cell>
          <cell r="H14">
            <v>41000</v>
          </cell>
          <cell r="K14">
            <v>17300000</v>
          </cell>
        </row>
        <row r="15">
          <cell r="G15" t="str">
            <v>JKm</v>
          </cell>
          <cell r="H15">
            <v>11100</v>
          </cell>
          <cell r="J15">
            <v>15070000</v>
          </cell>
        </row>
        <row r="16">
          <cell r="G16" t="str">
            <v>JKm</v>
          </cell>
          <cell r="H16">
            <v>21400</v>
          </cell>
          <cell r="K16">
            <v>1370000</v>
          </cell>
        </row>
        <row r="17">
          <cell r="G17" t="str">
            <v>JKm</v>
          </cell>
          <cell r="H17">
            <v>41000</v>
          </cell>
          <cell r="K17">
            <v>13700000</v>
          </cell>
        </row>
        <row r="18">
          <cell r="G18" t="str">
            <v>JKm</v>
          </cell>
          <cell r="H18">
            <v>11100</v>
          </cell>
          <cell r="J18">
            <v>21802000</v>
          </cell>
        </row>
        <row r="19">
          <cell r="G19" t="str">
            <v>JKm</v>
          </cell>
          <cell r="H19">
            <v>21400</v>
          </cell>
          <cell r="K19">
            <v>1982000</v>
          </cell>
        </row>
        <row r="20">
          <cell r="G20" t="str">
            <v>JKm</v>
          </cell>
          <cell r="H20">
            <v>41000</v>
          </cell>
          <cell r="K20">
            <v>19820000</v>
          </cell>
        </row>
        <row r="21">
          <cell r="G21" t="str">
            <v>JKm</v>
          </cell>
          <cell r="H21">
            <v>11100</v>
          </cell>
          <cell r="J21">
            <v>11764500</v>
          </cell>
        </row>
        <row r="22">
          <cell r="G22" t="str">
            <v>JKm</v>
          </cell>
          <cell r="H22">
            <v>21400</v>
          </cell>
          <cell r="K22">
            <v>1069500</v>
          </cell>
        </row>
        <row r="23">
          <cell r="G23" t="str">
            <v>JKm</v>
          </cell>
          <cell r="H23">
            <v>41000</v>
          </cell>
          <cell r="K23">
            <v>10695000</v>
          </cell>
        </row>
        <row r="24">
          <cell r="G24" t="str">
            <v>JKm</v>
          </cell>
          <cell r="H24">
            <v>11100</v>
          </cell>
          <cell r="J24">
            <v>27720000</v>
          </cell>
        </row>
        <row r="25">
          <cell r="G25" t="str">
            <v>JKm</v>
          </cell>
          <cell r="H25">
            <v>21400</v>
          </cell>
          <cell r="K25">
            <v>2520000</v>
          </cell>
        </row>
        <row r="26">
          <cell r="G26" t="str">
            <v>JKm</v>
          </cell>
          <cell r="H26">
            <v>41000</v>
          </cell>
          <cell r="K26">
            <v>25200000</v>
          </cell>
        </row>
        <row r="27">
          <cell r="G27" t="str">
            <v>JKm</v>
          </cell>
          <cell r="H27">
            <v>11100</v>
          </cell>
          <cell r="J27">
            <v>38610000</v>
          </cell>
        </row>
        <row r="28">
          <cell r="G28" t="str">
            <v>JKm</v>
          </cell>
          <cell r="H28">
            <v>21400</v>
          </cell>
          <cell r="K28">
            <v>3510000</v>
          </cell>
        </row>
        <row r="29">
          <cell r="G29" t="str">
            <v>JKm</v>
          </cell>
          <cell r="H29">
            <v>41000</v>
          </cell>
          <cell r="K29">
            <v>35100000</v>
          </cell>
        </row>
        <row r="30">
          <cell r="G30" t="str">
            <v>JKk</v>
          </cell>
          <cell r="H30">
            <v>11600</v>
          </cell>
          <cell r="J30">
            <v>205000</v>
          </cell>
        </row>
        <row r="31">
          <cell r="G31" t="str">
            <v>JKk</v>
          </cell>
          <cell r="H31">
            <v>11100</v>
          </cell>
          <cell r="K31">
            <v>205000</v>
          </cell>
        </row>
        <row r="32">
          <cell r="G32" t="str">
            <v>JKk</v>
          </cell>
          <cell r="H32">
            <v>61800</v>
          </cell>
          <cell r="J32">
            <v>90000</v>
          </cell>
        </row>
        <row r="33">
          <cell r="G33" t="str">
            <v>JKk</v>
          </cell>
          <cell r="H33">
            <v>11100</v>
          </cell>
          <cell r="K33">
            <v>90000</v>
          </cell>
        </row>
        <row r="34">
          <cell r="G34" t="str">
            <v>JKk</v>
          </cell>
          <cell r="H34">
            <v>11800</v>
          </cell>
          <cell r="J34">
            <v>1500000</v>
          </cell>
        </row>
        <row r="35">
          <cell r="G35" t="str">
            <v>JKk</v>
          </cell>
          <cell r="H35">
            <v>11100</v>
          </cell>
          <cell r="K35">
            <v>1500000</v>
          </cell>
        </row>
        <row r="36">
          <cell r="G36" t="str">
            <v>JKk</v>
          </cell>
          <cell r="H36">
            <v>51000</v>
          </cell>
          <cell r="J36">
            <v>16502000</v>
          </cell>
        </row>
        <row r="37">
          <cell r="G37" t="str">
            <v>JKk</v>
          </cell>
          <cell r="H37">
            <v>21300</v>
          </cell>
          <cell r="J37">
            <v>1650200</v>
          </cell>
        </row>
        <row r="38">
          <cell r="G38" t="str">
            <v>JKk</v>
          </cell>
          <cell r="H38">
            <v>11300</v>
          </cell>
          <cell r="K38">
            <v>18152200</v>
          </cell>
        </row>
        <row r="39">
          <cell r="G39" t="str">
            <v>JKk</v>
          </cell>
          <cell r="H39">
            <v>61900</v>
          </cell>
          <cell r="J39">
            <v>120000</v>
          </cell>
        </row>
        <row r="40">
          <cell r="G40" t="str">
            <v>JKk</v>
          </cell>
          <cell r="H40">
            <v>11100</v>
          </cell>
          <cell r="K40">
            <v>120000</v>
          </cell>
        </row>
        <row r="41">
          <cell r="G41" t="str">
            <v>JKk</v>
          </cell>
          <cell r="H41">
            <v>61900</v>
          </cell>
          <cell r="J41">
            <v>20000</v>
          </cell>
        </row>
        <row r="42">
          <cell r="G42" t="str">
            <v>JKk</v>
          </cell>
          <cell r="H42">
            <v>11100</v>
          </cell>
          <cell r="K42">
            <v>20000</v>
          </cell>
        </row>
        <row r="43">
          <cell r="G43" t="str">
            <v>JKk</v>
          </cell>
          <cell r="H43">
            <v>61200</v>
          </cell>
          <cell r="J43">
            <v>534000</v>
          </cell>
        </row>
        <row r="44">
          <cell r="G44" t="str">
            <v>JKk</v>
          </cell>
          <cell r="H44">
            <v>11100</v>
          </cell>
          <cell r="K44">
            <v>534000</v>
          </cell>
        </row>
        <row r="45">
          <cell r="G45" t="str">
            <v>JKk</v>
          </cell>
          <cell r="H45">
            <v>21100</v>
          </cell>
          <cell r="J45">
            <v>20068000</v>
          </cell>
        </row>
        <row r="46">
          <cell r="G46" t="str">
            <v>JKk</v>
          </cell>
          <cell r="H46">
            <v>11200</v>
          </cell>
          <cell r="K46">
            <v>20068000</v>
          </cell>
        </row>
        <row r="47">
          <cell r="G47" t="str">
            <v>JKk</v>
          </cell>
          <cell r="H47">
            <v>21100</v>
          </cell>
          <cell r="J47">
            <v>15350000</v>
          </cell>
        </row>
        <row r="48">
          <cell r="G48" t="str">
            <v>JKk</v>
          </cell>
          <cell r="H48">
            <v>11300</v>
          </cell>
          <cell r="K48">
            <v>15350000</v>
          </cell>
        </row>
        <row r="49">
          <cell r="G49" t="str">
            <v>JKk</v>
          </cell>
          <cell r="H49">
            <v>61000</v>
          </cell>
          <cell r="J49">
            <v>8500000</v>
          </cell>
        </row>
        <row r="50">
          <cell r="G50" t="str">
            <v>JKk</v>
          </cell>
          <cell r="H50">
            <v>11200</v>
          </cell>
          <cell r="K50">
            <v>8500000</v>
          </cell>
        </row>
        <row r="51">
          <cell r="G51" t="str">
            <v>JKk</v>
          </cell>
          <cell r="H51">
            <v>82000</v>
          </cell>
          <cell r="J51">
            <v>623000</v>
          </cell>
        </row>
        <row r="52">
          <cell r="G52" t="str">
            <v>JKk</v>
          </cell>
          <cell r="H52">
            <v>11200</v>
          </cell>
          <cell r="K52">
            <v>345000</v>
          </cell>
        </row>
        <row r="53">
          <cell r="G53" t="str">
            <v>JKk</v>
          </cell>
          <cell r="H53">
            <v>11300</v>
          </cell>
          <cell r="K53">
            <v>278000</v>
          </cell>
        </row>
        <row r="54">
          <cell r="G54" t="str">
            <v>JPb</v>
          </cell>
          <cell r="H54">
            <v>51000</v>
          </cell>
          <cell r="J54">
            <v>8251000</v>
          </cell>
        </row>
        <row r="55">
          <cell r="G55" t="str">
            <v>JPb</v>
          </cell>
          <cell r="H55">
            <v>51000</v>
          </cell>
          <cell r="J55">
            <v>17218000</v>
          </cell>
        </row>
        <row r="56">
          <cell r="G56" t="str">
            <v>JPb</v>
          </cell>
          <cell r="H56">
            <v>51000</v>
          </cell>
          <cell r="J56">
            <v>10091000</v>
          </cell>
        </row>
        <row r="57">
          <cell r="G57" t="str">
            <v>JPb</v>
          </cell>
          <cell r="H57">
            <v>21300</v>
          </cell>
          <cell r="J57">
            <v>3556000</v>
          </cell>
        </row>
        <row r="58">
          <cell r="G58" t="str">
            <v>JPb</v>
          </cell>
          <cell r="H58">
            <v>21100</v>
          </cell>
          <cell r="K58">
            <v>39116000</v>
          </cell>
        </row>
        <row r="59">
          <cell r="G59" t="str">
            <v>JPb</v>
          </cell>
          <cell r="H59">
            <v>51000</v>
          </cell>
          <cell r="J59">
            <v>19726000</v>
          </cell>
        </row>
        <row r="60">
          <cell r="G60" t="str">
            <v>JPb</v>
          </cell>
          <cell r="H60">
            <v>51000</v>
          </cell>
          <cell r="J60">
            <v>11245000</v>
          </cell>
        </row>
        <row r="61">
          <cell r="G61" t="str">
            <v>JPb</v>
          </cell>
          <cell r="H61">
            <v>51000</v>
          </cell>
          <cell r="J61">
            <v>18200000</v>
          </cell>
        </row>
        <row r="62">
          <cell r="G62" t="str">
            <v>JPb</v>
          </cell>
          <cell r="H62">
            <v>21300</v>
          </cell>
          <cell r="J62">
            <v>4917100</v>
          </cell>
        </row>
        <row r="63">
          <cell r="G63" t="str">
            <v>JPb</v>
          </cell>
          <cell r="H63">
            <v>21100</v>
          </cell>
          <cell r="K63">
            <v>54088100</v>
          </cell>
        </row>
        <row r="64">
          <cell r="G64" t="str">
            <v>JPb</v>
          </cell>
          <cell r="H64">
            <v>51000</v>
          </cell>
          <cell r="J64">
            <v>12220000</v>
          </cell>
        </row>
        <row r="65">
          <cell r="G65" t="str">
            <v>JPb</v>
          </cell>
          <cell r="H65">
            <v>51000</v>
          </cell>
          <cell r="J65">
            <v>13902000</v>
          </cell>
        </row>
        <row r="66">
          <cell r="G66" t="str">
            <v>JPb</v>
          </cell>
          <cell r="H66">
            <v>21300</v>
          </cell>
          <cell r="J66">
            <v>2612200</v>
          </cell>
        </row>
        <row r="67">
          <cell r="G67" t="str">
            <v>JPb</v>
          </cell>
          <cell r="H67">
            <v>21100</v>
          </cell>
          <cell r="K67">
            <v>28734200</v>
          </cell>
        </row>
        <row r="68">
          <cell r="G68" t="str">
            <v>JU</v>
          </cell>
          <cell r="H68">
            <v>21100</v>
          </cell>
          <cell r="J68">
            <v>7646100</v>
          </cell>
        </row>
        <row r="69">
          <cell r="G69" t="str">
            <v>JU</v>
          </cell>
          <cell r="H69">
            <v>51200</v>
          </cell>
          <cell r="K69">
            <v>6951000</v>
          </cell>
        </row>
        <row r="70">
          <cell r="G70" t="str">
            <v>JU</v>
          </cell>
          <cell r="H70">
            <v>21300</v>
          </cell>
          <cell r="K70">
            <v>695100</v>
          </cell>
        </row>
        <row r="71">
          <cell r="G71" t="str">
            <v>JKm</v>
          </cell>
          <cell r="H71">
            <v>11100</v>
          </cell>
          <cell r="J71">
            <v>3000000</v>
          </cell>
        </row>
        <row r="72">
          <cell r="G72" t="str">
            <v>JKm</v>
          </cell>
          <cell r="H72">
            <v>21200</v>
          </cell>
          <cell r="K72">
            <v>3000000</v>
          </cell>
        </row>
        <row r="73">
          <cell r="G73" t="str">
            <v>JPn</v>
          </cell>
          <cell r="H73">
            <v>11400</v>
          </cell>
          <cell r="J73">
            <v>22525500</v>
          </cell>
        </row>
        <row r="74">
          <cell r="G74" t="str">
            <v>JPn</v>
          </cell>
          <cell r="H74">
            <v>21200</v>
          </cell>
          <cell r="J74">
            <v>3000000</v>
          </cell>
        </row>
        <row r="75">
          <cell r="G75" t="str">
            <v>JPn</v>
          </cell>
          <cell r="H75">
            <v>21400</v>
          </cell>
          <cell r="K75">
            <v>2320500</v>
          </cell>
        </row>
        <row r="76">
          <cell r="G76" t="str">
            <v>JPn</v>
          </cell>
          <cell r="H76">
            <v>41000</v>
          </cell>
          <cell r="K76">
            <v>23205000</v>
          </cell>
        </row>
        <row r="77">
          <cell r="G77" t="str">
            <v>JKk</v>
          </cell>
          <cell r="H77">
            <v>61800</v>
          </cell>
          <cell r="J77">
            <v>232000</v>
          </cell>
        </row>
        <row r="78">
          <cell r="G78" t="str">
            <v>JKk</v>
          </cell>
          <cell r="H78">
            <v>11100</v>
          </cell>
          <cell r="K78">
            <v>232000</v>
          </cell>
        </row>
        <row r="79">
          <cell r="G79" t="str">
            <v>JKm</v>
          </cell>
          <cell r="H79">
            <v>11200</v>
          </cell>
          <cell r="J79">
            <v>1150208</v>
          </cell>
        </row>
        <row r="80">
          <cell r="G80" t="str">
            <v>JKm</v>
          </cell>
          <cell r="H80">
            <v>11300</v>
          </cell>
          <cell r="J80">
            <v>805230</v>
          </cell>
        </row>
        <row r="81">
          <cell r="G81" t="str">
            <v>JKm</v>
          </cell>
          <cell r="H81">
            <v>71000</v>
          </cell>
          <cell r="K81">
            <v>1955438</v>
          </cell>
        </row>
        <row r="82">
          <cell r="G82" t="str">
            <v>AJP</v>
          </cell>
          <cell r="H82">
            <v>61300</v>
          </cell>
          <cell r="J82">
            <v>1750000</v>
          </cell>
        </row>
        <row r="83">
          <cell r="G83" t="str">
            <v>AJP</v>
          </cell>
          <cell r="H83">
            <v>11700</v>
          </cell>
          <cell r="K83">
            <v>1750000</v>
          </cell>
        </row>
        <row r="84">
          <cell r="G84" t="str">
            <v>AJP</v>
          </cell>
          <cell r="H84">
            <v>61500</v>
          </cell>
          <cell r="J84">
            <v>250000</v>
          </cell>
        </row>
        <row r="85">
          <cell r="G85" t="str">
            <v>AJP</v>
          </cell>
          <cell r="H85">
            <v>11600</v>
          </cell>
          <cell r="K85">
            <v>250000</v>
          </cell>
        </row>
        <row r="86">
          <cell r="G86" t="str">
            <v>AJP</v>
          </cell>
          <cell r="H86">
            <v>61400</v>
          </cell>
          <cell r="J86">
            <v>500000</v>
          </cell>
        </row>
        <row r="87">
          <cell r="G87" t="str">
            <v>AJP</v>
          </cell>
          <cell r="H87">
            <v>11800</v>
          </cell>
          <cell r="K87">
            <v>500000</v>
          </cell>
        </row>
        <row r="88">
          <cell r="G88" t="str">
            <v>AJP</v>
          </cell>
          <cell r="H88">
            <v>61600</v>
          </cell>
          <cell r="J88">
            <v>300000</v>
          </cell>
        </row>
        <row r="89">
          <cell r="G89" t="str">
            <v>AJP</v>
          </cell>
          <cell r="H89">
            <v>12110</v>
          </cell>
          <cell r="K89">
            <v>300000</v>
          </cell>
        </row>
        <row r="90">
          <cell r="G90" t="str">
            <v>AJP</v>
          </cell>
          <cell r="H90">
            <v>61700</v>
          </cell>
          <cell r="J90">
            <v>477500</v>
          </cell>
        </row>
        <row r="91">
          <cell r="G91" t="str">
            <v>AJP</v>
          </cell>
          <cell r="H91">
            <v>12210</v>
          </cell>
          <cell r="K91">
            <v>477500</v>
          </cell>
        </row>
        <row r="92">
          <cell r="G92" t="str">
            <v>AJP</v>
          </cell>
          <cell r="H92">
            <v>50000</v>
          </cell>
          <cell r="J92">
            <v>109021000</v>
          </cell>
        </row>
        <row r="93">
          <cell r="G93" t="str">
            <v>AJP</v>
          </cell>
          <cell r="H93">
            <v>11500</v>
          </cell>
          <cell r="J93">
            <v>200884000</v>
          </cell>
        </row>
        <row r="94">
          <cell r="G94" t="str">
            <v>AJP</v>
          </cell>
          <cell r="H94">
            <v>51200</v>
          </cell>
          <cell r="J94">
            <v>6951000</v>
          </cell>
        </row>
        <row r="95">
          <cell r="G95" t="str">
            <v>AJP</v>
          </cell>
          <cell r="H95">
            <v>51000</v>
          </cell>
          <cell r="K95">
            <v>127355000</v>
          </cell>
        </row>
        <row r="96">
          <cell r="G96" t="str">
            <v>AJP</v>
          </cell>
          <cell r="H96">
            <v>11500</v>
          </cell>
          <cell r="K96">
            <v>189501000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49">
          <cell r="G49">
            <v>37802938</v>
          </cell>
        </row>
      </sheetData>
      <sheetData sheetId="13">
        <row r="13">
          <cell r="C13">
            <v>11000</v>
          </cell>
          <cell r="D13" t="str">
            <v>Aktiva lancar</v>
          </cell>
          <cell r="F13">
            <v>21000</v>
          </cell>
          <cell r="G13" t="str">
            <v>Hutang lancar</v>
          </cell>
        </row>
        <row r="14">
          <cell r="C14">
            <v>11100</v>
          </cell>
          <cell r="D14" t="str">
            <v>Kas</v>
          </cell>
          <cell r="E14">
            <v>194535000</v>
          </cell>
          <cell r="F14">
            <v>21100</v>
          </cell>
          <cell r="G14" t="str">
            <v>Hutang usaha</v>
          </cell>
          <cell r="H14">
            <v>206977200</v>
          </cell>
        </row>
        <row r="15">
          <cell r="C15">
            <v>11200</v>
          </cell>
          <cell r="D15" t="str">
            <v>Bank Permata</v>
          </cell>
          <cell r="E15">
            <v>125598208</v>
          </cell>
          <cell r="F15">
            <v>21200</v>
          </cell>
          <cell r="G15" t="str">
            <v>Uang muka customer</v>
          </cell>
          <cell r="H15">
            <v>0</v>
          </cell>
        </row>
        <row r="16">
          <cell r="C16">
            <v>11300</v>
          </cell>
          <cell r="D16" t="str">
            <v>Bank Mutiara</v>
          </cell>
          <cell r="E16">
            <v>74389030</v>
          </cell>
          <cell r="F16">
            <v>21300</v>
          </cell>
          <cell r="G16" t="str">
            <v>PPn masukan</v>
          </cell>
          <cell r="H16">
            <v>-12040400</v>
          </cell>
        </row>
        <row r="17">
          <cell r="C17">
            <v>11400</v>
          </cell>
          <cell r="D17" t="str">
            <v>Piutang</v>
          </cell>
          <cell r="E17">
            <v>22525500</v>
          </cell>
          <cell r="F17">
            <v>21400</v>
          </cell>
          <cell r="G17" t="str">
            <v>PPn keluaran</v>
          </cell>
          <cell r="H17">
            <v>15826500</v>
          </cell>
        </row>
        <row r="18">
          <cell r="C18">
            <v>11500</v>
          </cell>
          <cell r="D18" t="str">
            <v>Persediaan motor</v>
          </cell>
          <cell r="E18">
            <v>200884000</v>
          </cell>
        </row>
        <row r="19">
          <cell r="C19">
            <v>11600</v>
          </cell>
          <cell r="D19" t="str">
            <v>Perlengkapan kantor</v>
          </cell>
          <cell r="E19">
            <v>4955000</v>
          </cell>
        </row>
        <row r="20">
          <cell r="C20">
            <v>11700</v>
          </cell>
          <cell r="D20" t="str">
            <v>Sewa dibayar dimuka</v>
          </cell>
          <cell r="E20">
            <v>52500000</v>
          </cell>
        </row>
        <row r="21">
          <cell r="C21">
            <v>11800</v>
          </cell>
          <cell r="D21" t="str">
            <v>Iklan dibayar dimuka</v>
          </cell>
          <cell r="E21">
            <v>1000000</v>
          </cell>
          <cell r="F21">
            <v>30000</v>
          </cell>
          <cell r="G21" t="str">
            <v>Modal</v>
          </cell>
          <cell r="H21">
            <v>0</v>
          </cell>
        </row>
        <row r="22">
          <cell r="C22">
            <v>12000</v>
          </cell>
          <cell r="D22" t="str">
            <v>Aktiva Tetap</v>
          </cell>
          <cell r="F22">
            <v>31000</v>
          </cell>
          <cell r="G22" t="str">
            <v>Modal usaha</v>
          </cell>
          <cell r="H22">
            <v>500000000</v>
          </cell>
        </row>
        <row r="23">
          <cell r="C23">
            <v>12100</v>
          </cell>
          <cell r="D23" t="str">
            <v>Peralatan kantor</v>
          </cell>
          <cell r="E23">
            <v>25000000</v>
          </cell>
          <cell r="F23">
            <v>32000</v>
          </cell>
          <cell r="G23" t="str">
            <v>Laba ditahan</v>
          </cell>
          <cell r="H23">
            <v>31255500</v>
          </cell>
        </row>
        <row r="24">
          <cell r="C24">
            <v>12110</v>
          </cell>
          <cell r="D24" t="str">
            <v>Akum. penyusutan peralatan kantor</v>
          </cell>
          <cell r="E24">
            <v>-2100000</v>
          </cell>
          <cell r="F24">
            <v>33000</v>
          </cell>
          <cell r="G24" t="str">
            <v>Laba periode berjalan</v>
          </cell>
          <cell r="H24">
            <v>37802938</v>
          </cell>
        </row>
        <row r="25">
          <cell r="C25">
            <v>12200</v>
          </cell>
          <cell r="D25" t="str">
            <v>Kendaraan</v>
          </cell>
          <cell r="E25">
            <v>83000000</v>
          </cell>
        </row>
        <row r="26">
          <cell r="C26">
            <v>12210</v>
          </cell>
          <cell r="D26" t="str">
            <v>Akum. penyusutan kendaraan</v>
          </cell>
          <cell r="E26">
            <v>-2465000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8E12-8D9B-4028-BE0D-33A9DB57D18B}">
  <sheetPr filterMode="1"/>
  <dimension ref="A1:X3726"/>
  <sheetViews>
    <sheetView tabSelected="1" topLeftCell="G1" zoomScale="70" zoomScaleNormal="70" workbookViewId="0">
      <pane ySplit="6" topLeftCell="A25" activePane="bottomLeft" state="frozen"/>
      <selection activeCell="H703" sqref="H703"/>
      <selection pane="bottomLeft" activeCell="N424" sqref="N424"/>
    </sheetView>
  </sheetViews>
  <sheetFormatPr defaultColWidth="9.140625" defaultRowHeight="15" x14ac:dyDescent="0.25"/>
  <cols>
    <col min="1" max="1" width="10" style="1" customWidth="1"/>
    <col min="2" max="2" width="8.7109375" style="1" customWidth="1"/>
    <col min="3" max="3" width="9.42578125" style="1" customWidth="1"/>
    <col min="4" max="4" width="12.28515625" style="1" customWidth="1"/>
    <col min="5" max="5" width="0.28515625" style="1" customWidth="1"/>
    <col min="6" max="6" width="18" style="337" customWidth="1"/>
    <col min="7" max="7" width="15.28515625" style="337" bestFit="1" customWidth="1"/>
    <col min="8" max="8" width="30.85546875" style="1" customWidth="1"/>
    <col min="9" max="9" width="47" style="4" customWidth="1"/>
    <col min="10" max="10" width="12.28515625" style="338" customWidth="1"/>
    <col min="11" max="11" width="8.42578125" style="339" customWidth="1"/>
    <col min="12" max="12" width="20.85546875" style="14" customWidth="1"/>
    <col min="13" max="13" width="21.140625" style="340" customWidth="1"/>
    <col min="14" max="14" width="21.140625" style="341" customWidth="1"/>
    <col min="15" max="15" width="32.7109375" style="1" customWidth="1"/>
    <col min="16" max="16" width="47.28515625" style="11" customWidth="1"/>
    <col min="17" max="17" width="23.28515625" style="1" customWidth="1"/>
    <col min="18" max="18" width="15.7109375" style="12" customWidth="1"/>
    <col min="19" max="19" width="19.42578125" style="13" bestFit="1" customWidth="1"/>
    <col min="20" max="20" width="21" style="13" bestFit="1" customWidth="1"/>
    <col min="21" max="21" width="9" style="12" bestFit="1" customWidth="1"/>
    <col min="22" max="22" width="16" style="12" bestFit="1" customWidth="1"/>
    <col min="23" max="23" width="11.140625" style="1" bestFit="1" customWidth="1"/>
    <col min="24" max="24" width="16.28515625" style="14" bestFit="1" customWidth="1"/>
    <col min="25" max="16384" width="9.140625" style="1"/>
  </cols>
  <sheetData>
    <row r="1" spans="1:24" ht="18.75" x14ac:dyDescent="0.3">
      <c r="F1" s="2" t="str">
        <f>NAMA</f>
        <v>PT. PROCARRE INTERNATIONAL INDONESIA</v>
      </c>
      <c r="G1" s="3"/>
      <c r="I1" s="4" t="s">
        <v>0</v>
      </c>
      <c r="J1" s="5"/>
      <c r="K1" s="6"/>
      <c r="L1" s="7"/>
      <c r="M1" s="8"/>
      <c r="N1" s="9"/>
      <c r="O1" s="10"/>
    </row>
    <row r="2" spans="1:24" ht="18.75" x14ac:dyDescent="0.3">
      <c r="F2" s="15" t="s">
        <v>1</v>
      </c>
      <c r="G2" s="16"/>
      <c r="J2" s="5"/>
      <c r="K2" s="6"/>
      <c r="L2" s="7">
        <f>L3-M3</f>
        <v>2.44140625E-4</v>
      </c>
      <c r="M2" s="8"/>
      <c r="N2" s="9"/>
      <c r="O2" s="10"/>
      <c r="P2" s="17"/>
      <c r="Q2" s="18"/>
    </row>
    <row r="3" spans="1:24" ht="18.75" x14ac:dyDescent="0.3">
      <c r="F3" s="19" t="str">
        <f>"Bulan :"&amp;" "&amp;BLN&amp;" "&amp;THN</f>
        <v>Bulan : JAN - DES 2022</v>
      </c>
      <c r="G3" s="20"/>
      <c r="J3" s="5"/>
      <c r="K3" s="6"/>
      <c r="L3" s="7">
        <f>SUM(L7:L994843)</f>
        <v>29952734371.360203</v>
      </c>
      <c r="M3" s="8">
        <f>SUM(M7:M994843)</f>
        <v>29952734371.359959</v>
      </c>
      <c r="N3" s="9"/>
      <c r="O3" s="10"/>
      <c r="P3" s="21"/>
      <c r="Q3" s="22"/>
    </row>
    <row r="4" spans="1:24" x14ac:dyDescent="0.25">
      <c r="A4" s="23">
        <v>1</v>
      </c>
      <c r="B4" s="23">
        <v>2</v>
      </c>
      <c r="C4" s="23">
        <v>3</v>
      </c>
      <c r="D4" s="23">
        <v>4</v>
      </c>
      <c r="E4" s="23">
        <v>5</v>
      </c>
      <c r="F4" s="24">
        <v>6</v>
      </c>
      <c r="G4" s="23">
        <v>7</v>
      </c>
      <c r="H4" s="23">
        <v>8</v>
      </c>
      <c r="I4" s="25">
        <v>9</v>
      </c>
      <c r="J4" s="23">
        <v>10</v>
      </c>
      <c r="K4" s="26">
        <v>11</v>
      </c>
      <c r="L4" s="24">
        <v>12</v>
      </c>
      <c r="M4" s="27">
        <v>13</v>
      </c>
      <c r="N4" s="28"/>
      <c r="O4" s="23">
        <v>15</v>
      </c>
      <c r="P4" s="23">
        <v>16</v>
      </c>
      <c r="Q4" s="23">
        <v>17</v>
      </c>
    </row>
    <row r="5" spans="1:24" s="45" customFormat="1" x14ac:dyDescent="0.25">
      <c r="A5" s="29" t="s">
        <v>2</v>
      </c>
      <c r="B5" s="30" t="s">
        <v>2</v>
      </c>
      <c r="C5" s="30" t="s">
        <v>3</v>
      </c>
      <c r="D5" s="31" t="s">
        <v>3</v>
      </c>
      <c r="E5" s="32"/>
      <c r="F5" s="33" t="s">
        <v>4</v>
      </c>
      <c r="G5" s="33" t="s">
        <v>5</v>
      </c>
      <c r="H5" s="34" t="s">
        <v>6</v>
      </c>
      <c r="I5" s="34" t="s">
        <v>7</v>
      </c>
      <c r="J5" s="35" t="s">
        <v>8</v>
      </c>
      <c r="K5" s="36" t="s">
        <v>8</v>
      </c>
      <c r="L5" s="37" t="s">
        <v>9</v>
      </c>
      <c r="M5" s="38" t="s">
        <v>10</v>
      </c>
      <c r="N5" s="39"/>
      <c r="O5" s="40" t="s">
        <v>11</v>
      </c>
      <c r="P5" s="41" t="s">
        <v>12</v>
      </c>
      <c r="Q5" s="42"/>
      <c r="R5" s="43"/>
      <c r="S5" s="44"/>
      <c r="T5" s="44"/>
      <c r="U5" s="43"/>
      <c r="V5" s="43"/>
      <c r="X5" s="46"/>
    </row>
    <row r="6" spans="1:24" s="45" customFormat="1" ht="14.25" hidden="1" x14ac:dyDescent="0.2">
      <c r="A6" s="47">
        <v>1</v>
      </c>
      <c r="B6" s="48">
        <v>2</v>
      </c>
      <c r="C6" s="48">
        <v>1</v>
      </c>
      <c r="D6" s="49">
        <v>2</v>
      </c>
      <c r="E6" s="32"/>
      <c r="F6" s="50"/>
      <c r="G6" s="50"/>
      <c r="H6" s="51"/>
      <c r="I6" s="52"/>
      <c r="J6" s="53" t="s">
        <v>2</v>
      </c>
      <c r="K6" s="54" t="s">
        <v>3</v>
      </c>
      <c r="L6" s="55"/>
      <c r="M6" s="56"/>
      <c r="N6" s="57"/>
      <c r="O6" s="58"/>
      <c r="P6" s="59"/>
      <c r="Q6" s="59"/>
      <c r="R6" s="43"/>
      <c r="S6" s="43"/>
      <c r="T6" s="43"/>
      <c r="U6" s="43"/>
      <c r="V6" s="43"/>
      <c r="X6" s="46"/>
    </row>
    <row r="7" spans="1:24" s="12" customFormat="1" hidden="1" x14ac:dyDescent="0.25">
      <c r="A7" s="60" t="str">
        <f t="shared" ref="A7:A70" si="0">B7&amp;J7</f>
        <v>0</v>
      </c>
      <c r="B7" s="60">
        <f>COUNTIF($J$7:J7,J7)</f>
        <v>0</v>
      </c>
      <c r="C7" s="60" t="str">
        <f t="shared" ref="C7:C70" si="1">D7&amp;K7</f>
        <v>0</v>
      </c>
      <c r="D7" s="60">
        <f>COUNTIF($K$7:K7,K7)</f>
        <v>0</v>
      </c>
      <c r="E7" s="61"/>
      <c r="F7" s="62"/>
      <c r="G7" s="62"/>
      <c r="H7" s="61"/>
      <c r="I7" s="63"/>
      <c r="J7" s="64"/>
      <c r="K7" s="65"/>
      <c r="L7" s="66"/>
      <c r="M7" s="67"/>
      <c r="N7" s="67"/>
      <c r="O7" s="68"/>
      <c r="P7" s="69" t="str">
        <f t="shared" ref="P7:P70" si="2">IF(J7=0,"-",+VLOOKUP(J7,DAF_AKUN,2,FALSE))</f>
        <v>-</v>
      </c>
      <c r="Q7" s="61"/>
      <c r="X7" s="70"/>
    </row>
    <row r="8" spans="1:24" s="12" customFormat="1" hidden="1" x14ac:dyDescent="0.25">
      <c r="A8" s="60" t="str">
        <f t="shared" si="0"/>
        <v>1112</v>
      </c>
      <c r="B8" s="60">
        <f>COUNTIF($J$7:J8,J8)</f>
        <v>1</v>
      </c>
      <c r="C8" s="60" t="str">
        <f t="shared" si="1"/>
        <v>1112,55</v>
      </c>
      <c r="D8" s="60">
        <f>COUNTIF($K$7:K8,K8)</f>
        <v>1</v>
      </c>
      <c r="E8" s="61"/>
      <c r="F8" s="71">
        <v>44564</v>
      </c>
      <c r="G8" s="72" t="s">
        <v>13</v>
      </c>
      <c r="H8" s="73" t="s">
        <v>14</v>
      </c>
      <c r="I8" s="74" t="s">
        <v>15</v>
      </c>
      <c r="J8" s="64">
        <v>112</v>
      </c>
      <c r="K8" s="75">
        <v>112.55</v>
      </c>
      <c r="L8" s="76">
        <v>5000000</v>
      </c>
      <c r="M8" s="67"/>
      <c r="N8" s="77" t="s">
        <v>16</v>
      </c>
      <c r="O8" s="68"/>
      <c r="P8" s="69" t="str">
        <f t="shared" si="2"/>
        <v>Piutang Usaha</v>
      </c>
      <c r="Q8" s="61"/>
      <c r="X8" s="70"/>
    </row>
    <row r="9" spans="1:24" s="12" customFormat="1" hidden="1" x14ac:dyDescent="0.25">
      <c r="A9" s="60" t="str">
        <f t="shared" si="0"/>
        <v>2112</v>
      </c>
      <c r="B9" s="60">
        <f>COUNTIF($J$7:J9,J9)</f>
        <v>2</v>
      </c>
      <c r="C9" s="60" t="str">
        <f t="shared" si="1"/>
        <v>1112,01</v>
      </c>
      <c r="D9" s="60">
        <f>COUNTIF($K$7:K9,K9)</f>
        <v>1</v>
      </c>
      <c r="E9" s="61"/>
      <c r="F9" s="71">
        <v>44564</v>
      </c>
      <c r="G9" s="72">
        <f>F9+45</f>
        <v>44609</v>
      </c>
      <c r="H9" s="73" t="s">
        <v>17</v>
      </c>
      <c r="I9" s="74" t="s">
        <v>18</v>
      </c>
      <c r="J9" s="64">
        <v>112</v>
      </c>
      <c r="K9" s="65">
        <v>112.01</v>
      </c>
      <c r="L9" s="76">
        <f t="shared" ref="L9:L72" si="3">M122+M235</f>
        <v>56124750</v>
      </c>
      <c r="M9" s="67"/>
      <c r="N9" s="77" t="s">
        <v>16</v>
      </c>
      <c r="O9" s="68"/>
      <c r="P9" s="69" t="str">
        <f t="shared" si="2"/>
        <v>Piutang Usaha</v>
      </c>
      <c r="Q9" s="61"/>
      <c r="X9" s="70"/>
    </row>
    <row r="10" spans="1:24" s="12" customFormat="1" hidden="1" x14ac:dyDescent="0.25">
      <c r="A10" s="60" t="str">
        <f t="shared" si="0"/>
        <v>3112</v>
      </c>
      <c r="B10" s="60">
        <f>COUNTIF($J$7:J10,J10)</f>
        <v>3</v>
      </c>
      <c r="C10" s="60" t="str">
        <f t="shared" si="1"/>
        <v>1112,02</v>
      </c>
      <c r="D10" s="60">
        <f>COUNTIF($K$7:K10,K10)</f>
        <v>1</v>
      </c>
      <c r="E10" s="61"/>
      <c r="F10" s="71">
        <v>44564</v>
      </c>
      <c r="G10" s="72">
        <f>F10+30</f>
        <v>44594</v>
      </c>
      <c r="H10" s="73" t="s">
        <v>19</v>
      </c>
      <c r="I10" s="74" t="s">
        <v>20</v>
      </c>
      <c r="J10" s="64">
        <v>112</v>
      </c>
      <c r="K10" s="65">
        <v>112.02</v>
      </c>
      <c r="L10" s="76">
        <f t="shared" si="3"/>
        <v>3943500</v>
      </c>
      <c r="M10" s="67"/>
      <c r="N10" s="77" t="s">
        <v>16</v>
      </c>
      <c r="O10" s="68"/>
      <c r="P10" s="69" t="str">
        <f t="shared" si="2"/>
        <v>Piutang Usaha</v>
      </c>
      <c r="Q10" s="61"/>
      <c r="X10" s="70"/>
    </row>
    <row r="11" spans="1:24" s="12" customFormat="1" hidden="1" x14ac:dyDescent="0.25">
      <c r="A11" s="60" t="str">
        <f t="shared" si="0"/>
        <v>4112</v>
      </c>
      <c r="B11" s="60">
        <f>COUNTIF($J$7:J11,J11)</f>
        <v>4</v>
      </c>
      <c r="C11" s="60" t="str">
        <f t="shared" si="1"/>
        <v>2112,02</v>
      </c>
      <c r="D11" s="60">
        <f>COUNTIF($K$7:K11,K11)</f>
        <v>2</v>
      </c>
      <c r="E11" s="61"/>
      <c r="F11" s="71">
        <v>44564</v>
      </c>
      <c r="G11" s="72">
        <f t="shared" ref="G11:G14" si="4">F11+30</f>
        <v>44594</v>
      </c>
      <c r="H11" s="73" t="s">
        <v>21</v>
      </c>
      <c r="I11" s="74" t="s">
        <v>20</v>
      </c>
      <c r="J11" s="64">
        <v>112</v>
      </c>
      <c r="K11" s="65">
        <v>112.02</v>
      </c>
      <c r="L11" s="76">
        <f t="shared" si="3"/>
        <v>7887000</v>
      </c>
      <c r="M11" s="67"/>
      <c r="N11" s="77" t="s">
        <v>16</v>
      </c>
      <c r="O11" s="68"/>
      <c r="P11" s="69" t="str">
        <f t="shared" si="2"/>
        <v>Piutang Usaha</v>
      </c>
      <c r="Q11" s="61"/>
      <c r="X11" s="70"/>
    </row>
    <row r="12" spans="1:24" s="12" customFormat="1" hidden="1" x14ac:dyDescent="0.25">
      <c r="A12" s="60" t="str">
        <f t="shared" si="0"/>
        <v>5112</v>
      </c>
      <c r="B12" s="60">
        <f>COUNTIF($J$7:J12,J12)</f>
        <v>5</v>
      </c>
      <c r="C12" s="60" t="str">
        <f t="shared" si="1"/>
        <v>3112,02</v>
      </c>
      <c r="D12" s="60">
        <f>COUNTIF($K$7:K12,K12)</f>
        <v>3</v>
      </c>
      <c r="E12" s="61"/>
      <c r="F12" s="71">
        <v>44564</v>
      </c>
      <c r="G12" s="72">
        <f t="shared" si="4"/>
        <v>44594</v>
      </c>
      <c r="H12" s="73" t="s">
        <v>22</v>
      </c>
      <c r="I12" s="74" t="s">
        <v>20</v>
      </c>
      <c r="J12" s="64">
        <v>112</v>
      </c>
      <c r="K12" s="65">
        <v>112.02</v>
      </c>
      <c r="L12" s="76">
        <f t="shared" si="3"/>
        <v>5915250</v>
      </c>
      <c r="M12" s="67"/>
      <c r="N12" s="77" t="s">
        <v>16</v>
      </c>
      <c r="O12" s="68"/>
      <c r="P12" s="69" t="str">
        <f t="shared" si="2"/>
        <v>Piutang Usaha</v>
      </c>
      <c r="Q12" s="61"/>
      <c r="X12" s="70"/>
    </row>
    <row r="13" spans="1:24" s="12" customFormat="1" hidden="1" x14ac:dyDescent="0.25">
      <c r="A13" s="60" t="str">
        <f t="shared" si="0"/>
        <v>6112</v>
      </c>
      <c r="B13" s="60">
        <f>COUNTIF($J$7:J13,J13)</f>
        <v>6</v>
      </c>
      <c r="C13" s="60" t="str">
        <f t="shared" si="1"/>
        <v>4112,02</v>
      </c>
      <c r="D13" s="60">
        <f>COUNTIF($K$7:K13,K13)</f>
        <v>4</v>
      </c>
      <c r="E13" s="61"/>
      <c r="F13" s="71">
        <v>44564</v>
      </c>
      <c r="G13" s="72">
        <f t="shared" si="4"/>
        <v>44594</v>
      </c>
      <c r="H13" s="73" t="s">
        <v>23</v>
      </c>
      <c r="I13" s="74" t="s">
        <v>20</v>
      </c>
      <c r="J13" s="64">
        <v>112</v>
      </c>
      <c r="K13" s="65">
        <v>112.02</v>
      </c>
      <c r="L13" s="76">
        <f t="shared" si="3"/>
        <v>1674750</v>
      </c>
      <c r="M13" s="67"/>
      <c r="N13" s="77" t="s">
        <v>16</v>
      </c>
      <c r="O13" s="68"/>
      <c r="P13" s="69" t="str">
        <f t="shared" si="2"/>
        <v>Piutang Usaha</v>
      </c>
      <c r="Q13" s="61"/>
      <c r="X13" s="70"/>
    </row>
    <row r="14" spans="1:24" s="12" customFormat="1" hidden="1" x14ac:dyDescent="0.25">
      <c r="A14" s="60" t="str">
        <f t="shared" si="0"/>
        <v>7112</v>
      </c>
      <c r="B14" s="60">
        <f>COUNTIF($J$7:J14,J14)</f>
        <v>7</v>
      </c>
      <c r="C14" s="60" t="str">
        <f t="shared" si="1"/>
        <v>5112,02</v>
      </c>
      <c r="D14" s="60">
        <f>COUNTIF($K$7:K14,K14)</f>
        <v>5</v>
      </c>
      <c r="E14" s="61"/>
      <c r="F14" s="71">
        <v>44564</v>
      </c>
      <c r="G14" s="72">
        <f t="shared" si="4"/>
        <v>44594</v>
      </c>
      <c r="H14" s="73" t="s">
        <v>24</v>
      </c>
      <c r="I14" s="74" t="s">
        <v>20</v>
      </c>
      <c r="J14" s="64">
        <v>112</v>
      </c>
      <c r="K14" s="65">
        <v>112.02</v>
      </c>
      <c r="L14" s="76">
        <f t="shared" si="3"/>
        <v>1674750</v>
      </c>
      <c r="M14" s="67"/>
      <c r="N14" s="77" t="s">
        <v>16</v>
      </c>
      <c r="O14" s="68"/>
      <c r="P14" s="69" t="str">
        <f t="shared" si="2"/>
        <v>Piutang Usaha</v>
      </c>
      <c r="Q14" s="61"/>
      <c r="X14" s="70"/>
    </row>
    <row r="15" spans="1:24" s="12" customFormat="1" hidden="1" x14ac:dyDescent="0.25">
      <c r="A15" s="60" t="str">
        <f t="shared" si="0"/>
        <v>8112</v>
      </c>
      <c r="B15" s="60">
        <f>COUNTIF($J$7:J15,J15)</f>
        <v>8</v>
      </c>
      <c r="C15" s="60" t="str">
        <f t="shared" si="1"/>
        <v>1112,04</v>
      </c>
      <c r="D15" s="60">
        <f>COUNTIF($K$7:K15,K15)</f>
        <v>1</v>
      </c>
      <c r="E15" s="61"/>
      <c r="F15" s="71">
        <v>44564</v>
      </c>
      <c r="G15" s="72">
        <f>F15+30</f>
        <v>44594</v>
      </c>
      <c r="H15" s="73" t="s">
        <v>25</v>
      </c>
      <c r="I15" s="74" t="s">
        <v>26</v>
      </c>
      <c r="J15" s="64">
        <v>112</v>
      </c>
      <c r="K15" s="75">
        <v>112.04</v>
      </c>
      <c r="L15" s="76">
        <f t="shared" si="3"/>
        <v>4818000</v>
      </c>
      <c r="M15" s="67"/>
      <c r="N15" s="77" t="s">
        <v>16</v>
      </c>
      <c r="O15" s="68"/>
      <c r="P15" s="69" t="str">
        <f t="shared" si="2"/>
        <v>Piutang Usaha</v>
      </c>
      <c r="Q15" s="61"/>
      <c r="X15" s="70"/>
    </row>
    <row r="16" spans="1:24" s="12" customFormat="1" ht="30" hidden="1" x14ac:dyDescent="0.25">
      <c r="A16" s="60" t="str">
        <f t="shared" si="0"/>
        <v>9112</v>
      </c>
      <c r="B16" s="60">
        <f>COUNTIF($J$7:J16,J16)</f>
        <v>9</v>
      </c>
      <c r="C16" s="60" t="str">
        <f t="shared" si="1"/>
        <v>1112,64</v>
      </c>
      <c r="D16" s="60">
        <f>COUNTIF($K$7:K16,K16)</f>
        <v>1</v>
      </c>
      <c r="E16" s="61"/>
      <c r="F16" s="71">
        <v>44564</v>
      </c>
      <c r="G16" s="72">
        <f>F16+30</f>
        <v>44594</v>
      </c>
      <c r="H16" s="73" t="s">
        <v>27</v>
      </c>
      <c r="I16" s="74" t="s">
        <v>28</v>
      </c>
      <c r="J16" s="64">
        <v>112</v>
      </c>
      <c r="K16" s="75">
        <v>112.64</v>
      </c>
      <c r="L16" s="76">
        <f t="shared" si="3"/>
        <v>10560000</v>
      </c>
      <c r="M16" s="67"/>
      <c r="N16" s="77" t="s">
        <v>16</v>
      </c>
      <c r="O16" s="68"/>
      <c r="P16" s="69" t="str">
        <f t="shared" si="2"/>
        <v>Piutang Usaha</v>
      </c>
      <c r="Q16" s="61"/>
      <c r="X16" s="70"/>
    </row>
    <row r="17" spans="1:24" s="12" customFormat="1" hidden="1" x14ac:dyDescent="0.25">
      <c r="A17" s="60" t="str">
        <f t="shared" si="0"/>
        <v>10112</v>
      </c>
      <c r="B17" s="60">
        <f>COUNTIF($J$7:J17,J17)</f>
        <v>10</v>
      </c>
      <c r="C17" s="60" t="str">
        <f t="shared" si="1"/>
        <v>2112,01</v>
      </c>
      <c r="D17" s="60">
        <f>COUNTIF($K$7:K17,K17)</f>
        <v>2</v>
      </c>
      <c r="E17" s="61"/>
      <c r="F17" s="71">
        <v>44565</v>
      </c>
      <c r="G17" s="72">
        <f t="shared" ref="G17:G18" si="5">F17+45</f>
        <v>44610</v>
      </c>
      <c r="H17" s="73" t="s">
        <v>29</v>
      </c>
      <c r="I17" s="74" t="s">
        <v>18</v>
      </c>
      <c r="J17" s="64">
        <v>112</v>
      </c>
      <c r="K17" s="65">
        <v>112.01</v>
      </c>
      <c r="L17" s="76">
        <f t="shared" si="3"/>
        <v>9020000</v>
      </c>
      <c r="M17" s="67"/>
      <c r="N17" s="67" t="s">
        <v>16</v>
      </c>
      <c r="O17" s="68"/>
      <c r="P17" s="69" t="str">
        <f t="shared" si="2"/>
        <v>Piutang Usaha</v>
      </c>
      <c r="Q17" s="61"/>
      <c r="X17" s="70"/>
    </row>
    <row r="18" spans="1:24" s="12" customFormat="1" hidden="1" x14ac:dyDescent="0.25">
      <c r="A18" s="60" t="str">
        <f t="shared" si="0"/>
        <v>11112</v>
      </c>
      <c r="B18" s="60">
        <f>COUNTIF($J$7:J18,J18)</f>
        <v>11</v>
      </c>
      <c r="C18" s="60" t="str">
        <f t="shared" si="1"/>
        <v>3112,01</v>
      </c>
      <c r="D18" s="60">
        <f>COUNTIF($K$7:K18,K18)</f>
        <v>3</v>
      </c>
      <c r="E18" s="61"/>
      <c r="F18" s="71">
        <v>44565</v>
      </c>
      <c r="G18" s="72">
        <f t="shared" si="5"/>
        <v>44610</v>
      </c>
      <c r="H18" s="73" t="s">
        <v>30</v>
      </c>
      <c r="I18" s="74" t="s">
        <v>18</v>
      </c>
      <c r="J18" s="64">
        <v>112</v>
      </c>
      <c r="K18" s="65">
        <v>112.01</v>
      </c>
      <c r="L18" s="76">
        <f t="shared" si="3"/>
        <v>16747500</v>
      </c>
      <c r="M18" s="67"/>
      <c r="N18" s="67" t="s">
        <v>16</v>
      </c>
      <c r="O18" s="68"/>
      <c r="P18" s="69" t="str">
        <f t="shared" si="2"/>
        <v>Piutang Usaha</v>
      </c>
      <c r="Q18" s="61"/>
      <c r="X18" s="70"/>
    </row>
    <row r="19" spans="1:24" s="12" customFormat="1" hidden="1" x14ac:dyDescent="0.25">
      <c r="A19" s="60" t="str">
        <f t="shared" si="0"/>
        <v>12112</v>
      </c>
      <c r="B19" s="60">
        <f>COUNTIF($J$7:J19,J19)</f>
        <v>12</v>
      </c>
      <c r="C19" s="60" t="str">
        <f t="shared" si="1"/>
        <v>1112,45</v>
      </c>
      <c r="D19" s="60">
        <f>COUNTIF($K$7:K19,K19)</f>
        <v>1</v>
      </c>
      <c r="E19" s="61"/>
      <c r="F19" s="71">
        <v>44565</v>
      </c>
      <c r="G19" s="72">
        <f>F19+30</f>
        <v>44595</v>
      </c>
      <c r="H19" s="73" t="s">
        <v>31</v>
      </c>
      <c r="I19" s="74" t="s">
        <v>32</v>
      </c>
      <c r="J19" s="64">
        <v>112</v>
      </c>
      <c r="K19" s="75">
        <v>112.45</v>
      </c>
      <c r="L19" s="76">
        <f t="shared" si="3"/>
        <v>10824000</v>
      </c>
      <c r="M19" s="67"/>
      <c r="N19" s="67" t="s">
        <v>16</v>
      </c>
      <c r="O19" s="68"/>
      <c r="P19" s="69" t="str">
        <f t="shared" si="2"/>
        <v>Piutang Usaha</v>
      </c>
      <c r="Q19" s="61"/>
      <c r="X19" s="70"/>
    </row>
    <row r="20" spans="1:24" s="12" customFormat="1" ht="30" hidden="1" x14ac:dyDescent="0.25">
      <c r="A20" s="60" t="str">
        <f t="shared" si="0"/>
        <v>13112</v>
      </c>
      <c r="B20" s="60">
        <f>COUNTIF($J$7:J20,J20)</f>
        <v>13</v>
      </c>
      <c r="C20" s="60" t="str">
        <f t="shared" si="1"/>
        <v>1112,4</v>
      </c>
      <c r="D20" s="60">
        <f>COUNTIF($K$7:K20,K20)</f>
        <v>1</v>
      </c>
      <c r="E20" s="61"/>
      <c r="F20" s="71">
        <v>44565</v>
      </c>
      <c r="G20" s="72">
        <f>F20+30</f>
        <v>44595</v>
      </c>
      <c r="H20" s="73" t="s">
        <v>33</v>
      </c>
      <c r="I20" s="74" t="s">
        <v>34</v>
      </c>
      <c r="J20" s="64">
        <v>112</v>
      </c>
      <c r="K20" s="75">
        <v>112.4</v>
      </c>
      <c r="L20" s="76">
        <v>3957489</v>
      </c>
      <c r="M20" s="67"/>
      <c r="N20" s="67" t="s">
        <v>16</v>
      </c>
      <c r="O20" s="68"/>
      <c r="P20" s="69" t="str">
        <f t="shared" si="2"/>
        <v>Piutang Usaha</v>
      </c>
      <c r="Q20" s="61"/>
      <c r="X20" s="70"/>
    </row>
    <row r="21" spans="1:24" s="12" customFormat="1" hidden="1" x14ac:dyDescent="0.25">
      <c r="A21" s="60" t="str">
        <f t="shared" si="0"/>
        <v>14112</v>
      </c>
      <c r="B21" s="60">
        <f>COUNTIF($J$7:J21,J21)</f>
        <v>14</v>
      </c>
      <c r="C21" s="60" t="str">
        <f t="shared" si="1"/>
        <v>6112,02</v>
      </c>
      <c r="D21" s="60">
        <f>COUNTIF($K$7:K21,K21)</f>
        <v>6</v>
      </c>
      <c r="E21" s="61"/>
      <c r="F21" s="71">
        <v>44566</v>
      </c>
      <c r="G21" s="72">
        <f>F21+30</f>
        <v>44596</v>
      </c>
      <c r="H21" s="73" t="s">
        <v>35</v>
      </c>
      <c r="I21" s="74" t="s">
        <v>20</v>
      </c>
      <c r="J21" s="64">
        <v>112</v>
      </c>
      <c r="K21" s="65">
        <v>112.02</v>
      </c>
      <c r="L21" s="76">
        <f t="shared" si="3"/>
        <v>8852250</v>
      </c>
      <c r="M21" s="67"/>
      <c r="N21" s="67" t="s">
        <v>16</v>
      </c>
      <c r="O21" s="68"/>
      <c r="P21" s="69" t="str">
        <f t="shared" si="2"/>
        <v>Piutang Usaha</v>
      </c>
      <c r="Q21" s="61"/>
      <c r="X21" s="70"/>
    </row>
    <row r="22" spans="1:24" s="12" customFormat="1" hidden="1" x14ac:dyDescent="0.25">
      <c r="A22" s="60" t="str">
        <f t="shared" si="0"/>
        <v>15112</v>
      </c>
      <c r="B22" s="60">
        <f>COUNTIF($J$7:J22,J22)</f>
        <v>15</v>
      </c>
      <c r="C22" s="60" t="str">
        <f t="shared" si="1"/>
        <v>1112,06</v>
      </c>
      <c r="D22" s="60">
        <f>COUNTIF($K$7:K22,K22)</f>
        <v>1</v>
      </c>
      <c r="E22" s="61"/>
      <c r="F22" s="71">
        <v>44566</v>
      </c>
      <c r="G22" s="72">
        <f>F22+45</f>
        <v>44611</v>
      </c>
      <c r="H22" s="73" t="s">
        <v>36</v>
      </c>
      <c r="I22" s="74" t="s">
        <v>37</v>
      </c>
      <c r="J22" s="64">
        <v>112</v>
      </c>
      <c r="K22" s="75">
        <v>112.06</v>
      </c>
      <c r="L22" s="76">
        <f t="shared" si="3"/>
        <v>15400000</v>
      </c>
      <c r="M22" s="67"/>
      <c r="N22" s="67" t="s">
        <v>16</v>
      </c>
      <c r="O22" s="68"/>
      <c r="P22" s="69" t="str">
        <f t="shared" si="2"/>
        <v>Piutang Usaha</v>
      </c>
      <c r="Q22" s="61"/>
      <c r="X22" s="70"/>
    </row>
    <row r="23" spans="1:24" s="12" customFormat="1" ht="30" hidden="1" x14ac:dyDescent="0.25">
      <c r="A23" s="60" t="str">
        <f t="shared" si="0"/>
        <v>16112</v>
      </c>
      <c r="B23" s="60">
        <f>COUNTIF($J$7:J23,J23)</f>
        <v>16</v>
      </c>
      <c r="C23" s="60" t="str">
        <f t="shared" si="1"/>
        <v>2112,4</v>
      </c>
      <c r="D23" s="60">
        <f>COUNTIF($K$7:K23,K23)</f>
        <v>2</v>
      </c>
      <c r="E23" s="61"/>
      <c r="F23" s="71">
        <v>44566</v>
      </c>
      <c r="G23" s="72">
        <f t="shared" ref="G23:G24" si="6">F23+30</f>
        <v>44596</v>
      </c>
      <c r="H23" s="73" t="s">
        <v>38</v>
      </c>
      <c r="I23" s="74" t="s">
        <v>34</v>
      </c>
      <c r="J23" s="64">
        <v>112</v>
      </c>
      <c r="K23" s="75">
        <v>112.4</v>
      </c>
      <c r="L23" s="76">
        <f t="shared" si="3"/>
        <v>9900000</v>
      </c>
      <c r="M23" s="67"/>
      <c r="N23" s="67" t="s">
        <v>16</v>
      </c>
      <c r="O23" s="68"/>
      <c r="P23" s="69" t="str">
        <f t="shared" si="2"/>
        <v>Piutang Usaha</v>
      </c>
      <c r="Q23" s="61"/>
      <c r="X23" s="70"/>
    </row>
    <row r="24" spans="1:24" s="12" customFormat="1" ht="30" hidden="1" x14ac:dyDescent="0.25">
      <c r="A24" s="60" t="str">
        <f t="shared" si="0"/>
        <v>17112</v>
      </c>
      <c r="B24" s="60">
        <f>COUNTIF($J$7:J24,J24)</f>
        <v>17</v>
      </c>
      <c r="C24" s="60" t="str">
        <f t="shared" si="1"/>
        <v>3112,4</v>
      </c>
      <c r="D24" s="60">
        <f>COUNTIF($K$7:K24,K24)</f>
        <v>3</v>
      </c>
      <c r="E24" s="61"/>
      <c r="F24" s="71">
        <v>44566</v>
      </c>
      <c r="G24" s="72">
        <f t="shared" si="6"/>
        <v>44596</v>
      </c>
      <c r="H24" s="73" t="s">
        <v>39</v>
      </c>
      <c r="I24" s="74" t="s">
        <v>34</v>
      </c>
      <c r="J24" s="64">
        <v>112</v>
      </c>
      <c r="K24" s="75">
        <v>112.4</v>
      </c>
      <c r="L24" s="76">
        <f t="shared" si="3"/>
        <v>1978762</v>
      </c>
      <c r="M24" s="67"/>
      <c r="N24" s="67" t="s">
        <v>16</v>
      </c>
      <c r="O24" s="68"/>
      <c r="P24" s="69" t="str">
        <f t="shared" si="2"/>
        <v>Piutang Usaha</v>
      </c>
      <c r="Q24" s="61"/>
      <c r="X24" s="70"/>
    </row>
    <row r="25" spans="1:24" s="12" customFormat="1" x14ac:dyDescent="0.25">
      <c r="A25" s="60" t="str">
        <f t="shared" si="0"/>
        <v>18112</v>
      </c>
      <c r="B25" s="60">
        <f>COUNTIF($J$7:J25,J25)</f>
        <v>18</v>
      </c>
      <c r="C25" s="60" t="str">
        <f t="shared" si="1"/>
        <v>1112,43</v>
      </c>
      <c r="D25" s="60">
        <f>COUNTIF($K$7:K25,K25)</f>
        <v>1</v>
      </c>
      <c r="E25" s="61"/>
      <c r="F25" s="71">
        <v>44567</v>
      </c>
      <c r="G25" s="72">
        <f>F25+30</f>
        <v>44597</v>
      </c>
      <c r="H25" s="73" t="s">
        <v>40</v>
      </c>
      <c r="I25" s="74" t="s">
        <v>41</v>
      </c>
      <c r="J25" s="64">
        <v>112</v>
      </c>
      <c r="K25" s="75">
        <v>112.43</v>
      </c>
      <c r="L25" s="76">
        <f t="shared" si="3"/>
        <v>35904000</v>
      </c>
      <c r="M25" s="67"/>
      <c r="N25" s="67" t="s">
        <v>16</v>
      </c>
      <c r="O25" s="68"/>
      <c r="P25" s="69" t="str">
        <f t="shared" si="2"/>
        <v>Piutang Usaha</v>
      </c>
      <c r="Q25" s="61"/>
      <c r="X25" s="70"/>
    </row>
    <row r="26" spans="1:24" s="12" customFormat="1" x14ac:dyDescent="0.25">
      <c r="A26" s="60" t="str">
        <f t="shared" si="0"/>
        <v>19112</v>
      </c>
      <c r="B26" s="60">
        <f>COUNTIF($J$7:J26,J26)</f>
        <v>19</v>
      </c>
      <c r="C26" s="60" t="str">
        <f t="shared" si="1"/>
        <v>2112,06</v>
      </c>
      <c r="D26" s="60">
        <f>COUNTIF($K$7:K26,K26)</f>
        <v>2</v>
      </c>
      <c r="E26" s="61"/>
      <c r="F26" s="71">
        <v>44567</v>
      </c>
      <c r="G26" s="72">
        <f>F26+45</f>
        <v>44612</v>
      </c>
      <c r="H26" s="73" t="s">
        <v>42</v>
      </c>
      <c r="I26" s="74" t="s">
        <v>37</v>
      </c>
      <c r="J26" s="64">
        <v>112</v>
      </c>
      <c r="K26" s="75">
        <v>112.06</v>
      </c>
      <c r="L26" s="76">
        <f t="shared" si="3"/>
        <v>9636000</v>
      </c>
      <c r="M26" s="67"/>
      <c r="N26" s="67" t="s">
        <v>16</v>
      </c>
      <c r="O26" s="68"/>
      <c r="P26" s="69" t="str">
        <f t="shared" si="2"/>
        <v>Piutang Usaha</v>
      </c>
      <c r="Q26" s="61"/>
      <c r="X26" s="70"/>
    </row>
    <row r="27" spans="1:24" s="12" customFormat="1" hidden="1" x14ac:dyDescent="0.25">
      <c r="A27" s="60" t="str">
        <f t="shared" si="0"/>
        <v>20112</v>
      </c>
      <c r="B27" s="60">
        <f>COUNTIF($J$7:J27,J27)</f>
        <v>20</v>
      </c>
      <c r="C27" s="60" t="str">
        <f t="shared" si="1"/>
        <v>1112,35</v>
      </c>
      <c r="D27" s="60">
        <f>COUNTIF($K$7:K27,K27)</f>
        <v>1</v>
      </c>
      <c r="E27" s="61"/>
      <c r="F27" s="71">
        <v>44568</v>
      </c>
      <c r="G27" s="72" t="s">
        <v>13</v>
      </c>
      <c r="H27" s="73" t="s">
        <v>43</v>
      </c>
      <c r="I27" s="74" t="s">
        <v>44</v>
      </c>
      <c r="J27" s="64">
        <v>112</v>
      </c>
      <c r="K27" s="75">
        <v>112.35</v>
      </c>
      <c r="L27" s="76">
        <f t="shared" si="3"/>
        <v>9599999</v>
      </c>
      <c r="M27" s="67"/>
      <c r="N27" s="67"/>
      <c r="O27" s="68"/>
      <c r="P27" s="69" t="str">
        <f t="shared" si="2"/>
        <v>Piutang Usaha</v>
      </c>
      <c r="Q27" s="61"/>
      <c r="X27" s="70"/>
    </row>
    <row r="28" spans="1:24" s="12" customFormat="1" ht="30" hidden="1" x14ac:dyDescent="0.25">
      <c r="A28" s="60" t="str">
        <f t="shared" si="0"/>
        <v>21112</v>
      </c>
      <c r="B28" s="60">
        <f>COUNTIF($J$7:J28,J28)</f>
        <v>21</v>
      </c>
      <c r="C28" s="60" t="str">
        <f t="shared" si="1"/>
        <v>4112,4</v>
      </c>
      <c r="D28" s="60">
        <f>COUNTIF($K$7:K28,K28)</f>
        <v>4</v>
      </c>
      <c r="E28" s="61"/>
      <c r="F28" s="71">
        <v>44568</v>
      </c>
      <c r="G28" s="72">
        <f t="shared" ref="G28:G29" si="7">F28+30</f>
        <v>44598</v>
      </c>
      <c r="H28" s="73" t="s">
        <v>45</v>
      </c>
      <c r="I28" s="74" t="s">
        <v>34</v>
      </c>
      <c r="J28" s="64">
        <v>112</v>
      </c>
      <c r="K28" s="75">
        <v>112.4</v>
      </c>
      <c r="L28" s="76">
        <f t="shared" si="3"/>
        <v>4752000</v>
      </c>
      <c r="M28" s="67"/>
      <c r="N28" s="67"/>
      <c r="O28" s="68"/>
      <c r="P28" s="69" t="str">
        <f t="shared" si="2"/>
        <v>Piutang Usaha</v>
      </c>
      <c r="Q28" s="61"/>
      <c r="X28" s="70"/>
    </row>
    <row r="29" spans="1:24" s="12" customFormat="1" ht="30" hidden="1" x14ac:dyDescent="0.25">
      <c r="A29" s="60" t="str">
        <f t="shared" si="0"/>
        <v>22112</v>
      </c>
      <c r="B29" s="60">
        <f>COUNTIF($J$7:J29,J29)</f>
        <v>22</v>
      </c>
      <c r="C29" s="60" t="str">
        <f t="shared" si="1"/>
        <v>5112,4</v>
      </c>
      <c r="D29" s="60">
        <f>COUNTIF($K$7:K29,K29)</f>
        <v>5</v>
      </c>
      <c r="E29" s="61"/>
      <c r="F29" s="71">
        <v>44568</v>
      </c>
      <c r="G29" s="72">
        <f t="shared" si="7"/>
        <v>44598</v>
      </c>
      <c r="H29" s="73" t="s">
        <v>46</v>
      </c>
      <c r="I29" s="74" t="s">
        <v>34</v>
      </c>
      <c r="J29" s="64">
        <v>112</v>
      </c>
      <c r="K29" s="75">
        <v>112.4</v>
      </c>
      <c r="L29" s="76">
        <f t="shared" si="3"/>
        <v>7920000</v>
      </c>
      <c r="M29" s="67"/>
      <c r="N29" s="67"/>
      <c r="O29" s="68"/>
      <c r="P29" s="69" t="str">
        <f t="shared" si="2"/>
        <v>Piutang Usaha</v>
      </c>
      <c r="Q29" s="61"/>
      <c r="X29" s="70"/>
    </row>
    <row r="30" spans="1:24" s="12" customFormat="1" hidden="1" x14ac:dyDescent="0.25">
      <c r="A30" s="60" t="str">
        <f t="shared" si="0"/>
        <v>23112</v>
      </c>
      <c r="B30" s="60">
        <f>COUNTIF($J$7:J30,J30)</f>
        <v>23</v>
      </c>
      <c r="C30" s="60" t="str">
        <f t="shared" si="1"/>
        <v>1112,3</v>
      </c>
      <c r="D30" s="60">
        <f>COUNTIF($K$7:K30,K30)</f>
        <v>1</v>
      </c>
      <c r="E30" s="61"/>
      <c r="F30" s="71">
        <v>44568</v>
      </c>
      <c r="G30" s="72">
        <f>F30+30</f>
        <v>44598</v>
      </c>
      <c r="H30" s="73" t="s">
        <v>47</v>
      </c>
      <c r="I30" s="74" t="s">
        <v>48</v>
      </c>
      <c r="J30" s="64">
        <v>112</v>
      </c>
      <c r="K30" s="75">
        <v>112.3</v>
      </c>
      <c r="L30" s="76">
        <f t="shared" si="3"/>
        <v>2145000</v>
      </c>
      <c r="M30" s="67"/>
      <c r="N30" s="67"/>
      <c r="O30" s="68"/>
      <c r="P30" s="69" t="str">
        <f t="shared" si="2"/>
        <v>Piutang Usaha</v>
      </c>
      <c r="Q30" s="61"/>
      <c r="X30" s="70"/>
    </row>
    <row r="31" spans="1:24" s="12" customFormat="1" hidden="1" x14ac:dyDescent="0.25">
      <c r="A31" s="60" t="str">
        <f t="shared" si="0"/>
        <v>24112</v>
      </c>
      <c r="B31" s="60">
        <f>COUNTIF($J$7:J31,J31)</f>
        <v>24</v>
      </c>
      <c r="C31" s="60" t="str">
        <f t="shared" si="1"/>
        <v>4112,01</v>
      </c>
      <c r="D31" s="60">
        <f>COUNTIF($K$7:K31,K31)</f>
        <v>4</v>
      </c>
      <c r="E31" s="61"/>
      <c r="F31" s="71">
        <v>44568</v>
      </c>
      <c r="G31" s="72">
        <f>F31+45</f>
        <v>44613</v>
      </c>
      <c r="H31" s="73" t="s">
        <v>49</v>
      </c>
      <c r="I31" s="74" t="s">
        <v>18</v>
      </c>
      <c r="J31" s="64">
        <v>112</v>
      </c>
      <c r="K31" s="65">
        <v>112.01</v>
      </c>
      <c r="L31" s="76">
        <f t="shared" si="3"/>
        <v>9922000</v>
      </c>
      <c r="M31" s="67"/>
      <c r="N31" s="67"/>
      <c r="O31" s="68"/>
      <c r="P31" s="69" t="str">
        <f t="shared" si="2"/>
        <v>Piutang Usaha</v>
      </c>
      <c r="Q31" s="61"/>
      <c r="X31" s="70"/>
    </row>
    <row r="32" spans="1:24" s="12" customFormat="1" hidden="1" x14ac:dyDescent="0.25">
      <c r="A32" s="60" t="str">
        <f t="shared" si="0"/>
        <v>25112</v>
      </c>
      <c r="B32" s="60">
        <f>COUNTIF($J$7:J32,J32)</f>
        <v>25</v>
      </c>
      <c r="C32" s="60" t="str">
        <f t="shared" si="1"/>
        <v>3112,06</v>
      </c>
      <c r="D32" s="60">
        <f>COUNTIF($K$7:K32,K32)</f>
        <v>3</v>
      </c>
      <c r="E32" s="61"/>
      <c r="F32" s="71">
        <v>44571</v>
      </c>
      <c r="G32" s="72">
        <f t="shared" ref="G32:G33" si="8">F32+45</f>
        <v>44616</v>
      </c>
      <c r="H32" s="73" t="s">
        <v>50</v>
      </c>
      <c r="I32" s="74" t="s">
        <v>37</v>
      </c>
      <c r="J32" s="64">
        <v>112</v>
      </c>
      <c r="K32" s="75">
        <v>112.06</v>
      </c>
      <c r="L32" s="76">
        <f t="shared" si="3"/>
        <v>13629000</v>
      </c>
      <c r="M32" s="67"/>
      <c r="N32" s="67"/>
      <c r="O32" s="68"/>
      <c r="P32" s="69" t="str">
        <f t="shared" si="2"/>
        <v>Piutang Usaha</v>
      </c>
      <c r="Q32" s="61"/>
      <c r="X32" s="70"/>
    </row>
    <row r="33" spans="1:24" s="12" customFormat="1" hidden="1" x14ac:dyDescent="0.25">
      <c r="A33" s="60" t="str">
        <f t="shared" si="0"/>
        <v>26112</v>
      </c>
      <c r="B33" s="60">
        <f>COUNTIF($J$7:J33,J33)</f>
        <v>26</v>
      </c>
      <c r="C33" s="60" t="str">
        <f t="shared" si="1"/>
        <v>4112,06</v>
      </c>
      <c r="D33" s="60">
        <f>COUNTIF($K$7:K33,K33)</f>
        <v>4</v>
      </c>
      <c r="E33" s="61"/>
      <c r="F33" s="71">
        <v>44571</v>
      </c>
      <c r="G33" s="72">
        <f t="shared" si="8"/>
        <v>44616</v>
      </c>
      <c r="H33" s="73" t="s">
        <v>51</v>
      </c>
      <c r="I33" s="74" t="s">
        <v>37</v>
      </c>
      <c r="J33" s="64">
        <v>112</v>
      </c>
      <c r="K33" s="75">
        <v>112.06</v>
      </c>
      <c r="L33" s="76">
        <f t="shared" si="3"/>
        <v>8662500</v>
      </c>
      <c r="M33" s="67"/>
      <c r="N33" s="67"/>
      <c r="O33" s="68"/>
      <c r="P33" s="69" t="str">
        <f t="shared" si="2"/>
        <v>Piutang Usaha</v>
      </c>
      <c r="Q33" s="61"/>
      <c r="X33" s="70"/>
    </row>
    <row r="34" spans="1:24" s="12" customFormat="1" hidden="1" x14ac:dyDescent="0.25">
      <c r="A34" s="60" t="str">
        <f t="shared" si="0"/>
        <v>27112</v>
      </c>
      <c r="B34" s="60">
        <f>COUNTIF($J$7:J34,J34)</f>
        <v>27</v>
      </c>
      <c r="C34" s="60" t="str">
        <f t="shared" si="1"/>
        <v>1112,31</v>
      </c>
      <c r="D34" s="60">
        <f>COUNTIF($K$7:K34,K34)</f>
        <v>1</v>
      </c>
      <c r="E34" s="61"/>
      <c r="F34" s="71">
        <v>44571</v>
      </c>
      <c r="G34" s="72" t="s">
        <v>13</v>
      </c>
      <c r="H34" s="73" t="s">
        <v>52</v>
      </c>
      <c r="I34" s="74" t="s">
        <v>53</v>
      </c>
      <c r="J34" s="64">
        <v>112</v>
      </c>
      <c r="K34" s="75">
        <v>112.31</v>
      </c>
      <c r="L34" s="76">
        <f t="shared" si="3"/>
        <v>3630000</v>
      </c>
      <c r="M34" s="67"/>
      <c r="N34" s="67"/>
      <c r="O34" s="68"/>
      <c r="P34" s="69" t="str">
        <f t="shared" si="2"/>
        <v>Piutang Usaha</v>
      </c>
      <c r="Q34" s="61"/>
      <c r="X34" s="70"/>
    </row>
    <row r="35" spans="1:24" s="12" customFormat="1" ht="30" hidden="1" x14ac:dyDescent="0.25">
      <c r="A35" s="60" t="str">
        <f t="shared" si="0"/>
        <v>28112</v>
      </c>
      <c r="B35" s="60">
        <f>COUNTIF($J$7:J35,J35)</f>
        <v>28</v>
      </c>
      <c r="C35" s="60" t="str">
        <f t="shared" si="1"/>
        <v>6112,4</v>
      </c>
      <c r="D35" s="60">
        <f>COUNTIF($K$7:K35,K35)</f>
        <v>6</v>
      </c>
      <c r="E35" s="61"/>
      <c r="F35" s="71">
        <v>44571</v>
      </c>
      <c r="G35" s="72">
        <f t="shared" ref="G35:G36" si="9">F35+30</f>
        <v>44601</v>
      </c>
      <c r="H35" s="73" t="s">
        <v>54</v>
      </c>
      <c r="I35" s="74" t="s">
        <v>34</v>
      </c>
      <c r="J35" s="64">
        <v>112</v>
      </c>
      <c r="K35" s="75">
        <v>112.4</v>
      </c>
      <c r="L35" s="76">
        <f t="shared" si="3"/>
        <v>11220000</v>
      </c>
      <c r="M35" s="67"/>
      <c r="N35" s="67"/>
      <c r="O35" s="68"/>
      <c r="P35" s="69" t="str">
        <f t="shared" si="2"/>
        <v>Piutang Usaha</v>
      </c>
      <c r="Q35" s="61"/>
      <c r="X35" s="70"/>
    </row>
    <row r="36" spans="1:24" s="12" customFormat="1" ht="30" hidden="1" x14ac:dyDescent="0.25">
      <c r="A36" s="60" t="str">
        <f t="shared" si="0"/>
        <v>29112</v>
      </c>
      <c r="B36" s="60">
        <f>COUNTIF($J$7:J36,J36)</f>
        <v>29</v>
      </c>
      <c r="C36" s="60" t="str">
        <f t="shared" si="1"/>
        <v>7112,4</v>
      </c>
      <c r="D36" s="60">
        <f>COUNTIF($K$7:K36,K36)</f>
        <v>7</v>
      </c>
      <c r="E36" s="61"/>
      <c r="F36" s="71">
        <v>44572</v>
      </c>
      <c r="G36" s="72">
        <f t="shared" si="9"/>
        <v>44602</v>
      </c>
      <c r="H36" s="73" t="s">
        <v>55</v>
      </c>
      <c r="I36" s="74" t="s">
        <v>34</v>
      </c>
      <c r="J36" s="64">
        <v>112</v>
      </c>
      <c r="K36" s="75">
        <v>112.4</v>
      </c>
      <c r="L36" s="76">
        <f t="shared" si="3"/>
        <v>792000</v>
      </c>
      <c r="M36" s="67"/>
      <c r="N36" s="67"/>
      <c r="O36" s="68"/>
      <c r="P36" s="69" t="str">
        <f t="shared" si="2"/>
        <v>Piutang Usaha</v>
      </c>
      <c r="Q36" s="61"/>
      <c r="X36" s="70"/>
    </row>
    <row r="37" spans="1:24" s="12" customFormat="1" hidden="1" x14ac:dyDescent="0.25">
      <c r="A37" s="60" t="str">
        <f t="shared" si="0"/>
        <v>30112</v>
      </c>
      <c r="B37" s="60">
        <f>COUNTIF($J$7:J37,J37)</f>
        <v>30</v>
      </c>
      <c r="C37" s="60" t="str">
        <f t="shared" si="1"/>
        <v>2112,3</v>
      </c>
      <c r="D37" s="60">
        <f>COUNTIF($K$7:K37,K37)</f>
        <v>2</v>
      </c>
      <c r="E37" s="61"/>
      <c r="F37" s="71">
        <v>44572</v>
      </c>
      <c r="G37" s="72">
        <f>F37+30</f>
        <v>44602</v>
      </c>
      <c r="H37" s="73" t="s">
        <v>56</v>
      </c>
      <c r="I37" s="74" t="s">
        <v>48</v>
      </c>
      <c r="J37" s="64">
        <v>112</v>
      </c>
      <c r="K37" s="75">
        <v>112.3</v>
      </c>
      <c r="L37" s="76">
        <f t="shared" si="3"/>
        <v>2145000</v>
      </c>
      <c r="M37" s="67"/>
      <c r="N37" s="67"/>
      <c r="O37" s="68"/>
      <c r="P37" s="69" t="str">
        <f t="shared" si="2"/>
        <v>Piutang Usaha</v>
      </c>
      <c r="Q37" s="61"/>
      <c r="X37" s="70"/>
    </row>
    <row r="38" spans="1:24" s="12" customFormat="1" hidden="1" x14ac:dyDescent="0.25">
      <c r="A38" s="60" t="str">
        <f t="shared" si="0"/>
        <v>31112</v>
      </c>
      <c r="B38" s="60">
        <f>COUNTIF($J$7:J38,J38)</f>
        <v>31</v>
      </c>
      <c r="C38" s="60" t="str">
        <f t="shared" si="1"/>
        <v>1112,61</v>
      </c>
      <c r="D38" s="60">
        <f>COUNTIF($K$7:K38,K38)</f>
        <v>1</v>
      </c>
      <c r="E38" s="61"/>
      <c r="F38" s="71">
        <v>44573</v>
      </c>
      <c r="G38" s="72">
        <f>F38+30</f>
        <v>44603</v>
      </c>
      <c r="H38" s="73" t="s">
        <v>57</v>
      </c>
      <c r="I38" s="74" t="s">
        <v>58</v>
      </c>
      <c r="J38" s="64">
        <v>112</v>
      </c>
      <c r="K38" s="75">
        <v>112.61</v>
      </c>
      <c r="L38" s="76">
        <f t="shared" si="3"/>
        <v>1925000</v>
      </c>
      <c r="M38" s="67"/>
      <c r="N38" s="67"/>
      <c r="O38" s="68"/>
      <c r="P38" s="69" t="str">
        <f t="shared" si="2"/>
        <v>Piutang Usaha</v>
      </c>
      <c r="Q38" s="61"/>
      <c r="X38" s="70"/>
    </row>
    <row r="39" spans="1:24" s="12" customFormat="1" hidden="1" x14ac:dyDescent="0.25">
      <c r="A39" s="60" t="str">
        <f t="shared" si="0"/>
        <v>32112</v>
      </c>
      <c r="B39" s="60">
        <f>COUNTIF($J$7:J39,J39)</f>
        <v>32</v>
      </c>
      <c r="C39" s="60" t="str">
        <f t="shared" si="1"/>
        <v>2112,45</v>
      </c>
      <c r="D39" s="60">
        <f>COUNTIF($K$7:K39,K39)</f>
        <v>2</v>
      </c>
      <c r="E39" s="61"/>
      <c r="F39" s="71">
        <v>44573</v>
      </c>
      <c r="G39" s="72">
        <f>F39+30</f>
        <v>44603</v>
      </c>
      <c r="H39" s="73" t="s">
        <v>59</v>
      </c>
      <c r="I39" s="74" t="s">
        <v>32</v>
      </c>
      <c r="J39" s="64">
        <v>112</v>
      </c>
      <c r="K39" s="75">
        <v>112.45</v>
      </c>
      <c r="L39" s="76">
        <f t="shared" si="3"/>
        <v>13596000</v>
      </c>
      <c r="M39" s="67"/>
      <c r="N39" s="67"/>
      <c r="O39" s="68"/>
      <c r="P39" s="69" t="str">
        <f t="shared" si="2"/>
        <v>Piutang Usaha</v>
      </c>
      <c r="Q39" s="61"/>
      <c r="X39" s="70"/>
    </row>
    <row r="40" spans="1:24" s="12" customFormat="1" hidden="1" x14ac:dyDescent="0.25">
      <c r="A40" s="60" t="str">
        <f t="shared" si="0"/>
        <v>33112</v>
      </c>
      <c r="B40" s="60">
        <f>COUNTIF($J$7:J40,J40)</f>
        <v>33</v>
      </c>
      <c r="C40" s="60" t="str">
        <f t="shared" si="1"/>
        <v>5112,06</v>
      </c>
      <c r="D40" s="60">
        <f>COUNTIF($K$7:K40,K40)</f>
        <v>5</v>
      </c>
      <c r="E40" s="61"/>
      <c r="F40" s="71">
        <v>44573</v>
      </c>
      <c r="G40" s="72">
        <f>F40+45</f>
        <v>44618</v>
      </c>
      <c r="H40" s="73" t="s">
        <v>60</v>
      </c>
      <c r="I40" s="74" t="s">
        <v>37</v>
      </c>
      <c r="J40" s="64">
        <v>112</v>
      </c>
      <c r="K40" s="75">
        <v>112.06</v>
      </c>
      <c r="L40" s="76">
        <f t="shared" si="3"/>
        <v>20031000</v>
      </c>
      <c r="M40" s="67"/>
      <c r="N40" s="67"/>
      <c r="O40" s="68"/>
      <c r="P40" s="69" t="str">
        <f t="shared" si="2"/>
        <v>Piutang Usaha</v>
      </c>
      <c r="Q40" s="61"/>
      <c r="X40" s="70"/>
    </row>
    <row r="41" spans="1:24" s="12" customFormat="1" hidden="1" x14ac:dyDescent="0.25">
      <c r="A41" s="60" t="str">
        <f t="shared" si="0"/>
        <v>34112</v>
      </c>
      <c r="B41" s="60">
        <f>COUNTIF($J$7:J41,J41)</f>
        <v>34</v>
      </c>
      <c r="C41" s="60" t="str">
        <f t="shared" si="1"/>
        <v>1112,57</v>
      </c>
      <c r="D41" s="60">
        <f>COUNTIF($K$7:K41,K41)</f>
        <v>1</v>
      </c>
      <c r="E41" s="61"/>
      <c r="F41" s="71">
        <v>44573</v>
      </c>
      <c r="G41" s="72">
        <f>F41+30</f>
        <v>44603</v>
      </c>
      <c r="H41" s="73" t="s">
        <v>61</v>
      </c>
      <c r="I41" s="74" t="s">
        <v>62</v>
      </c>
      <c r="J41" s="64">
        <v>112</v>
      </c>
      <c r="K41" s="75">
        <v>112.57</v>
      </c>
      <c r="L41" s="76">
        <f t="shared" si="3"/>
        <v>5280000</v>
      </c>
      <c r="M41" s="67"/>
      <c r="N41" s="67"/>
      <c r="O41" s="68"/>
      <c r="P41" s="69" t="str">
        <f t="shared" si="2"/>
        <v>Piutang Usaha</v>
      </c>
      <c r="Q41" s="61"/>
      <c r="X41" s="70"/>
    </row>
    <row r="42" spans="1:24" s="12" customFormat="1" ht="30" hidden="1" x14ac:dyDescent="0.25">
      <c r="A42" s="60" t="str">
        <f t="shared" si="0"/>
        <v>35112</v>
      </c>
      <c r="B42" s="60">
        <f>COUNTIF($J$7:J42,J42)</f>
        <v>35</v>
      </c>
      <c r="C42" s="60" t="str">
        <f t="shared" si="1"/>
        <v>8112,4</v>
      </c>
      <c r="D42" s="60">
        <f>COUNTIF($K$7:K42,K42)</f>
        <v>8</v>
      </c>
      <c r="E42" s="61"/>
      <c r="F42" s="71">
        <v>44573</v>
      </c>
      <c r="G42" s="72">
        <f t="shared" ref="G42:G44" si="10">F42+30</f>
        <v>44603</v>
      </c>
      <c r="H42" s="73" t="s">
        <v>63</v>
      </c>
      <c r="I42" s="74" t="s">
        <v>34</v>
      </c>
      <c r="J42" s="64">
        <v>112</v>
      </c>
      <c r="K42" s="75">
        <v>112.4</v>
      </c>
      <c r="L42" s="76">
        <f t="shared" si="3"/>
        <v>1056000</v>
      </c>
      <c r="M42" s="67"/>
      <c r="N42" s="67"/>
      <c r="O42" s="68"/>
      <c r="P42" s="69" t="str">
        <f t="shared" si="2"/>
        <v>Piutang Usaha</v>
      </c>
      <c r="Q42" s="61"/>
      <c r="X42" s="70"/>
    </row>
    <row r="43" spans="1:24" s="12" customFormat="1" ht="30" hidden="1" x14ac:dyDescent="0.25">
      <c r="A43" s="60" t="str">
        <f t="shared" si="0"/>
        <v>36112</v>
      </c>
      <c r="B43" s="60">
        <f>COUNTIF($J$7:J43,J43)</f>
        <v>36</v>
      </c>
      <c r="C43" s="60" t="str">
        <f t="shared" si="1"/>
        <v>9112,4</v>
      </c>
      <c r="D43" s="60">
        <f>COUNTIF($K$7:K43,K43)</f>
        <v>9</v>
      </c>
      <c r="E43" s="61"/>
      <c r="F43" s="71">
        <v>44573</v>
      </c>
      <c r="G43" s="72">
        <f t="shared" si="10"/>
        <v>44603</v>
      </c>
      <c r="H43" s="73" t="s">
        <v>64</v>
      </c>
      <c r="I43" s="74" t="s">
        <v>34</v>
      </c>
      <c r="J43" s="64">
        <v>112</v>
      </c>
      <c r="K43" s="75">
        <v>112.4</v>
      </c>
      <c r="L43" s="76">
        <f t="shared" si="3"/>
        <v>4234980</v>
      </c>
      <c r="M43" s="67"/>
      <c r="N43" s="67"/>
      <c r="O43" s="68"/>
      <c r="P43" s="69" t="str">
        <f t="shared" si="2"/>
        <v>Piutang Usaha</v>
      </c>
      <c r="Q43" s="61"/>
      <c r="X43" s="70"/>
    </row>
    <row r="44" spans="1:24" s="12" customFormat="1" ht="30" hidden="1" x14ac:dyDescent="0.25">
      <c r="A44" s="60" t="str">
        <f t="shared" si="0"/>
        <v>37112</v>
      </c>
      <c r="B44" s="60">
        <f>COUNTIF($J$7:J44,J44)</f>
        <v>37</v>
      </c>
      <c r="C44" s="60" t="str">
        <f t="shared" si="1"/>
        <v>10112,4</v>
      </c>
      <c r="D44" s="60">
        <f>COUNTIF($K$7:K44,K44)</f>
        <v>10</v>
      </c>
      <c r="E44" s="61"/>
      <c r="F44" s="71">
        <v>44573</v>
      </c>
      <c r="G44" s="72">
        <f t="shared" si="10"/>
        <v>44603</v>
      </c>
      <c r="H44" s="73" t="s">
        <v>65</v>
      </c>
      <c r="I44" s="74" t="s">
        <v>34</v>
      </c>
      <c r="J44" s="64">
        <v>112</v>
      </c>
      <c r="K44" s="75">
        <v>112.4</v>
      </c>
      <c r="L44" s="76">
        <f t="shared" si="3"/>
        <v>7524000</v>
      </c>
      <c r="M44" s="67"/>
      <c r="N44" s="67"/>
      <c r="O44" s="68"/>
      <c r="P44" s="69" t="str">
        <f t="shared" si="2"/>
        <v>Piutang Usaha</v>
      </c>
      <c r="Q44" s="61"/>
      <c r="X44" s="70"/>
    </row>
    <row r="45" spans="1:24" s="12" customFormat="1" hidden="1" x14ac:dyDescent="0.25">
      <c r="A45" s="60" t="str">
        <f t="shared" si="0"/>
        <v>38112</v>
      </c>
      <c r="B45" s="60">
        <f>COUNTIF($J$7:J45,J45)</f>
        <v>38</v>
      </c>
      <c r="C45" s="60" t="str">
        <f t="shared" si="1"/>
        <v>5112,01</v>
      </c>
      <c r="D45" s="60">
        <f>COUNTIF($K$7:K45,K45)</f>
        <v>5</v>
      </c>
      <c r="E45" s="61"/>
      <c r="F45" s="71">
        <v>44573</v>
      </c>
      <c r="G45" s="72">
        <f>F45+45</f>
        <v>44618</v>
      </c>
      <c r="H45" s="73" t="s">
        <v>66</v>
      </c>
      <c r="I45" s="74" t="s">
        <v>18</v>
      </c>
      <c r="J45" s="64">
        <v>112</v>
      </c>
      <c r="K45" s="78">
        <v>112.01</v>
      </c>
      <c r="L45" s="76">
        <f t="shared" si="3"/>
        <v>19717500</v>
      </c>
      <c r="M45" s="67"/>
      <c r="N45" s="67"/>
      <c r="O45" s="68"/>
      <c r="P45" s="69" t="str">
        <f t="shared" si="2"/>
        <v>Piutang Usaha</v>
      </c>
      <c r="Q45" s="61"/>
      <c r="X45" s="70"/>
    </row>
    <row r="46" spans="1:24" s="12" customFormat="1" hidden="1" x14ac:dyDescent="0.25">
      <c r="A46" s="60" t="str">
        <f t="shared" si="0"/>
        <v>39112</v>
      </c>
      <c r="B46" s="60">
        <f>COUNTIF($J$7:J46,J46)</f>
        <v>39</v>
      </c>
      <c r="C46" s="60" t="str">
        <f t="shared" si="1"/>
        <v>3112,3</v>
      </c>
      <c r="D46" s="60">
        <f>COUNTIF($K$7:K46,K46)</f>
        <v>3</v>
      </c>
      <c r="E46" s="61"/>
      <c r="F46" s="71">
        <v>44573</v>
      </c>
      <c r="G46" s="72">
        <f>F46+30</f>
        <v>44603</v>
      </c>
      <c r="H46" s="79" t="s">
        <v>67</v>
      </c>
      <c r="I46" s="74" t="s">
        <v>48</v>
      </c>
      <c r="J46" s="64">
        <v>112</v>
      </c>
      <c r="K46" s="80">
        <v>112.3</v>
      </c>
      <c r="L46" s="76">
        <f t="shared" si="3"/>
        <v>14437500</v>
      </c>
      <c r="M46" s="67"/>
      <c r="N46" s="67"/>
      <c r="O46" s="68"/>
      <c r="P46" s="69" t="str">
        <f t="shared" si="2"/>
        <v>Piutang Usaha</v>
      </c>
      <c r="Q46" s="61"/>
      <c r="X46" s="70"/>
    </row>
    <row r="47" spans="1:24" s="12" customFormat="1" hidden="1" x14ac:dyDescent="0.25">
      <c r="A47" s="60" t="str">
        <f t="shared" si="0"/>
        <v>40112</v>
      </c>
      <c r="B47" s="60">
        <f>COUNTIF($J$7:J47,J47)</f>
        <v>40</v>
      </c>
      <c r="C47" s="60" t="str">
        <f t="shared" si="1"/>
        <v>7112,02</v>
      </c>
      <c r="D47" s="60">
        <f>COUNTIF($K$7:K47,K47)</f>
        <v>7</v>
      </c>
      <c r="E47" s="61"/>
      <c r="F47" s="71">
        <v>44573</v>
      </c>
      <c r="G47" s="72">
        <f t="shared" ref="G47:G48" si="11">F47+30</f>
        <v>44603</v>
      </c>
      <c r="H47" s="79" t="s">
        <v>68</v>
      </c>
      <c r="I47" s="81" t="s">
        <v>69</v>
      </c>
      <c r="J47" s="64">
        <v>112</v>
      </c>
      <c r="K47" s="78">
        <v>112.02</v>
      </c>
      <c r="L47" s="76">
        <f t="shared" si="3"/>
        <v>13455750</v>
      </c>
      <c r="M47" s="67"/>
      <c r="N47" s="67"/>
      <c r="O47" s="68"/>
      <c r="P47" s="69" t="str">
        <f t="shared" si="2"/>
        <v>Piutang Usaha</v>
      </c>
      <c r="Q47" s="61"/>
      <c r="X47" s="70"/>
    </row>
    <row r="48" spans="1:24" s="12" customFormat="1" hidden="1" x14ac:dyDescent="0.25">
      <c r="A48" s="60" t="str">
        <f t="shared" si="0"/>
        <v>41112</v>
      </c>
      <c r="B48" s="60">
        <f>COUNTIF($J$7:J48,J48)</f>
        <v>41</v>
      </c>
      <c r="C48" s="60" t="str">
        <f t="shared" si="1"/>
        <v>8112,02</v>
      </c>
      <c r="D48" s="60">
        <f>COUNTIF($K$7:K48,K48)</f>
        <v>8</v>
      </c>
      <c r="E48" s="61"/>
      <c r="F48" s="71">
        <v>44573</v>
      </c>
      <c r="G48" s="72">
        <f t="shared" si="11"/>
        <v>44603</v>
      </c>
      <c r="H48" s="79" t="s">
        <v>70</v>
      </c>
      <c r="I48" s="81" t="s">
        <v>69</v>
      </c>
      <c r="J48" s="64">
        <v>112</v>
      </c>
      <c r="K48" s="78">
        <v>112.02</v>
      </c>
      <c r="L48" s="76">
        <f t="shared" si="3"/>
        <v>2706000</v>
      </c>
      <c r="M48" s="67"/>
      <c r="N48" s="67"/>
      <c r="O48" s="68"/>
      <c r="P48" s="69" t="str">
        <f t="shared" si="2"/>
        <v>Piutang Usaha</v>
      </c>
      <c r="Q48" s="61"/>
      <c r="X48" s="70"/>
    </row>
    <row r="49" spans="1:24" s="12" customFormat="1" hidden="1" x14ac:dyDescent="0.25">
      <c r="A49" s="60" t="str">
        <f t="shared" si="0"/>
        <v>42112</v>
      </c>
      <c r="B49" s="60">
        <f>COUNTIF($J$7:J49,J49)</f>
        <v>42</v>
      </c>
      <c r="C49" s="60" t="str">
        <f t="shared" si="1"/>
        <v>1112,23</v>
      </c>
      <c r="D49" s="60">
        <f>COUNTIF($K$7:K49,K49)</f>
        <v>1</v>
      </c>
      <c r="E49" s="61"/>
      <c r="F49" s="71">
        <v>44574</v>
      </c>
      <c r="G49" s="72">
        <f>F49+30</f>
        <v>44604</v>
      </c>
      <c r="H49" s="73" t="s">
        <v>71</v>
      </c>
      <c r="I49" s="74" t="s">
        <v>72</v>
      </c>
      <c r="J49" s="64">
        <v>112</v>
      </c>
      <c r="K49" s="75">
        <v>112.23</v>
      </c>
      <c r="L49" s="76">
        <f t="shared" si="3"/>
        <v>54120000</v>
      </c>
      <c r="M49" s="67"/>
      <c r="N49" s="67"/>
      <c r="O49" s="68"/>
      <c r="P49" s="69" t="str">
        <f t="shared" si="2"/>
        <v>Piutang Usaha</v>
      </c>
      <c r="Q49" s="61"/>
      <c r="X49" s="70"/>
    </row>
    <row r="50" spans="1:24" s="12" customFormat="1" hidden="1" x14ac:dyDescent="0.25">
      <c r="A50" s="60" t="str">
        <f t="shared" si="0"/>
        <v>43112</v>
      </c>
      <c r="B50" s="60">
        <f>COUNTIF($J$7:J50,J50)</f>
        <v>43</v>
      </c>
      <c r="C50" s="60" t="str">
        <f t="shared" si="1"/>
        <v>6112,01</v>
      </c>
      <c r="D50" s="60">
        <f>COUNTIF($K$7:K50,K50)</f>
        <v>6</v>
      </c>
      <c r="E50" s="61"/>
      <c r="F50" s="71">
        <v>44574</v>
      </c>
      <c r="G50" s="72">
        <f>F50+45</f>
        <v>44619</v>
      </c>
      <c r="H50" s="73" t="s">
        <v>73</v>
      </c>
      <c r="I50" s="74" t="s">
        <v>18</v>
      </c>
      <c r="J50" s="64">
        <v>112</v>
      </c>
      <c r="K50" s="78">
        <v>112.01</v>
      </c>
      <c r="L50" s="76">
        <f t="shared" si="3"/>
        <v>45100000</v>
      </c>
      <c r="M50" s="67"/>
      <c r="N50" s="67"/>
      <c r="O50" s="68"/>
      <c r="P50" s="69" t="str">
        <f t="shared" si="2"/>
        <v>Piutang Usaha</v>
      </c>
      <c r="Q50" s="61"/>
      <c r="X50" s="70"/>
    </row>
    <row r="51" spans="1:24" s="12" customFormat="1" ht="30" hidden="1" x14ac:dyDescent="0.25">
      <c r="A51" s="60" t="str">
        <f t="shared" si="0"/>
        <v>44112</v>
      </c>
      <c r="B51" s="60">
        <f>COUNTIF($J$7:J51,J51)</f>
        <v>44</v>
      </c>
      <c r="C51" s="60" t="str">
        <f t="shared" si="1"/>
        <v>11112,4</v>
      </c>
      <c r="D51" s="60">
        <f>COUNTIF($K$7:K51,K51)</f>
        <v>11</v>
      </c>
      <c r="E51" s="61"/>
      <c r="F51" s="71">
        <v>44574</v>
      </c>
      <c r="G51" s="72">
        <f t="shared" ref="G51:G53" si="12">F51+30</f>
        <v>44604</v>
      </c>
      <c r="H51" s="73" t="s">
        <v>74</v>
      </c>
      <c r="I51" s="74" t="s">
        <v>34</v>
      </c>
      <c r="J51" s="64">
        <v>112</v>
      </c>
      <c r="K51" s="75">
        <v>112.4</v>
      </c>
      <c r="L51" s="76">
        <f t="shared" si="3"/>
        <v>6654969</v>
      </c>
      <c r="M51" s="67"/>
      <c r="N51" s="67"/>
      <c r="O51" s="68"/>
      <c r="P51" s="69" t="str">
        <f t="shared" si="2"/>
        <v>Piutang Usaha</v>
      </c>
      <c r="Q51" s="61"/>
      <c r="X51" s="70"/>
    </row>
    <row r="52" spans="1:24" s="12" customFormat="1" ht="30" hidden="1" x14ac:dyDescent="0.25">
      <c r="A52" s="60" t="str">
        <f t="shared" si="0"/>
        <v>45112</v>
      </c>
      <c r="B52" s="60">
        <f>COUNTIF($J$7:J52,J52)</f>
        <v>45</v>
      </c>
      <c r="C52" s="60" t="str">
        <f t="shared" si="1"/>
        <v>12112,4</v>
      </c>
      <c r="D52" s="60">
        <f>COUNTIF($K$7:K52,K52)</f>
        <v>12</v>
      </c>
      <c r="E52" s="61"/>
      <c r="F52" s="71">
        <v>44574</v>
      </c>
      <c r="G52" s="72">
        <f t="shared" si="12"/>
        <v>44604</v>
      </c>
      <c r="H52" s="73" t="s">
        <v>75</v>
      </c>
      <c r="I52" s="74" t="s">
        <v>34</v>
      </c>
      <c r="J52" s="64">
        <v>112</v>
      </c>
      <c r="K52" s="75">
        <v>112.4</v>
      </c>
      <c r="L52" s="76">
        <f t="shared" si="3"/>
        <v>14520000</v>
      </c>
      <c r="M52" s="67"/>
      <c r="N52" s="67"/>
      <c r="O52" s="68"/>
      <c r="P52" s="69" t="str">
        <f t="shared" si="2"/>
        <v>Piutang Usaha</v>
      </c>
      <c r="Q52" s="61"/>
      <c r="X52" s="70"/>
    </row>
    <row r="53" spans="1:24" s="12" customFormat="1" ht="30" hidden="1" x14ac:dyDescent="0.25">
      <c r="A53" s="60" t="str">
        <f t="shared" si="0"/>
        <v>46112</v>
      </c>
      <c r="B53" s="60">
        <f>COUNTIF($J$7:J53,J53)</f>
        <v>46</v>
      </c>
      <c r="C53" s="60" t="str">
        <f t="shared" si="1"/>
        <v>13112,4</v>
      </c>
      <c r="D53" s="60">
        <f>COUNTIF($K$7:K53,K53)</f>
        <v>13</v>
      </c>
      <c r="E53" s="61"/>
      <c r="F53" s="71">
        <v>44575</v>
      </c>
      <c r="G53" s="72">
        <f t="shared" si="12"/>
        <v>44605</v>
      </c>
      <c r="H53" s="73" t="s">
        <v>76</v>
      </c>
      <c r="I53" s="74" t="s">
        <v>34</v>
      </c>
      <c r="J53" s="64">
        <v>112</v>
      </c>
      <c r="K53" s="75">
        <v>112.4</v>
      </c>
      <c r="L53" s="76">
        <f t="shared" si="3"/>
        <v>792000</v>
      </c>
      <c r="M53" s="67"/>
      <c r="N53" s="67"/>
      <c r="O53" s="68"/>
      <c r="P53" s="69" t="str">
        <f t="shared" si="2"/>
        <v>Piutang Usaha</v>
      </c>
      <c r="Q53" s="61"/>
      <c r="X53" s="70"/>
    </row>
    <row r="54" spans="1:24" s="12" customFormat="1" hidden="1" x14ac:dyDescent="0.25">
      <c r="A54" s="60" t="str">
        <f t="shared" si="0"/>
        <v>47112</v>
      </c>
      <c r="B54" s="60">
        <f>COUNTIF($J$7:J54,J54)</f>
        <v>47</v>
      </c>
      <c r="C54" s="60" t="str">
        <f t="shared" si="1"/>
        <v>7112,01</v>
      </c>
      <c r="D54" s="60">
        <f>COUNTIF($K$7:K54,K54)</f>
        <v>7</v>
      </c>
      <c r="E54" s="61"/>
      <c r="F54" s="71">
        <v>44575</v>
      </c>
      <c r="G54" s="72">
        <f>F54+45</f>
        <v>44620</v>
      </c>
      <c r="H54" s="73" t="s">
        <v>77</v>
      </c>
      <c r="I54" s="74" t="s">
        <v>18</v>
      </c>
      <c r="J54" s="64">
        <v>112</v>
      </c>
      <c r="K54" s="75">
        <v>112.01</v>
      </c>
      <c r="L54" s="76">
        <f t="shared" si="3"/>
        <v>33635250</v>
      </c>
      <c r="M54" s="67"/>
      <c r="N54" s="67"/>
      <c r="O54" s="68"/>
      <c r="P54" s="69" t="str">
        <f t="shared" si="2"/>
        <v>Piutang Usaha</v>
      </c>
      <c r="Q54" s="61"/>
      <c r="X54" s="70"/>
    </row>
    <row r="55" spans="1:24" s="12" customFormat="1" hidden="1" x14ac:dyDescent="0.25">
      <c r="A55" s="60" t="str">
        <f t="shared" si="0"/>
        <v>48112</v>
      </c>
      <c r="B55" s="60">
        <f>COUNTIF($J$7:J55,J55)</f>
        <v>48</v>
      </c>
      <c r="C55" s="60" t="str">
        <f t="shared" si="1"/>
        <v>2112,43</v>
      </c>
      <c r="D55" s="60">
        <f>COUNTIF($K$7:K55,K55)</f>
        <v>2</v>
      </c>
      <c r="E55" s="61"/>
      <c r="F55" s="71">
        <v>44575</v>
      </c>
      <c r="G55" s="72">
        <f>F55+30</f>
        <v>44605</v>
      </c>
      <c r="H55" s="73" t="s">
        <v>78</v>
      </c>
      <c r="I55" s="74" t="s">
        <v>41</v>
      </c>
      <c r="J55" s="64">
        <v>112</v>
      </c>
      <c r="K55" s="75">
        <v>112.43</v>
      </c>
      <c r="L55" s="76">
        <f t="shared" si="3"/>
        <v>1732500</v>
      </c>
      <c r="M55" s="67"/>
      <c r="N55" s="67"/>
      <c r="O55" s="68"/>
      <c r="P55" s="69" t="str">
        <f t="shared" si="2"/>
        <v>Piutang Usaha</v>
      </c>
      <c r="Q55" s="61"/>
      <c r="X55" s="70"/>
    </row>
    <row r="56" spans="1:24" s="12" customFormat="1" hidden="1" x14ac:dyDescent="0.25">
      <c r="A56" s="60" t="str">
        <f t="shared" si="0"/>
        <v>49112</v>
      </c>
      <c r="B56" s="60">
        <f>COUNTIF($J$7:J56,J56)</f>
        <v>49</v>
      </c>
      <c r="C56" s="60" t="str">
        <f t="shared" si="1"/>
        <v>4112,3</v>
      </c>
      <c r="D56" s="60">
        <f>COUNTIF($K$7:K56,K56)</f>
        <v>4</v>
      </c>
      <c r="E56" s="61"/>
      <c r="F56" s="71">
        <v>44575</v>
      </c>
      <c r="G56" s="72">
        <f>F56+30</f>
        <v>44605</v>
      </c>
      <c r="H56" s="73" t="s">
        <v>79</v>
      </c>
      <c r="I56" s="74" t="s">
        <v>48</v>
      </c>
      <c r="J56" s="64">
        <v>112</v>
      </c>
      <c r="K56" s="75">
        <v>112.3</v>
      </c>
      <c r="L56" s="76">
        <f t="shared" si="3"/>
        <v>2640000</v>
      </c>
      <c r="M56" s="67"/>
      <c r="N56" s="67"/>
      <c r="O56" s="68"/>
      <c r="P56" s="69" t="str">
        <f t="shared" si="2"/>
        <v>Piutang Usaha</v>
      </c>
      <c r="Q56" s="61"/>
      <c r="X56" s="70"/>
    </row>
    <row r="57" spans="1:24" s="12" customFormat="1" hidden="1" x14ac:dyDescent="0.25">
      <c r="A57" s="60" t="str">
        <f t="shared" si="0"/>
        <v>50112</v>
      </c>
      <c r="B57" s="60">
        <f>COUNTIF($J$7:J57,J57)</f>
        <v>50</v>
      </c>
      <c r="C57" s="60" t="str">
        <f t="shared" si="1"/>
        <v>2112,35</v>
      </c>
      <c r="D57" s="60">
        <f>COUNTIF($K$7:K57,K57)</f>
        <v>2</v>
      </c>
      <c r="E57" s="61"/>
      <c r="F57" s="71">
        <v>44578</v>
      </c>
      <c r="G57" s="72" t="s">
        <v>13</v>
      </c>
      <c r="H57" s="73" t="s">
        <v>80</v>
      </c>
      <c r="I57" s="74" t="s">
        <v>44</v>
      </c>
      <c r="J57" s="64">
        <v>112</v>
      </c>
      <c r="K57" s="75">
        <v>112.35</v>
      </c>
      <c r="L57" s="76">
        <f t="shared" si="3"/>
        <v>11519999</v>
      </c>
      <c r="M57" s="67"/>
      <c r="N57" s="67"/>
      <c r="O57" s="68"/>
      <c r="P57" s="69" t="str">
        <f t="shared" si="2"/>
        <v>Piutang Usaha</v>
      </c>
      <c r="Q57" s="61"/>
      <c r="X57" s="70"/>
    </row>
    <row r="58" spans="1:24" s="12" customFormat="1" hidden="1" x14ac:dyDescent="0.25">
      <c r="A58" s="60" t="str">
        <f t="shared" si="0"/>
        <v>51112</v>
      </c>
      <c r="B58" s="60">
        <f>COUNTIF($J$7:J58,J58)</f>
        <v>51</v>
      </c>
      <c r="C58" s="60" t="str">
        <f t="shared" si="1"/>
        <v>9112,02</v>
      </c>
      <c r="D58" s="60">
        <f>COUNTIF($K$7:K58,K58)</f>
        <v>9</v>
      </c>
      <c r="E58" s="61"/>
      <c r="F58" s="71">
        <v>44578</v>
      </c>
      <c r="G58" s="72">
        <f>F58+30</f>
        <v>44608</v>
      </c>
      <c r="H58" s="73" t="s">
        <v>81</v>
      </c>
      <c r="I58" s="74" t="s">
        <v>20</v>
      </c>
      <c r="J58" s="64">
        <v>112</v>
      </c>
      <c r="K58" s="75">
        <v>112.02</v>
      </c>
      <c r="L58" s="76">
        <f t="shared" si="3"/>
        <v>19651500</v>
      </c>
      <c r="M58" s="67"/>
      <c r="N58" s="67"/>
      <c r="O58" s="68"/>
      <c r="P58" s="69" t="str">
        <f t="shared" si="2"/>
        <v>Piutang Usaha</v>
      </c>
      <c r="Q58" s="61"/>
      <c r="X58" s="70"/>
    </row>
    <row r="59" spans="1:24" s="12" customFormat="1" hidden="1" x14ac:dyDescent="0.25">
      <c r="A59" s="60" t="str">
        <f t="shared" si="0"/>
        <v>52112</v>
      </c>
      <c r="B59" s="60">
        <f>COUNTIF($J$7:J59,J59)</f>
        <v>52</v>
      </c>
      <c r="C59" s="60" t="str">
        <f t="shared" si="1"/>
        <v>8112,01</v>
      </c>
      <c r="D59" s="60">
        <f>COUNTIF($K$7:K59,K59)</f>
        <v>8</v>
      </c>
      <c r="E59" s="61"/>
      <c r="F59" s="71">
        <v>44579</v>
      </c>
      <c r="G59" s="72">
        <f>F59+45</f>
        <v>44624</v>
      </c>
      <c r="H59" s="73" t="s">
        <v>82</v>
      </c>
      <c r="I59" s="74" t="s">
        <v>18</v>
      </c>
      <c r="J59" s="64">
        <v>112</v>
      </c>
      <c r="K59" s="75">
        <v>112.01</v>
      </c>
      <c r="L59" s="76">
        <f t="shared" si="3"/>
        <v>63483750</v>
      </c>
      <c r="M59" s="67"/>
      <c r="N59" s="67"/>
      <c r="O59" s="68"/>
      <c r="P59" s="69" t="str">
        <f t="shared" si="2"/>
        <v>Piutang Usaha</v>
      </c>
      <c r="Q59" s="61"/>
      <c r="X59" s="70"/>
    </row>
    <row r="60" spans="1:24" s="12" customFormat="1" hidden="1" x14ac:dyDescent="0.25">
      <c r="A60" s="60" t="str">
        <f t="shared" si="0"/>
        <v>53112</v>
      </c>
      <c r="B60" s="60">
        <f>COUNTIF($J$7:J60,J60)</f>
        <v>53</v>
      </c>
      <c r="C60" s="60" t="str">
        <f t="shared" si="1"/>
        <v>10112,02</v>
      </c>
      <c r="D60" s="60">
        <f>COUNTIF($K$7:K60,K60)</f>
        <v>10</v>
      </c>
      <c r="E60" s="61"/>
      <c r="F60" s="71">
        <v>44579</v>
      </c>
      <c r="G60" s="72">
        <f>F60+30</f>
        <v>44609</v>
      </c>
      <c r="H60" s="73" t="s">
        <v>83</v>
      </c>
      <c r="I60" s="74" t="s">
        <v>20</v>
      </c>
      <c r="J60" s="64">
        <v>112</v>
      </c>
      <c r="K60" s="75">
        <v>112.02</v>
      </c>
      <c r="L60" s="76">
        <f t="shared" si="3"/>
        <v>1804000</v>
      </c>
      <c r="M60" s="67"/>
      <c r="N60" s="67"/>
      <c r="O60" s="68"/>
      <c r="P60" s="69" t="str">
        <f t="shared" si="2"/>
        <v>Piutang Usaha</v>
      </c>
      <c r="Q60" s="61"/>
      <c r="X60" s="70"/>
    </row>
    <row r="61" spans="1:24" s="12" customFormat="1" hidden="1" x14ac:dyDescent="0.25">
      <c r="A61" s="60" t="str">
        <f t="shared" si="0"/>
        <v>54112</v>
      </c>
      <c r="B61" s="60">
        <f>COUNTIF($J$7:J61,J61)</f>
        <v>54</v>
      </c>
      <c r="C61" s="60" t="str">
        <f t="shared" si="1"/>
        <v>3112,45</v>
      </c>
      <c r="D61" s="60">
        <f>COUNTIF($K$7:K61,K61)</f>
        <v>3</v>
      </c>
      <c r="E61" s="61"/>
      <c r="F61" s="71">
        <v>44579</v>
      </c>
      <c r="G61" s="72">
        <f t="shared" ref="G61:G62" si="13">F61+30</f>
        <v>44609</v>
      </c>
      <c r="H61" s="73" t="s">
        <v>84</v>
      </c>
      <c r="I61" s="74" t="s">
        <v>32</v>
      </c>
      <c r="J61" s="64">
        <v>112</v>
      </c>
      <c r="K61" s="75">
        <v>112.45</v>
      </c>
      <c r="L61" s="76">
        <f t="shared" si="3"/>
        <v>12936000</v>
      </c>
      <c r="M61" s="67"/>
      <c r="N61" s="67"/>
      <c r="O61" s="68"/>
      <c r="P61" s="69" t="str">
        <f t="shared" si="2"/>
        <v>Piutang Usaha</v>
      </c>
      <c r="Q61" s="61"/>
      <c r="X61" s="70"/>
    </row>
    <row r="62" spans="1:24" s="12" customFormat="1" hidden="1" x14ac:dyDescent="0.25">
      <c r="A62" s="60" t="str">
        <f t="shared" si="0"/>
        <v>55112</v>
      </c>
      <c r="B62" s="60">
        <f>COUNTIF($J$7:J62,J62)</f>
        <v>55</v>
      </c>
      <c r="C62" s="60" t="str">
        <f t="shared" si="1"/>
        <v>4112,45</v>
      </c>
      <c r="D62" s="60">
        <f>COUNTIF($K$7:K62,K62)</f>
        <v>4</v>
      </c>
      <c r="E62" s="61"/>
      <c r="F62" s="71">
        <v>44579</v>
      </c>
      <c r="G62" s="72">
        <f t="shared" si="13"/>
        <v>44609</v>
      </c>
      <c r="H62" s="73" t="s">
        <v>85</v>
      </c>
      <c r="I62" s="74" t="s">
        <v>32</v>
      </c>
      <c r="J62" s="64">
        <v>112</v>
      </c>
      <c r="K62" s="75">
        <v>112.45</v>
      </c>
      <c r="L62" s="76">
        <f t="shared" si="3"/>
        <v>7259967</v>
      </c>
      <c r="M62" s="67"/>
      <c r="N62" s="67"/>
      <c r="O62" s="68"/>
      <c r="P62" s="69" t="str">
        <f t="shared" si="2"/>
        <v>Piutang Usaha</v>
      </c>
      <c r="Q62" s="61"/>
      <c r="X62" s="70"/>
    </row>
    <row r="63" spans="1:24" s="12" customFormat="1" hidden="1" x14ac:dyDescent="0.25">
      <c r="A63" s="60" t="str">
        <f t="shared" si="0"/>
        <v>56112</v>
      </c>
      <c r="B63" s="60">
        <f>COUNTIF($J$7:J63,J63)</f>
        <v>56</v>
      </c>
      <c r="C63" s="60" t="str">
        <f t="shared" si="1"/>
        <v>3112,43</v>
      </c>
      <c r="D63" s="60">
        <f>COUNTIF($K$7:K63,K63)</f>
        <v>3</v>
      </c>
      <c r="E63" s="61"/>
      <c r="F63" s="71">
        <v>44579</v>
      </c>
      <c r="G63" s="72">
        <f>F63+30</f>
        <v>44609</v>
      </c>
      <c r="H63" s="73" t="s">
        <v>86</v>
      </c>
      <c r="I63" s="74" t="s">
        <v>41</v>
      </c>
      <c r="J63" s="64">
        <v>112</v>
      </c>
      <c r="K63" s="75">
        <v>112.43</v>
      </c>
      <c r="L63" s="76">
        <f t="shared" si="3"/>
        <v>2062500</v>
      </c>
      <c r="M63" s="67"/>
      <c r="N63" s="67"/>
      <c r="O63" s="68"/>
      <c r="P63" s="69" t="str">
        <f t="shared" si="2"/>
        <v>Piutang Usaha</v>
      </c>
      <c r="Q63" s="61"/>
      <c r="X63" s="70"/>
    </row>
    <row r="64" spans="1:24" s="12" customFormat="1" hidden="1" x14ac:dyDescent="0.25">
      <c r="A64" s="60" t="str">
        <f t="shared" si="0"/>
        <v>57112</v>
      </c>
      <c r="B64" s="60">
        <f>COUNTIF($J$7:J64,J64)</f>
        <v>57</v>
      </c>
      <c r="C64" s="60" t="str">
        <f t="shared" si="1"/>
        <v>6112,06</v>
      </c>
      <c r="D64" s="60">
        <f>COUNTIF($K$7:K64,K64)</f>
        <v>6</v>
      </c>
      <c r="E64" s="61"/>
      <c r="F64" s="71">
        <v>44579</v>
      </c>
      <c r="G64" s="72">
        <f>F64+45</f>
        <v>44624</v>
      </c>
      <c r="H64" s="73" t="s">
        <v>87</v>
      </c>
      <c r="I64" s="74" t="s">
        <v>37</v>
      </c>
      <c r="J64" s="64">
        <v>112</v>
      </c>
      <c r="K64" s="75">
        <v>112.06</v>
      </c>
      <c r="L64" s="76">
        <f t="shared" si="3"/>
        <v>10807500</v>
      </c>
      <c r="M64" s="67"/>
      <c r="N64" s="67"/>
      <c r="O64" s="68"/>
      <c r="P64" s="69" t="str">
        <f t="shared" si="2"/>
        <v>Piutang Usaha</v>
      </c>
      <c r="Q64" s="61"/>
      <c r="X64" s="70"/>
    </row>
    <row r="65" spans="1:24" s="12" customFormat="1" hidden="1" x14ac:dyDescent="0.25">
      <c r="A65" s="60" t="str">
        <f t="shared" si="0"/>
        <v>58112</v>
      </c>
      <c r="B65" s="60">
        <f>COUNTIF($J$7:J65,J65)</f>
        <v>58</v>
      </c>
      <c r="C65" s="60" t="str">
        <f t="shared" si="1"/>
        <v>14112,4</v>
      </c>
      <c r="D65" s="60">
        <f>COUNTIF($K$7:K65,K65)</f>
        <v>14</v>
      </c>
      <c r="E65" s="61"/>
      <c r="F65" s="71">
        <v>44579</v>
      </c>
      <c r="G65" s="72">
        <f t="shared" ref="G65:G66" si="14">F65+30</f>
        <v>44609</v>
      </c>
      <c r="H65" s="73" t="s">
        <v>88</v>
      </c>
      <c r="I65" s="82" t="s">
        <v>34</v>
      </c>
      <c r="J65" s="64">
        <v>112</v>
      </c>
      <c r="K65" s="75">
        <v>112.4</v>
      </c>
      <c r="L65" s="76">
        <f t="shared" si="3"/>
        <v>7920000</v>
      </c>
      <c r="M65" s="67"/>
      <c r="N65" s="67"/>
      <c r="O65" s="68"/>
      <c r="P65" s="69" t="str">
        <f t="shared" si="2"/>
        <v>Piutang Usaha</v>
      </c>
      <c r="Q65" s="61"/>
      <c r="X65" s="70"/>
    </row>
    <row r="66" spans="1:24" s="12" customFormat="1" hidden="1" x14ac:dyDescent="0.25">
      <c r="A66" s="60" t="str">
        <f t="shared" si="0"/>
        <v>59112</v>
      </c>
      <c r="B66" s="60">
        <f>COUNTIF($J$7:J66,J66)</f>
        <v>59</v>
      </c>
      <c r="C66" s="60" t="str">
        <f t="shared" si="1"/>
        <v>15112,4</v>
      </c>
      <c r="D66" s="60">
        <f>COUNTIF($K$7:K66,K66)</f>
        <v>15</v>
      </c>
      <c r="E66" s="61"/>
      <c r="F66" s="71">
        <v>44579</v>
      </c>
      <c r="G66" s="72">
        <f t="shared" si="14"/>
        <v>44609</v>
      </c>
      <c r="H66" s="73" t="s">
        <v>89</v>
      </c>
      <c r="I66" s="82" t="s">
        <v>34</v>
      </c>
      <c r="J66" s="64">
        <v>112</v>
      </c>
      <c r="K66" s="75">
        <v>112.4</v>
      </c>
      <c r="L66" s="76">
        <f t="shared" si="3"/>
        <v>9504000</v>
      </c>
      <c r="M66" s="67"/>
      <c r="N66" s="67"/>
      <c r="O66" s="68"/>
      <c r="P66" s="69" t="str">
        <f t="shared" si="2"/>
        <v>Piutang Usaha</v>
      </c>
      <c r="Q66" s="61"/>
      <c r="X66" s="70"/>
    </row>
    <row r="67" spans="1:24" s="12" customFormat="1" hidden="1" x14ac:dyDescent="0.25">
      <c r="A67" s="60" t="str">
        <f t="shared" si="0"/>
        <v>60112</v>
      </c>
      <c r="B67" s="60">
        <f>COUNTIF($J$7:J67,J67)</f>
        <v>60</v>
      </c>
      <c r="C67" s="60" t="str">
        <f t="shared" si="1"/>
        <v>9112,01</v>
      </c>
      <c r="D67" s="60">
        <f>COUNTIF($K$7:K67,K67)</f>
        <v>9</v>
      </c>
      <c r="E67" s="61"/>
      <c r="F67" s="71">
        <v>44580</v>
      </c>
      <c r="G67" s="72">
        <f t="shared" ref="G67:G68" si="15">F67+45</f>
        <v>44625</v>
      </c>
      <c r="H67" s="73" t="s">
        <v>90</v>
      </c>
      <c r="I67" s="74" t="s">
        <v>18</v>
      </c>
      <c r="J67" s="64">
        <v>112</v>
      </c>
      <c r="K67" s="75">
        <v>112.01</v>
      </c>
      <c r="L67" s="76">
        <f t="shared" si="3"/>
        <v>21417000</v>
      </c>
      <c r="M67" s="67"/>
      <c r="N67" s="67"/>
      <c r="O67" s="68"/>
      <c r="P67" s="69" t="str">
        <f t="shared" si="2"/>
        <v>Piutang Usaha</v>
      </c>
      <c r="Q67" s="61"/>
      <c r="X67" s="70"/>
    </row>
    <row r="68" spans="1:24" s="12" customFormat="1" hidden="1" x14ac:dyDescent="0.25">
      <c r="A68" s="60" t="str">
        <f t="shared" si="0"/>
        <v>61112</v>
      </c>
      <c r="B68" s="60">
        <f>COUNTIF($J$7:J68,J68)</f>
        <v>61</v>
      </c>
      <c r="C68" s="60" t="str">
        <f t="shared" si="1"/>
        <v>10112,01</v>
      </c>
      <c r="D68" s="60">
        <f>COUNTIF($K$7:K68,K68)</f>
        <v>10</v>
      </c>
      <c r="E68" s="61"/>
      <c r="F68" s="71">
        <v>44580</v>
      </c>
      <c r="G68" s="72">
        <f t="shared" si="15"/>
        <v>44625</v>
      </c>
      <c r="H68" s="73" t="s">
        <v>91</v>
      </c>
      <c r="I68" s="74" t="s">
        <v>18</v>
      </c>
      <c r="J68" s="64">
        <v>112</v>
      </c>
      <c r="K68" s="75">
        <v>112.01</v>
      </c>
      <c r="L68" s="76">
        <f t="shared" si="3"/>
        <v>6314000</v>
      </c>
      <c r="M68" s="67"/>
      <c r="N68" s="67"/>
      <c r="O68" s="68"/>
      <c r="P68" s="69" t="str">
        <f t="shared" si="2"/>
        <v>Piutang Usaha</v>
      </c>
      <c r="Q68" s="61"/>
      <c r="X68" s="70"/>
    </row>
    <row r="69" spans="1:24" s="12" customFormat="1" hidden="1" x14ac:dyDescent="0.25">
      <c r="A69" s="60" t="str">
        <f t="shared" si="0"/>
        <v>62112</v>
      </c>
      <c r="B69" s="60">
        <f>COUNTIF($J$7:J69,J69)</f>
        <v>62</v>
      </c>
      <c r="C69" s="60" t="str">
        <f t="shared" si="1"/>
        <v>11112,02</v>
      </c>
      <c r="D69" s="60">
        <f>COUNTIF($K$7:K69,K69)</f>
        <v>11</v>
      </c>
      <c r="E69" s="61"/>
      <c r="F69" s="71">
        <v>44580</v>
      </c>
      <c r="G69" s="72">
        <f>F69+30</f>
        <v>44610</v>
      </c>
      <c r="H69" s="73" t="s">
        <v>92</v>
      </c>
      <c r="I69" s="74" t="s">
        <v>20</v>
      </c>
      <c r="J69" s="64">
        <v>112</v>
      </c>
      <c r="K69" s="75">
        <v>112.02</v>
      </c>
      <c r="L69" s="76">
        <f t="shared" si="3"/>
        <v>12391500</v>
      </c>
      <c r="M69" s="67"/>
      <c r="N69" s="67"/>
      <c r="O69" s="68"/>
      <c r="P69" s="69" t="str">
        <f t="shared" si="2"/>
        <v>Piutang Usaha</v>
      </c>
      <c r="Q69" s="61"/>
      <c r="X69" s="70"/>
    </row>
    <row r="70" spans="1:24" s="12" customFormat="1" hidden="1" x14ac:dyDescent="0.25">
      <c r="A70" s="60" t="str">
        <f t="shared" si="0"/>
        <v>63112</v>
      </c>
      <c r="B70" s="60">
        <f>COUNTIF($J$7:J70,J70)</f>
        <v>63</v>
      </c>
      <c r="C70" s="60" t="str">
        <f t="shared" si="1"/>
        <v>7112,06</v>
      </c>
      <c r="D70" s="60">
        <f>COUNTIF($K$7:K70,K70)</f>
        <v>7</v>
      </c>
      <c r="E70" s="61"/>
      <c r="F70" s="71">
        <v>44580</v>
      </c>
      <c r="G70" s="72">
        <f t="shared" ref="G70:G71" si="16">F70+45</f>
        <v>44625</v>
      </c>
      <c r="H70" s="73" t="s">
        <v>93</v>
      </c>
      <c r="I70" s="74" t="s">
        <v>37</v>
      </c>
      <c r="J70" s="64">
        <v>112</v>
      </c>
      <c r="K70" s="75">
        <v>112.06</v>
      </c>
      <c r="L70" s="76">
        <f t="shared" si="3"/>
        <v>5989500</v>
      </c>
      <c r="M70" s="67"/>
      <c r="N70" s="67"/>
      <c r="O70" s="68"/>
      <c r="P70" s="69" t="str">
        <f t="shared" si="2"/>
        <v>Piutang Usaha</v>
      </c>
      <c r="Q70" s="61"/>
      <c r="X70" s="70"/>
    </row>
    <row r="71" spans="1:24" s="12" customFormat="1" hidden="1" x14ac:dyDescent="0.25">
      <c r="A71" s="60" t="str">
        <f t="shared" ref="A71:A134" si="17">B71&amp;J71</f>
        <v>64112</v>
      </c>
      <c r="B71" s="60">
        <f>COUNTIF($J$7:J71,J71)</f>
        <v>64</v>
      </c>
      <c r="C71" s="60" t="str">
        <f t="shared" ref="C71:C134" si="18">D71&amp;K71</f>
        <v>8112,06</v>
      </c>
      <c r="D71" s="60">
        <f>COUNTIF($K$7:K71,K71)</f>
        <v>8</v>
      </c>
      <c r="E71" s="61"/>
      <c r="F71" s="71">
        <v>44580</v>
      </c>
      <c r="G71" s="72">
        <f t="shared" si="16"/>
        <v>44625</v>
      </c>
      <c r="H71" s="73" t="s">
        <v>94</v>
      </c>
      <c r="I71" s="74" t="s">
        <v>37</v>
      </c>
      <c r="J71" s="64">
        <v>112</v>
      </c>
      <c r="K71" s="75">
        <v>112.06</v>
      </c>
      <c r="L71" s="76">
        <f t="shared" si="3"/>
        <v>7700000</v>
      </c>
      <c r="M71" s="67"/>
      <c r="N71" s="67"/>
      <c r="O71" s="68"/>
      <c r="P71" s="69" t="str">
        <f t="shared" ref="P71:P134" si="19">IF(J71=0,"-",+VLOOKUP(J71,DAF_AKUN,2,FALSE))</f>
        <v>Piutang Usaha</v>
      </c>
      <c r="Q71" s="61"/>
      <c r="X71" s="70"/>
    </row>
    <row r="72" spans="1:24" s="12" customFormat="1" hidden="1" x14ac:dyDescent="0.25">
      <c r="A72" s="60" t="str">
        <f t="shared" si="17"/>
        <v>65112</v>
      </c>
      <c r="B72" s="60">
        <f>COUNTIF($J$7:J72,J72)</f>
        <v>65</v>
      </c>
      <c r="C72" s="60" t="str">
        <f t="shared" si="18"/>
        <v>16112,4</v>
      </c>
      <c r="D72" s="60">
        <f>COUNTIF($K$7:K72,K72)</f>
        <v>16</v>
      </c>
      <c r="E72" s="61"/>
      <c r="F72" s="71">
        <v>44580</v>
      </c>
      <c r="G72" s="72">
        <f t="shared" ref="G72:G74" si="20">F72+30</f>
        <v>44610</v>
      </c>
      <c r="H72" s="73" t="s">
        <v>95</v>
      </c>
      <c r="I72" s="82" t="s">
        <v>34</v>
      </c>
      <c r="J72" s="64">
        <v>112</v>
      </c>
      <c r="K72" s="75">
        <v>112.4</v>
      </c>
      <c r="L72" s="76">
        <f t="shared" si="3"/>
        <v>11616000</v>
      </c>
      <c r="M72" s="67"/>
      <c r="N72" s="67"/>
      <c r="O72" s="68"/>
      <c r="P72" s="69" t="str">
        <f t="shared" si="19"/>
        <v>Piutang Usaha</v>
      </c>
      <c r="Q72" s="61"/>
      <c r="X72" s="70"/>
    </row>
    <row r="73" spans="1:24" s="12" customFormat="1" hidden="1" x14ac:dyDescent="0.25">
      <c r="A73" s="60" t="str">
        <f t="shared" si="17"/>
        <v>66112</v>
      </c>
      <c r="B73" s="60">
        <f>COUNTIF($J$7:J73,J73)</f>
        <v>66</v>
      </c>
      <c r="C73" s="60" t="str">
        <f t="shared" si="18"/>
        <v>17112,4</v>
      </c>
      <c r="D73" s="60">
        <f>COUNTIF($K$7:K73,K73)</f>
        <v>17</v>
      </c>
      <c r="E73" s="61"/>
      <c r="F73" s="71">
        <v>44580</v>
      </c>
      <c r="G73" s="72">
        <f t="shared" si="20"/>
        <v>44610</v>
      </c>
      <c r="H73" s="73" t="s">
        <v>96</v>
      </c>
      <c r="I73" s="82" t="s">
        <v>34</v>
      </c>
      <c r="J73" s="64">
        <v>112</v>
      </c>
      <c r="K73" s="75">
        <v>112.4</v>
      </c>
      <c r="L73" s="76">
        <f t="shared" ref="L73:L120" si="21">M186+M299</f>
        <v>7920000</v>
      </c>
      <c r="M73" s="67"/>
      <c r="N73" s="67"/>
      <c r="O73" s="68"/>
      <c r="P73" s="69" t="str">
        <f t="shared" si="19"/>
        <v>Piutang Usaha</v>
      </c>
      <c r="Q73" s="61"/>
      <c r="X73" s="70"/>
    </row>
    <row r="74" spans="1:24" s="12" customFormat="1" hidden="1" x14ac:dyDescent="0.25">
      <c r="A74" s="60" t="str">
        <f t="shared" si="17"/>
        <v>67112</v>
      </c>
      <c r="B74" s="60">
        <f>COUNTIF($J$7:J74,J74)</f>
        <v>67</v>
      </c>
      <c r="C74" s="60" t="str">
        <f t="shared" si="18"/>
        <v>18112,4</v>
      </c>
      <c r="D74" s="60">
        <f>COUNTIF($K$7:K74,K74)</f>
        <v>18</v>
      </c>
      <c r="E74" s="61"/>
      <c r="F74" s="71">
        <v>44580</v>
      </c>
      <c r="G74" s="72">
        <f t="shared" si="20"/>
        <v>44610</v>
      </c>
      <c r="H74" s="73" t="s">
        <v>97</v>
      </c>
      <c r="I74" s="82" t="s">
        <v>34</v>
      </c>
      <c r="J74" s="64">
        <v>112</v>
      </c>
      <c r="K74" s="83">
        <v>112.4</v>
      </c>
      <c r="L74" s="76">
        <f t="shared" si="21"/>
        <v>6049972</v>
      </c>
      <c r="M74" s="67"/>
      <c r="N74" s="67"/>
      <c r="O74" s="68"/>
      <c r="P74" s="69" t="str">
        <f t="shared" si="19"/>
        <v>Piutang Usaha</v>
      </c>
      <c r="Q74" s="61"/>
      <c r="X74" s="70"/>
    </row>
    <row r="75" spans="1:24" s="12" customFormat="1" hidden="1" x14ac:dyDescent="0.25">
      <c r="A75" s="60" t="str">
        <f t="shared" si="17"/>
        <v>68112</v>
      </c>
      <c r="B75" s="60">
        <f>COUNTIF($J$7:J75,J75)</f>
        <v>68</v>
      </c>
      <c r="C75" s="60" t="str">
        <f t="shared" si="18"/>
        <v>1112,07</v>
      </c>
      <c r="D75" s="60">
        <f>COUNTIF($K$7:K75,K75)</f>
        <v>1</v>
      </c>
      <c r="E75" s="61"/>
      <c r="F75" s="71">
        <v>44566</v>
      </c>
      <c r="G75" s="72">
        <f>F75+1</f>
        <v>44567</v>
      </c>
      <c r="H75" s="73" t="s">
        <v>98</v>
      </c>
      <c r="I75" s="74" t="s">
        <v>99</v>
      </c>
      <c r="J75" s="64">
        <v>112</v>
      </c>
      <c r="K75" s="83">
        <v>112.07</v>
      </c>
      <c r="L75" s="76">
        <f t="shared" si="21"/>
        <v>4262500</v>
      </c>
      <c r="M75" s="67"/>
      <c r="N75" s="67" t="s">
        <v>16</v>
      </c>
      <c r="O75" s="68"/>
      <c r="P75" s="69" t="str">
        <f t="shared" si="19"/>
        <v>Piutang Usaha</v>
      </c>
      <c r="Q75" s="61"/>
      <c r="X75" s="70"/>
    </row>
    <row r="76" spans="1:24" s="12" customFormat="1" hidden="1" x14ac:dyDescent="0.25">
      <c r="A76" s="60" t="str">
        <f t="shared" si="17"/>
        <v>69112</v>
      </c>
      <c r="B76" s="60">
        <f>COUNTIF($J$7:J76,J76)</f>
        <v>69</v>
      </c>
      <c r="C76" s="60" t="str">
        <f t="shared" si="18"/>
        <v>11112,01</v>
      </c>
      <c r="D76" s="60">
        <f>COUNTIF($K$7:K76,K76)</f>
        <v>11</v>
      </c>
      <c r="E76" s="61"/>
      <c r="F76" s="71">
        <v>44581</v>
      </c>
      <c r="G76" s="72">
        <f>F76+45</f>
        <v>44626</v>
      </c>
      <c r="H76" s="73" t="s">
        <v>100</v>
      </c>
      <c r="I76" s="74" t="s">
        <v>18</v>
      </c>
      <c r="J76" s="64">
        <v>112</v>
      </c>
      <c r="K76" s="83">
        <v>112.01</v>
      </c>
      <c r="L76" s="76">
        <f t="shared" si="21"/>
        <v>21689250</v>
      </c>
      <c r="M76" s="67"/>
      <c r="N76" s="67"/>
      <c r="O76" s="68"/>
      <c r="P76" s="69" t="str">
        <f t="shared" si="19"/>
        <v>Piutang Usaha</v>
      </c>
      <c r="Q76" s="61"/>
      <c r="X76" s="70"/>
    </row>
    <row r="77" spans="1:24" s="12" customFormat="1" hidden="1" x14ac:dyDescent="0.25">
      <c r="A77" s="60" t="str">
        <f t="shared" si="17"/>
        <v>70112</v>
      </c>
      <c r="B77" s="60">
        <f>COUNTIF($J$7:J77,J77)</f>
        <v>70</v>
      </c>
      <c r="C77" s="60" t="str">
        <f t="shared" si="18"/>
        <v>3112,35</v>
      </c>
      <c r="D77" s="60">
        <f>COUNTIF($K$7:K77,K77)</f>
        <v>3</v>
      </c>
      <c r="E77" s="61"/>
      <c r="F77" s="71">
        <v>44585</v>
      </c>
      <c r="G77" s="72" t="s">
        <v>13</v>
      </c>
      <c r="H77" s="73" t="s">
        <v>101</v>
      </c>
      <c r="I77" s="74" t="s">
        <v>44</v>
      </c>
      <c r="J77" s="64">
        <v>112</v>
      </c>
      <c r="K77" s="84">
        <v>112.35</v>
      </c>
      <c r="L77" s="76">
        <f t="shared" si="21"/>
        <v>6720000</v>
      </c>
      <c r="M77" s="67"/>
      <c r="N77" s="67"/>
      <c r="O77" s="68"/>
      <c r="P77" s="69" t="str">
        <f t="shared" si="19"/>
        <v>Piutang Usaha</v>
      </c>
      <c r="Q77" s="61"/>
      <c r="X77" s="70"/>
    </row>
    <row r="78" spans="1:24" s="12" customFormat="1" hidden="1" x14ac:dyDescent="0.25">
      <c r="A78" s="60" t="str">
        <f t="shared" si="17"/>
        <v>71112</v>
      </c>
      <c r="B78" s="60">
        <f>COUNTIF($J$7:J78,J78)</f>
        <v>71</v>
      </c>
      <c r="C78" s="60" t="str">
        <f t="shared" si="18"/>
        <v>12112,01</v>
      </c>
      <c r="D78" s="60">
        <f>COUNTIF($K$7:K78,K78)</f>
        <v>12</v>
      </c>
      <c r="E78" s="61"/>
      <c r="F78" s="71">
        <v>44585</v>
      </c>
      <c r="G78" s="72">
        <f>F78+45</f>
        <v>44630</v>
      </c>
      <c r="H78" s="73" t="s">
        <v>102</v>
      </c>
      <c r="I78" s="74" t="s">
        <v>18</v>
      </c>
      <c r="J78" s="64">
        <v>112</v>
      </c>
      <c r="K78" s="85">
        <v>112.01</v>
      </c>
      <c r="L78" s="76">
        <f t="shared" si="21"/>
        <v>45100000</v>
      </c>
      <c r="M78" s="67"/>
      <c r="N78" s="67"/>
      <c r="O78" s="68"/>
      <c r="P78" s="69" t="str">
        <f t="shared" si="19"/>
        <v>Piutang Usaha</v>
      </c>
      <c r="Q78" s="61"/>
      <c r="X78" s="70"/>
    </row>
    <row r="79" spans="1:24" s="12" customFormat="1" hidden="1" x14ac:dyDescent="0.25">
      <c r="A79" s="60" t="str">
        <f t="shared" si="17"/>
        <v>72112</v>
      </c>
      <c r="B79" s="60">
        <f>COUNTIF($J$7:J79,J79)</f>
        <v>72</v>
      </c>
      <c r="C79" s="60" t="str">
        <f t="shared" si="18"/>
        <v>12112,02</v>
      </c>
      <c r="D79" s="60">
        <f>COUNTIF($K$7:K79,K79)</f>
        <v>12</v>
      </c>
      <c r="E79" s="61"/>
      <c r="F79" s="71">
        <v>44585</v>
      </c>
      <c r="G79" s="72">
        <f t="shared" ref="G79:G81" si="22">F79+30</f>
        <v>44615</v>
      </c>
      <c r="H79" s="73" t="s">
        <v>103</v>
      </c>
      <c r="I79" s="74" t="s">
        <v>20</v>
      </c>
      <c r="J79" s="64">
        <v>112</v>
      </c>
      <c r="K79" s="85">
        <v>112.02</v>
      </c>
      <c r="L79" s="76">
        <f t="shared" si="21"/>
        <v>7788000</v>
      </c>
      <c r="M79" s="67"/>
      <c r="N79" s="67"/>
      <c r="O79" s="68"/>
      <c r="P79" s="69" t="str">
        <f t="shared" si="19"/>
        <v>Piutang Usaha</v>
      </c>
      <c r="Q79" s="61"/>
      <c r="X79" s="70"/>
    </row>
    <row r="80" spans="1:24" s="12" customFormat="1" hidden="1" x14ac:dyDescent="0.25">
      <c r="A80" s="60" t="str">
        <f t="shared" si="17"/>
        <v>73112</v>
      </c>
      <c r="B80" s="60">
        <f>COUNTIF($J$7:J80,J80)</f>
        <v>73</v>
      </c>
      <c r="C80" s="60" t="str">
        <f t="shared" si="18"/>
        <v>13112,02</v>
      </c>
      <c r="D80" s="60">
        <f>COUNTIF($K$7:K80,K80)</f>
        <v>13</v>
      </c>
      <c r="E80" s="61"/>
      <c r="F80" s="71">
        <v>44585</v>
      </c>
      <c r="G80" s="72">
        <f t="shared" si="22"/>
        <v>44615</v>
      </c>
      <c r="H80" s="73" t="s">
        <v>104</v>
      </c>
      <c r="I80" s="74" t="s">
        <v>20</v>
      </c>
      <c r="J80" s="64">
        <v>112</v>
      </c>
      <c r="K80" s="85">
        <v>112.02</v>
      </c>
      <c r="L80" s="76">
        <f t="shared" si="21"/>
        <v>3608000</v>
      </c>
      <c r="M80" s="67"/>
      <c r="N80" s="67"/>
      <c r="O80" s="68"/>
      <c r="P80" s="69" t="str">
        <f t="shared" si="19"/>
        <v>Piutang Usaha</v>
      </c>
      <c r="Q80" s="61"/>
      <c r="X80" s="70"/>
    </row>
    <row r="81" spans="1:24" s="12" customFormat="1" hidden="1" x14ac:dyDescent="0.25">
      <c r="A81" s="60" t="str">
        <f t="shared" si="17"/>
        <v>74112</v>
      </c>
      <c r="B81" s="60">
        <f>COUNTIF($J$7:J81,J81)</f>
        <v>74</v>
      </c>
      <c r="C81" s="60" t="str">
        <f t="shared" si="18"/>
        <v>14112,02</v>
      </c>
      <c r="D81" s="60">
        <f>COUNTIF($K$7:K81,K81)</f>
        <v>14</v>
      </c>
      <c r="E81" s="61"/>
      <c r="F81" s="71">
        <v>44585</v>
      </c>
      <c r="G81" s="72">
        <f t="shared" si="22"/>
        <v>44615</v>
      </c>
      <c r="H81" s="73" t="s">
        <v>105</v>
      </c>
      <c r="I81" s="74" t="s">
        <v>20</v>
      </c>
      <c r="J81" s="64">
        <v>112</v>
      </c>
      <c r="K81" s="85">
        <v>112.02</v>
      </c>
      <c r="L81" s="76">
        <f t="shared" si="21"/>
        <v>11508750</v>
      </c>
      <c r="M81" s="67"/>
      <c r="N81" s="67"/>
      <c r="O81" s="68"/>
      <c r="P81" s="69" t="str">
        <f t="shared" si="19"/>
        <v>Piutang Usaha</v>
      </c>
      <c r="Q81" s="61"/>
      <c r="X81" s="70"/>
    </row>
    <row r="82" spans="1:24" s="12" customFormat="1" hidden="1" x14ac:dyDescent="0.25">
      <c r="A82" s="60" t="str">
        <f t="shared" si="17"/>
        <v>75112</v>
      </c>
      <c r="B82" s="60">
        <f>COUNTIF($J$7:J82,J82)</f>
        <v>75</v>
      </c>
      <c r="C82" s="60" t="str">
        <f t="shared" si="18"/>
        <v>1112,54</v>
      </c>
      <c r="D82" s="60">
        <f>COUNTIF($K$7:K82,K82)</f>
        <v>1</v>
      </c>
      <c r="E82" s="61"/>
      <c r="F82" s="71">
        <v>44585</v>
      </c>
      <c r="G82" s="72" t="s">
        <v>13</v>
      </c>
      <c r="H82" s="73" t="s">
        <v>106</v>
      </c>
      <c r="I82" s="74" t="s">
        <v>107</v>
      </c>
      <c r="J82" s="64">
        <v>112</v>
      </c>
      <c r="K82" s="84">
        <v>112.54</v>
      </c>
      <c r="L82" s="76">
        <f t="shared" si="21"/>
        <v>41999999</v>
      </c>
      <c r="M82" s="67"/>
      <c r="N82" s="67"/>
      <c r="O82" s="68"/>
      <c r="P82" s="69" t="str">
        <f t="shared" si="19"/>
        <v>Piutang Usaha</v>
      </c>
      <c r="Q82" s="61"/>
      <c r="X82" s="70"/>
    </row>
    <row r="83" spans="1:24" s="12" customFormat="1" ht="30" hidden="1" x14ac:dyDescent="0.25">
      <c r="A83" s="60" t="str">
        <f t="shared" si="17"/>
        <v>76112</v>
      </c>
      <c r="B83" s="60">
        <f>COUNTIF($J$7:J83,J83)</f>
        <v>76</v>
      </c>
      <c r="C83" s="60" t="str">
        <f t="shared" si="18"/>
        <v>19112,4</v>
      </c>
      <c r="D83" s="60">
        <f>COUNTIF($K$7:K83,K83)</f>
        <v>19</v>
      </c>
      <c r="E83" s="61"/>
      <c r="F83" s="71">
        <v>44585</v>
      </c>
      <c r="G83" s="72">
        <f t="shared" ref="G83:G84" si="23">F83+30</f>
        <v>44615</v>
      </c>
      <c r="H83" s="73" t="s">
        <v>108</v>
      </c>
      <c r="I83" s="74" t="s">
        <v>34</v>
      </c>
      <c r="J83" s="64">
        <v>112</v>
      </c>
      <c r="K83" s="84">
        <v>112.4</v>
      </c>
      <c r="L83" s="76">
        <f t="shared" si="21"/>
        <v>1188000</v>
      </c>
      <c r="M83" s="67"/>
      <c r="N83" s="67"/>
      <c r="O83" s="68"/>
      <c r="P83" s="69" t="str">
        <f t="shared" si="19"/>
        <v>Piutang Usaha</v>
      </c>
      <c r="Q83" s="61"/>
      <c r="X83" s="70"/>
    </row>
    <row r="84" spans="1:24" s="12" customFormat="1" ht="30" hidden="1" x14ac:dyDescent="0.25">
      <c r="A84" s="60" t="str">
        <f t="shared" si="17"/>
        <v>77112</v>
      </c>
      <c r="B84" s="60">
        <f>COUNTIF($J$7:J84,J84)</f>
        <v>77</v>
      </c>
      <c r="C84" s="60" t="str">
        <f t="shared" si="18"/>
        <v>20112,4</v>
      </c>
      <c r="D84" s="60">
        <f>COUNTIF($K$7:K84,K84)</f>
        <v>20</v>
      </c>
      <c r="E84" s="61"/>
      <c r="F84" s="71">
        <v>44585</v>
      </c>
      <c r="G84" s="72">
        <f t="shared" si="23"/>
        <v>44615</v>
      </c>
      <c r="H84" s="73" t="s">
        <v>109</v>
      </c>
      <c r="I84" s="74" t="s">
        <v>34</v>
      </c>
      <c r="J84" s="64">
        <v>112</v>
      </c>
      <c r="K84" s="84">
        <v>112.4</v>
      </c>
      <c r="L84" s="76">
        <f t="shared" si="21"/>
        <v>3024985</v>
      </c>
      <c r="M84" s="67"/>
      <c r="N84" s="67"/>
      <c r="O84" s="68"/>
      <c r="P84" s="69" t="str">
        <f t="shared" si="19"/>
        <v>Piutang Usaha</v>
      </c>
      <c r="Q84" s="61"/>
      <c r="X84" s="70"/>
    </row>
    <row r="85" spans="1:24" s="12" customFormat="1" hidden="1" x14ac:dyDescent="0.25">
      <c r="A85" s="60" t="str">
        <f t="shared" si="17"/>
        <v>78112</v>
      </c>
      <c r="B85" s="60">
        <f>COUNTIF($J$7:J85,J85)</f>
        <v>78</v>
      </c>
      <c r="C85" s="60" t="str">
        <f t="shared" si="18"/>
        <v>13112,01</v>
      </c>
      <c r="D85" s="60">
        <f>COUNTIF($K$7:K85,K85)</f>
        <v>13</v>
      </c>
      <c r="E85" s="61"/>
      <c r="F85" s="71">
        <v>44586</v>
      </c>
      <c r="G85" s="72">
        <f t="shared" ref="G85:G86" si="24">F85+45</f>
        <v>44631</v>
      </c>
      <c r="H85" s="73" t="s">
        <v>110</v>
      </c>
      <c r="I85" s="74" t="s">
        <v>18</v>
      </c>
      <c r="J85" s="64">
        <v>112</v>
      </c>
      <c r="K85" s="85">
        <v>112.01</v>
      </c>
      <c r="L85" s="76">
        <f t="shared" si="21"/>
        <v>18040000</v>
      </c>
      <c r="M85" s="67"/>
      <c r="N85" s="67"/>
      <c r="O85" s="68"/>
      <c r="P85" s="69" t="str">
        <f t="shared" si="19"/>
        <v>Piutang Usaha</v>
      </c>
      <c r="Q85" s="61"/>
      <c r="X85" s="70"/>
    </row>
    <row r="86" spans="1:24" s="12" customFormat="1" hidden="1" x14ac:dyDescent="0.25">
      <c r="A86" s="60" t="str">
        <f t="shared" si="17"/>
        <v>79112</v>
      </c>
      <c r="B86" s="60">
        <f>COUNTIF($J$7:J86,J86)</f>
        <v>79</v>
      </c>
      <c r="C86" s="60" t="str">
        <f t="shared" si="18"/>
        <v>14112,01</v>
      </c>
      <c r="D86" s="60">
        <f>COUNTIF($K$7:K86,K86)</f>
        <v>14</v>
      </c>
      <c r="E86" s="61"/>
      <c r="F86" s="71">
        <v>44586</v>
      </c>
      <c r="G86" s="72">
        <f t="shared" si="24"/>
        <v>44631</v>
      </c>
      <c r="H86" s="73" t="s">
        <v>111</v>
      </c>
      <c r="I86" s="74" t="s">
        <v>18</v>
      </c>
      <c r="J86" s="64">
        <v>112</v>
      </c>
      <c r="K86" s="78">
        <v>112.01</v>
      </c>
      <c r="L86" s="76">
        <f t="shared" si="21"/>
        <v>24964500</v>
      </c>
      <c r="M86" s="67"/>
      <c r="N86" s="67"/>
      <c r="O86" s="68"/>
      <c r="P86" s="69" t="str">
        <f t="shared" si="19"/>
        <v>Piutang Usaha</v>
      </c>
      <c r="Q86" s="61"/>
      <c r="X86" s="70"/>
    </row>
    <row r="87" spans="1:24" s="12" customFormat="1" hidden="1" x14ac:dyDescent="0.25">
      <c r="A87" s="60" t="str">
        <f t="shared" si="17"/>
        <v>80112</v>
      </c>
      <c r="B87" s="60">
        <f>COUNTIF($J$7:J87,J87)</f>
        <v>80</v>
      </c>
      <c r="C87" s="60" t="str">
        <f t="shared" si="18"/>
        <v>15112,02</v>
      </c>
      <c r="D87" s="60">
        <f>COUNTIF($K$7:K87,K87)</f>
        <v>15</v>
      </c>
      <c r="E87" s="61"/>
      <c r="F87" s="71">
        <v>44586</v>
      </c>
      <c r="G87" s="72">
        <f>F87+30</f>
        <v>44616</v>
      </c>
      <c r="H87" s="73" t="s">
        <v>112</v>
      </c>
      <c r="I87" s="74" t="s">
        <v>20</v>
      </c>
      <c r="J87" s="64">
        <v>112</v>
      </c>
      <c r="K87" s="85">
        <v>112.02</v>
      </c>
      <c r="L87" s="76">
        <f t="shared" si="21"/>
        <v>4125000</v>
      </c>
      <c r="M87" s="67"/>
      <c r="N87" s="67"/>
      <c r="O87" s="68"/>
      <c r="P87" s="69" t="str">
        <f t="shared" si="19"/>
        <v>Piutang Usaha</v>
      </c>
      <c r="Q87" s="61"/>
      <c r="X87" s="70"/>
    </row>
    <row r="88" spans="1:24" s="12" customFormat="1" hidden="1" x14ac:dyDescent="0.25">
      <c r="A88" s="60" t="str">
        <f t="shared" si="17"/>
        <v>81112</v>
      </c>
      <c r="B88" s="60">
        <f>COUNTIF($J$7:J88,J88)</f>
        <v>81</v>
      </c>
      <c r="C88" s="60" t="str">
        <f t="shared" si="18"/>
        <v>2112,04</v>
      </c>
      <c r="D88" s="60">
        <f>COUNTIF($K$7:K88,K88)</f>
        <v>2</v>
      </c>
      <c r="E88" s="61"/>
      <c r="F88" s="71">
        <v>44586</v>
      </c>
      <c r="G88" s="72">
        <f>F88+30</f>
        <v>44616</v>
      </c>
      <c r="H88" s="73" t="s">
        <v>113</v>
      </c>
      <c r="I88" s="74" t="s">
        <v>26</v>
      </c>
      <c r="J88" s="64">
        <v>112</v>
      </c>
      <c r="K88" s="84">
        <v>112.04</v>
      </c>
      <c r="L88" s="76">
        <f t="shared" si="21"/>
        <v>21615000</v>
      </c>
      <c r="M88" s="67"/>
      <c r="N88" s="67"/>
      <c r="O88" s="68"/>
      <c r="P88" s="69" t="str">
        <f t="shared" si="19"/>
        <v>Piutang Usaha</v>
      </c>
      <c r="Q88" s="61"/>
      <c r="X88" s="70"/>
    </row>
    <row r="89" spans="1:24" s="12" customFormat="1" hidden="1" x14ac:dyDescent="0.25">
      <c r="A89" s="60" t="str">
        <f t="shared" si="17"/>
        <v>82112</v>
      </c>
      <c r="B89" s="60">
        <f>COUNTIF($J$7:J89,J89)</f>
        <v>82</v>
      </c>
      <c r="C89" s="60" t="str">
        <f t="shared" si="18"/>
        <v>5112,45</v>
      </c>
      <c r="D89" s="60">
        <f>COUNTIF($K$7:K89,K89)</f>
        <v>5</v>
      </c>
      <c r="E89" s="61"/>
      <c r="F89" s="71">
        <v>44586</v>
      </c>
      <c r="G89" s="72">
        <f t="shared" ref="G89:G90" si="25">F89+30</f>
        <v>44616</v>
      </c>
      <c r="H89" s="73" t="s">
        <v>114</v>
      </c>
      <c r="I89" s="74" t="s">
        <v>32</v>
      </c>
      <c r="J89" s="64">
        <v>112</v>
      </c>
      <c r="K89" s="84">
        <v>112.45</v>
      </c>
      <c r="L89" s="76">
        <f t="shared" si="21"/>
        <v>26268000</v>
      </c>
      <c r="M89" s="67"/>
      <c r="N89" s="67"/>
      <c r="O89" s="68"/>
      <c r="P89" s="69" t="str">
        <f t="shared" si="19"/>
        <v>Piutang Usaha</v>
      </c>
      <c r="Q89" s="61"/>
      <c r="X89" s="70"/>
    </row>
    <row r="90" spans="1:24" s="12" customFormat="1" hidden="1" x14ac:dyDescent="0.25">
      <c r="A90" s="60" t="str">
        <f t="shared" si="17"/>
        <v>83112</v>
      </c>
      <c r="B90" s="60">
        <f>COUNTIF($J$7:J90,J90)</f>
        <v>83</v>
      </c>
      <c r="C90" s="60" t="str">
        <f t="shared" si="18"/>
        <v>6112,45</v>
      </c>
      <c r="D90" s="60">
        <f>COUNTIF($K$7:K90,K90)</f>
        <v>6</v>
      </c>
      <c r="E90" s="61"/>
      <c r="F90" s="71">
        <v>44586</v>
      </c>
      <c r="G90" s="72">
        <f t="shared" si="25"/>
        <v>44616</v>
      </c>
      <c r="H90" s="73" t="s">
        <v>115</v>
      </c>
      <c r="I90" s="74" t="s">
        <v>32</v>
      </c>
      <c r="J90" s="64">
        <v>112</v>
      </c>
      <c r="K90" s="84">
        <v>112.45</v>
      </c>
      <c r="L90" s="76">
        <f t="shared" si="21"/>
        <v>8469961</v>
      </c>
      <c r="M90" s="67"/>
      <c r="N90" s="67"/>
      <c r="O90" s="68"/>
      <c r="P90" s="69" t="str">
        <f t="shared" si="19"/>
        <v>Piutang Usaha</v>
      </c>
      <c r="Q90" s="61"/>
      <c r="X90" s="70"/>
    </row>
    <row r="91" spans="1:24" s="12" customFormat="1" hidden="1" x14ac:dyDescent="0.25">
      <c r="A91" s="60" t="str">
        <f t="shared" si="17"/>
        <v>84112</v>
      </c>
      <c r="B91" s="60">
        <f>COUNTIF($J$7:J91,J91)</f>
        <v>84</v>
      </c>
      <c r="C91" s="60" t="str">
        <f t="shared" si="18"/>
        <v>9112,06</v>
      </c>
      <c r="D91" s="60">
        <f>COUNTIF($K$7:K91,K91)</f>
        <v>9</v>
      </c>
      <c r="E91" s="61"/>
      <c r="F91" s="71">
        <v>44586</v>
      </c>
      <c r="G91" s="72">
        <f>F91+45</f>
        <v>44631</v>
      </c>
      <c r="H91" s="73" t="s">
        <v>116</v>
      </c>
      <c r="I91" s="74" t="s">
        <v>37</v>
      </c>
      <c r="J91" s="64">
        <v>112</v>
      </c>
      <c r="K91" s="84">
        <v>112.06</v>
      </c>
      <c r="L91" s="76">
        <f t="shared" si="21"/>
        <v>12804000</v>
      </c>
      <c r="M91" s="67"/>
      <c r="N91" s="67"/>
      <c r="O91" s="68"/>
      <c r="P91" s="69" t="str">
        <f t="shared" si="19"/>
        <v>Piutang Usaha</v>
      </c>
      <c r="Q91" s="61"/>
      <c r="X91" s="70"/>
    </row>
    <row r="92" spans="1:24" s="12" customFormat="1" hidden="1" x14ac:dyDescent="0.25">
      <c r="A92" s="60" t="str">
        <f t="shared" si="17"/>
        <v>85112</v>
      </c>
      <c r="B92" s="60">
        <f>COUNTIF($J$7:J92,J92)</f>
        <v>85</v>
      </c>
      <c r="C92" s="60" t="str">
        <f t="shared" si="18"/>
        <v>2112,31</v>
      </c>
      <c r="D92" s="60">
        <f>COUNTIF($K$7:K92,K92)</f>
        <v>2</v>
      </c>
      <c r="E92" s="61"/>
      <c r="F92" s="71">
        <v>44586</v>
      </c>
      <c r="G92" s="72" t="s">
        <v>13</v>
      </c>
      <c r="H92" s="73" t="s">
        <v>117</v>
      </c>
      <c r="I92" s="74" t="s">
        <v>53</v>
      </c>
      <c r="J92" s="64">
        <v>112</v>
      </c>
      <c r="K92" s="84">
        <v>112.31</v>
      </c>
      <c r="L92" s="76">
        <f t="shared" si="21"/>
        <v>4840000</v>
      </c>
      <c r="M92" s="67"/>
      <c r="N92" s="67"/>
      <c r="O92" s="68"/>
      <c r="P92" s="69" t="str">
        <f t="shared" si="19"/>
        <v>Piutang Usaha</v>
      </c>
      <c r="Q92" s="61"/>
      <c r="X92" s="70"/>
    </row>
    <row r="93" spans="1:24" s="12" customFormat="1" ht="30" hidden="1" x14ac:dyDescent="0.25">
      <c r="A93" s="60" t="str">
        <f t="shared" si="17"/>
        <v>86112</v>
      </c>
      <c r="B93" s="60">
        <f>COUNTIF($J$7:J93,J93)</f>
        <v>86</v>
      </c>
      <c r="C93" s="60" t="str">
        <f t="shared" si="18"/>
        <v>21112,4</v>
      </c>
      <c r="D93" s="60">
        <f>COUNTIF($K$7:K93,K93)</f>
        <v>21</v>
      </c>
      <c r="E93" s="61"/>
      <c r="F93" s="71">
        <v>44586</v>
      </c>
      <c r="G93" s="72">
        <f t="shared" ref="G93:G95" si="26">F93+30</f>
        <v>44616</v>
      </c>
      <c r="H93" s="73" t="s">
        <v>118</v>
      </c>
      <c r="I93" s="74" t="s">
        <v>34</v>
      </c>
      <c r="J93" s="64">
        <v>112</v>
      </c>
      <c r="K93" s="84">
        <v>112.4</v>
      </c>
      <c r="L93" s="76">
        <f t="shared" si="21"/>
        <v>2419989</v>
      </c>
      <c r="M93" s="67"/>
      <c r="N93" s="67"/>
      <c r="O93" s="68"/>
      <c r="P93" s="69" t="str">
        <f t="shared" si="19"/>
        <v>Piutang Usaha</v>
      </c>
      <c r="Q93" s="61"/>
      <c r="X93" s="70"/>
    </row>
    <row r="94" spans="1:24" s="12" customFormat="1" ht="30" hidden="1" x14ac:dyDescent="0.25">
      <c r="A94" s="60" t="str">
        <f t="shared" si="17"/>
        <v>87112</v>
      </c>
      <c r="B94" s="60">
        <f>COUNTIF($J$7:J94,J94)</f>
        <v>87</v>
      </c>
      <c r="C94" s="60" t="str">
        <f t="shared" si="18"/>
        <v>22112,4</v>
      </c>
      <c r="D94" s="60">
        <f>COUNTIF($K$7:K94,K94)</f>
        <v>22</v>
      </c>
      <c r="E94" s="61"/>
      <c r="F94" s="71">
        <v>44586</v>
      </c>
      <c r="G94" s="72">
        <f t="shared" si="26"/>
        <v>44616</v>
      </c>
      <c r="H94" s="73" t="s">
        <v>119</v>
      </c>
      <c r="I94" s="74" t="s">
        <v>34</v>
      </c>
      <c r="J94" s="64">
        <v>112</v>
      </c>
      <c r="K94" s="84">
        <v>112.4</v>
      </c>
      <c r="L94" s="76">
        <f t="shared" si="21"/>
        <v>3574985</v>
      </c>
      <c r="M94" s="67"/>
      <c r="N94" s="67"/>
      <c r="O94" s="68"/>
      <c r="P94" s="69" t="str">
        <f t="shared" si="19"/>
        <v>Piutang Usaha</v>
      </c>
      <c r="Q94" s="61"/>
      <c r="X94" s="70"/>
    </row>
    <row r="95" spans="1:24" s="12" customFormat="1" ht="30" hidden="1" x14ac:dyDescent="0.25">
      <c r="A95" s="60" t="str">
        <f t="shared" si="17"/>
        <v>88112</v>
      </c>
      <c r="B95" s="60">
        <f>COUNTIF($J$7:J95,J95)</f>
        <v>88</v>
      </c>
      <c r="C95" s="60" t="str">
        <f t="shared" si="18"/>
        <v>23112,4</v>
      </c>
      <c r="D95" s="60">
        <f>COUNTIF($K$7:K95,K95)</f>
        <v>23</v>
      </c>
      <c r="E95" s="61"/>
      <c r="F95" s="71">
        <v>44586</v>
      </c>
      <c r="G95" s="72">
        <f t="shared" si="26"/>
        <v>44616</v>
      </c>
      <c r="H95" s="73" t="s">
        <v>120</v>
      </c>
      <c r="I95" s="74" t="s">
        <v>34</v>
      </c>
      <c r="J95" s="64">
        <v>112</v>
      </c>
      <c r="K95" s="84">
        <v>112.4</v>
      </c>
      <c r="L95" s="76">
        <f t="shared" si="21"/>
        <v>9240000</v>
      </c>
      <c r="M95" s="67"/>
      <c r="N95" s="67"/>
      <c r="O95" s="68"/>
      <c r="P95" s="69" t="str">
        <f t="shared" si="19"/>
        <v>Piutang Usaha</v>
      </c>
      <c r="Q95" s="61"/>
      <c r="X95" s="70"/>
    </row>
    <row r="96" spans="1:24" s="12" customFormat="1" hidden="1" x14ac:dyDescent="0.25">
      <c r="A96" s="60" t="str">
        <f t="shared" si="17"/>
        <v>89112</v>
      </c>
      <c r="B96" s="60">
        <f>COUNTIF($J$7:J96,J96)</f>
        <v>89</v>
      </c>
      <c r="C96" s="60" t="str">
        <f t="shared" si="18"/>
        <v>1112,49</v>
      </c>
      <c r="D96" s="60">
        <f>COUNTIF($K$7:K96,K96)</f>
        <v>1</v>
      </c>
      <c r="E96" s="61"/>
      <c r="F96" s="71">
        <v>44586</v>
      </c>
      <c r="G96" s="72">
        <f>F96+30</f>
        <v>44616</v>
      </c>
      <c r="H96" s="73" t="s">
        <v>121</v>
      </c>
      <c r="I96" s="74" t="s">
        <v>122</v>
      </c>
      <c r="J96" s="64">
        <v>112</v>
      </c>
      <c r="K96" s="84">
        <v>112.49</v>
      </c>
      <c r="L96" s="76">
        <f t="shared" si="21"/>
        <v>2409000</v>
      </c>
      <c r="M96" s="67"/>
      <c r="N96" s="67"/>
      <c r="O96" s="68"/>
      <c r="P96" s="69" t="str">
        <f t="shared" si="19"/>
        <v>Piutang Usaha</v>
      </c>
      <c r="Q96" s="61"/>
      <c r="X96" s="70"/>
    </row>
    <row r="97" spans="1:24" s="12" customFormat="1" hidden="1" x14ac:dyDescent="0.25">
      <c r="A97" s="60" t="str">
        <f t="shared" si="17"/>
        <v>90112</v>
      </c>
      <c r="B97" s="60">
        <f>COUNTIF($J$7:J97,J97)</f>
        <v>90</v>
      </c>
      <c r="C97" s="60" t="str">
        <f t="shared" si="18"/>
        <v>1112,67</v>
      </c>
      <c r="D97" s="60">
        <f>COUNTIF($K$7:K97,K97)</f>
        <v>1</v>
      </c>
      <c r="E97" s="61"/>
      <c r="F97" s="71">
        <v>44586</v>
      </c>
      <c r="G97" s="72">
        <f>F97+30</f>
        <v>44616</v>
      </c>
      <c r="H97" s="73" t="s">
        <v>123</v>
      </c>
      <c r="I97" s="74" t="s">
        <v>124</v>
      </c>
      <c r="J97" s="64">
        <v>112</v>
      </c>
      <c r="K97" s="84">
        <v>112.67</v>
      </c>
      <c r="L97" s="76">
        <f t="shared" si="21"/>
        <v>9504000</v>
      </c>
      <c r="M97" s="67"/>
      <c r="N97" s="67"/>
      <c r="O97" s="68"/>
      <c r="P97" s="69" t="str">
        <f t="shared" si="19"/>
        <v>Piutang Usaha</v>
      </c>
      <c r="Q97" s="61"/>
      <c r="X97" s="70"/>
    </row>
    <row r="98" spans="1:24" s="12" customFormat="1" hidden="1" x14ac:dyDescent="0.25">
      <c r="A98" s="60" t="str">
        <f t="shared" si="17"/>
        <v>91112</v>
      </c>
      <c r="B98" s="60">
        <f>COUNTIF($J$7:J98,J98)</f>
        <v>91</v>
      </c>
      <c r="C98" s="60" t="str">
        <f t="shared" si="18"/>
        <v>5112,3</v>
      </c>
      <c r="D98" s="60">
        <f>COUNTIF($K$7:K98,K98)</f>
        <v>5</v>
      </c>
      <c r="E98" s="61"/>
      <c r="F98" s="71">
        <v>44586</v>
      </c>
      <c r="G98" s="72">
        <f>F98+30</f>
        <v>44616</v>
      </c>
      <c r="H98" s="73" t="s">
        <v>125</v>
      </c>
      <c r="I98" s="74" t="s">
        <v>48</v>
      </c>
      <c r="J98" s="64">
        <v>112</v>
      </c>
      <c r="K98" s="84">
        <v>112.3</v>
      </c>
      <c r="L98" s="76">
        <f t="shared" si="21"/>
        <v>2145000</v>
      </c>
      <c r="M98" s="67"/>
      <c r="N98" s="67"/>
      <c r="O98" s="68"/>
      <c r="P98" s="69" t="str">
        <f t="shared" si="19"/>
        <v>Piutang Usaha</v>
      </c>
      <c r="Q98" s="61"/>
      <c r="X98" s="70"/>
    </row>
    <row r="99" spans="1:24" s="12" customFormat="1" hidden="1" x14ac:dyDescent="0.25">
      <c r="A99" s="60" t="str">
        <f t="shared" si="17"/>
        <v>92112</v>
      </c>
      <c r="B99" s="60">
        <f>COUNTIF($J$7:J99,J99)</f>
        <v>92</v>
      </c>
      <c r="C99" s="60" t="str">
        <f t="shared" si="18"/>
        <v>10112,06</v>
      </c>
      <c r="D99" s="60">
        <f>COUNTIF($K$7:K99,K99)</f>
        <v>10</v>
      </c>
      <c r="E99" s="61"/>
      <c r="F99" s="71">
        <v>44587</v>
      </c>
      <c r="G99" s="72">
        <f>F99+45</f>
        <v>44632</v>
      </c>
      <c r="H99" s="73" t="s">
        <v>126</v>
      </c>
      <c r="I99" s="74" t="s">
        <v>37</v>
      </c>
      <c r="J99" s="64">
        <v>112</v>
      </c>
      <c r="K99" s="84">
        <v>112.06</v>
      </c>
      <c r="L99" s="76">
        <f t="shared" si="21"/>
        <v>19250000</v>
      </c>
      <c r="M99" s="67"/>
      <c r="N99" s="67"/>
      <c r="O99" s="68"/>
      <c r="P99" s="69" t="str">
        <f t="shared" si="19"/>
        <v>Piutang Usaha</v>
      </c>
      <c r="Q99" s="61"/>
      <c r="X99" s="70"/>
    </row>
    <row r="100" spans="1:24" s="12" customFormat="1" ht="30" hidden="1" x14ac:dyDescent="0.25">
      <c r="A100" s="60" t="str">
        <f t="shared" si="17"/>
        <v>93112</v>
      </c>
      <c r="B100" s="60">
        <f>COUNTIF($J$7:J100,J100)</f>
        <v>93</v>
      </c>
      <c r="C100" s="60" t="str">
        <f t="shared" si="18"/>
        <v>24112,4</v>
      </c>
      <c r="D100" s="60">
        <f>COUNTIF($K$7:K100,K100)</f>
        <v>24</v>
      </c>
      <c r="E100" s="61"/>
      <c r="F100" s="71">
        <v>44587</v>
      </c>
      <c r="G100" s="72">
        <f t="shared" ref="G100:G101" si="27">F100+30</f>
        <v>44617</v>
      </c>
      <c r="H100" s="73" t="s">
        <v>127</v>
      </c>
      <c r="I100" s="74" t="s">
        <v>34</v>
      </c>
      <c r="J100" s="64">
        <v>112</v>
      </c>
      <c r="K100" s="84">
        <v>112.4</v>
      </c>
      <c r="L100" s="76">
        <f t="shared" si="21"/>
        <v>25740000</v>
      </c>
      <c r="M100" s="67"/>
      <c r="N100" s="67"/>
      <c r="O100" s="68"/>
      <c r="P100" s="69" t="str">
        <f t="shared" si="19"/>
        <v>Piutang Usaha</v>
      </c>
      <c r="Q100" s="61"/>
      <c r="X100" s="70"/>
    </row>
    <row r="101" spans="1:24" s="12" customFormat="1" ht="30" hidden="1" x14ac:dyDescent="0.25">
      <c r="A101" s="60" t="str">
        <f t="shared" si="17"/>
        <v>94112</v>
      </c>
      <c r="B101" s="60">
        <f>COUNTIF($J$7:J101,J101)</f>
        <v>94</v>
      </c>
      <c r="C101" s="60" t="str">
        <f t="shared" si="18"/>
        <v>25112,4</v>
      </c>
      <c r="D101" s="60">
        <f>COUNTIF($K$7:K101,K101)</f>
        <v>25</v>
      </c>
      <c r="E101" s="61"/>
      <c r="F101" s="71">
        <v>44587</v>
      </c>
      <c r="G101" s="72">
        <f t="shared" si="27"/>
        <v>44617</v>
      </c>
      <c r="H101" s="73" t="s">
        <v>128</v>
      </c>
      <c r="I101" s="74" t="s">
        <v>34</v>
      </c>
      <c r="J101" s="64">
        <v>112</v>
      </c>
      <c r="K101" s="84">
        <v>112.4</v>
      </c>
      <c r="L101" s="76">
        <f t="shared" si="21"/>
        <v>7392000</v>
      </c>
      <c r="M101" s="67"/>
      <c r="N101" s="67"/>
      <c r="O101" s="68"/>
      <c r="P101" s="69" t="str">
        <f t="shared" si="19"/>
        <v>Piutang Usaha</v>
      </c>
      <c r="Q101" s="61"/>
      <c r="X101" s="70"/>
    </row>
    <row r="102" spans="1:24" s="12" customFormat="1" hidden="1" x14ac:dyDescent="0.25">
      <c r="A102" s="60" t="str">
        <f t="shared" si="17"/>
        <v>95112</v>
      </c>
      <c r="B102" s="60">
        <f>COUNTIF($J$7:J102,J102)</f>
        <v>95</v>
      </c>
      <c r="C102" s="60" t="str">
        <f t="shared" si="18"/>
        <v>2112,07</v>
      </c>
      <c r="D102" s="60">
        <f>COUNTIF($K$7:K102,K102)</f>
        <v>2</v>
      </c>
      <c r="E102" s="61"/>
      <c r="F102" s="71">
        <v>44568</v>
      </c>
      <c r="G102" s="72">
        <f>F102+1</f>
        <v>44569</v>
      </c>
      <c r="H102" s="73" t="s">
        <v>129</v>
      </c>
      <c r="I102" s="74" t="s">
        <v>99</v>
      </c>
      <c r="J102" s="64">
        <v>112</v>
      </c>
      <c r="K102" s="83">
        <v>112.07</v>
      </c>
      <c r="L102" s="76">
        <f t="shared" si="21"/>
        <v>4262500</v>
      </c>
      <c r="M102" s="67"/>
      <c r="N102" s="67"/>
      <c r="O102" s="68"/>
      <c r="P102" s="69" t="str">
        <f t="shared" si="19"/>
        <v>Piutang Usaha</v>
      </c>
      <c r="Q102" s="61"/>
      <c r="X102" s="70"/>
    </row>
    <row r="103" spans="1:24" s="12" customFormat="1" hidden="1" x14ac:dyDescent="0.25">
      <c r="A103" s="60" t="str">
        <f t="shared" si="17"/>
        <v>96112</v>
      </c>
      <c r="B103" s="60">
        <f>COUNTIF($J$7:J103,J103)</f>
        <v>96</v>
      </c>
      <c r="C103" s="60" t="str">
        <f t="shared" si="18"/>
        <v>1112,15</v>
      </c>
      <c r="D103" s="60">
        <f>COUNTIF($K$7:K103,K103)</f>
        <v>1</v>
      </c>
      <c r="E103" s="61"/>
      <c r="F103" s="71">
        <v>44588</v>
      </c>
      <c r="G103" s="72">
        <f>F103+1</f>
        <v>44589</v>
      </c>
      <c r="H103" s="73" t="s">
        <v>130</v>
      </c>
      <c r="I103" s="74" t="s">
        <v>131</v>
      </c>
      <c r="J103" s="64">
        <v>112</v>
      </c>
      <c r="K103" s="84">
        <v>112.15</v>
      </c>
      <c r="L103" s="76">
        <f t="shared" si="21"/>
        <v>4158000</v>
      </c>
      <c r="M103" s="67"/>
      <c r="N103" s="67"/>
      <c r="O103" s="68"/>
      <c r="P103" s="69" t="str">
        <f t="shared" si="19"/>
        <v>Piutang Usaha</v>
      </c>
      <c r="Q103" s="61"/>
      <c r="X103" s="70"/>
    </row>
    <row r="104" spans="1:24" s="12" customFormat="1" ht="30" hidden="1" x14ac:dyDescent="0.25">
      <c r="A104" s="60" t="str">
        <f t="shared" si="17"/>
        <v>97112</v>
      </c>
      <c r="B104" s="60">
        <f>COUNTIF($J$7:J104,J104)</f>
        <v>97</v>
      </c>
      <c r="C104" s="60" t="str">
        <f t="shared" si="18"/>
        <v>26112,4</v>
      </c>
      <c r="D104" s="60">
        <f>COUNTIF($K$7:K104,K104)</f>
        <v>26</v>
      </c>
      <c r="E104" s="61"/>
      <c r="F104" s="71">
        <v>44588</v>
      </c>
      <c r="G104" s="72">
        <f t="shared" ref="G104:G105" si="28">F104+30</f>
        <v>44618</v>
      </c>
      <c r="H104" s="73" t="s">
        <v>132</v>
      </c>
      <c r="I104" s="74" t="s">
        <v>34</v>
      </c>
      <c r="J104" s="64">
        <v>112</v>
      </c>
      <c r="K104" s="84">
        <v>112.4</v>
      </c>
      <c r="L104" s="76">
        <f t="shared" si="21"/>
        <v>604996</v>
      </c>
      <c r="M104" s="67"/>
      <c r="N104" s="67"/>
      <c r="O104" s="68"/>
      <c r="P104" s="69" t="str">
        <f t="shared" si="19"/>
        <v>Piutang Usaha</v>
      </c>
      <c r="Q104" s="61"/>
      <c r="X104" s="70"/>
    </row>
    <row r="105" spans="1:24" s="12" customFormat="1" ht="30" hidden="1" x14ac:dyDescent="0.25">
      <c r="A105" s="60" t="str">
        <f t="shared" si="17"/>
        <v>98112</v>
      </c>
      <c r="B105" s="60">
        <f>COUNTIF($J$7:J105,J105)</f>
        <v>98</v>
      </c>
      <c r="C105" s="60" t="str">
        <f t="shared" si="18"/>
        <v>27112,4</v>
      </c>
      <c r="D105" s="60">
        <f>COUNTIF($K$7:K105,K105)</f>
        <v>27</v>
      </c>
      <c r="E105" s="61"/>
      <c r="F105" s="71">
        <v>44588</v>
      </c>
      <c r="G105" s="72">
        <f t="shared" si="28"/>
        <v>44618</v>
      </c>
      <c r="H105" s="73" t="s">
        <v>133</v>
      </c>
      <c r="I105" s="74" t="s">
        <v>34</v>
      </c>
      <c r="J105" s="64">
        <v>112</v>
      </c>
      <c r="K105" s="84">
        <v>112.4</v>
      </c>
      <c r="L105" s="76">
        <f t="shared" si="21"/>
        <v>3024985</v>
      </c>
      <c r="M105" s="67"/>
      <c r="N105" s="67"/>
      <c r="O105" s="68"/>
      <c r="P105" s="69" t="str">
        <f t="shared" si="19"/>
        <v>Piutang Usaha</v>
      </c>
      <c r="Q105" s="61"/>
      <c r="X105" s="70"/>
    </row>
    <row r="106" spans="1:24" s="12" customFormat="1" hidden="1" x14ac:dyDescent="0.25">
      <c r="A106" s="60" t="str">
        <f t="shared" si="17"/>
        <v>99112</v>
      </c>
      <c r="B106" s="60">
        <f>COUNTIF($J$7:J106,J106)</f>
        <v>99</v>
      </c>
      <c r="C106" s="60" t="str">
        <f t="shared" si="18"/>
        <v>2112,61</v>
      </c>
      <c r="D106" s="60">
        <f>COUNTIF($K$7:K106,K106)</f>
        <v>2</v>
      </c>
      <c r="E106" s="61"/>
      <c r="F106" s="71">
        <v>44589</v>
      </c>
      <c r="G106" s="72">
        <f>F106+30</f>
        <v>44619</v>
      </c>
      <c r="H106" s="73" t="s">
        <v>134</v>
      </c>
      <c r="I106" s="74" t="s">
        <v>58</v>
      </c>
      <c r="J106" s="64">
        <v>112</v>
      </c>
      <c r="K106" s="83">
        <v>112.61</v>
      </c>
      <c r="L106" s="76">
        <f t="shared" si="21"/>
        <v>1925000</v>
      </c>
      <c r="M106" s="67"/>
      <c r="N106" s="67"/>
      <c r="O106" s="68"/>
      <c r="P106" s="69" t="str">
        <f t="shared" si="19"/>
        <v>Piutang Usaha</v>
      </c>
      <c r="Q106" s="61"/>
      <c r="X106" s="70"/>
    </row>
    <row r="107" spans="1:24" s="12" customFormat="1" hidden="1" x14ac:dyDescent="0.25">
      <c r="A107" s="60" t="str">
        <f t="shared" si="17"/>
        <v>100112</v>
      </c>
      <c r="B107" s="60">
        <f>COUNTIF($J$7:J107,J107)</f>
        <v>100</v>
      </c>
      <c r="C107" s="60" t="str">
        <f t="shared" si="18"/>
        <v>16112,02</v>
      </c>
      <c r="D107" s="60">
        <f>COUNTIF($K$7:K107,K107)</f>
        <v>16</v>
      </c>
      <c r="E107" s="61"/>
      <c r="F107" s="71">
        <v>44589</v>
      </c>
      <c r="G107" s="72">
        <f t="shared" ref="G107:G109" si="29">F107+30</f>
        <v>44619</v>
      </c>
      <c r="H107" s="73" t="s">
        <v>135</v>
      </c>
      <c r="I107" s="74" t="s">
        <v>20</v>
      </c>
      <c r="J107" s="64">
        <v>112</v>
      </c>
      <c r="K107" s="86">
        <v>112.02</v>
      </c>
      <c r="L107" s="76">
        <f t="shared" si="21"/>
        <v>1947000</v>
      </c>
      <c r="M107" s="67"/>
      <c r="N107" s="67"/>
      <c r="O107" s="68"/>
      <c r="P107" s="69" t="str">
        <f t="shared" si="19"/>
        <v>Piutang Usaha</v>
      </c>
      <c r="Q107" s="61"/>
      <c r="X107" s="70"/>
    </row>
    <row r="108" spans="1:24" s="12" customFormat="1" hidden="1" x14ac:dyDescent="0.25">
      <c r="A108" s="60" t="str">
        <f t="shared" si="17"/>
        <v>101112</v>
      </c>
      <c r="B108" s="60">
        <f>COUNTIF($J$7:J108,J108)</f>
        <v>101</v>
      </c>
      <c r="C108" s="60" t="str">
        <f t="shared" si="18"/>
        <v>17112,02</v>
      </c>
      <c r="D108" s="60">
        <f>COUNTIF($K$7:K108,K108)</f>
        <v>17</v>
      </c>
      <c r="E108" s="61"/>
      <c r="F108" s="71">
        <v>44589</v>
      </c>
      <c r="G108" s="72">
        <f t="shared" si="29"/>
        <v>44619</v>
      </c>
      <c r="H108" s="73" t="s">
        <v>136</v>
      </c>
      <c r="I108" s="74" t="s">
        <v>20</v>
      </c>
      <c r="J108" s="64">
        <v>112</v>
      </c>
      <c r="K108" s="86">
        <v>112.02</v>
      </c>
      <c r="L108" s="76">
        <f t="shared" si="21"/>
        <v>3894000</v>
      </c>
      <c r="M108" s="67"/>
      <c r="N108" s="67"/>
      <c r="O108" s="68"/>
      <c r="P108" s="69" t="str">
        <f t="shared" si="19"/>
        <v>Piutang Usaha</v>
      </c>
      <c r="Q108" s="61"/>
      <c r="X108" s="70"/>
    </row>
    <row r="109" spans="1:24" s="12" customFormat="1" hidden="1" x14ac:dyDescent="0.25">
      <c r="A109" s="60" t="str">
        <f t="shared" si="17"/>
        <v>102112</v>
      </c>
      <c r="B109" s="60">
        <f>COUNTIF($J$7:J109,J109)</f>
        <v>102</v>
      </c>
      <c r="C109" s="60" t="str">
        <f t="shared" si="18"/>
        <v>18112,02</v>
      </c>
      <c r="D109" s="60">
        <f>COUNTIF($K$7:K109,K109)</f>
        <v>18</v>
      </c>
      <c r="E109" s="61"/>
      <c r="F109" s="71">
        <v>44589</v>
      </c>
      <c r="G109" s="72">
        <f t="shared" si="29"/>
        <v>44619</v>
      </c>
      <c r="H109" s="73" t="s">
        <v>137</v>
      </c>
      <c r="I109" s="74" t="s">
        <v>20</v>
      </c>
      <c r="J109" s="64">
        <v>112</v>
      </c>
      <c r="K109" s="86">
        <v>112.02</v>
      </c>
      <c r="L109" s="76">
        <f t="shared" si="21"/>
        <v>5915250</v>
      </c>
      <c r="M109" s="67"/>
      <c r="N109" s="67"/>
      <c r="O109" s="68"/>
      <c r="P109" s="69" t="str">
        <f t="shared" si="19"/>
        <v>Piutang Usaha</v>
      </c>
      <c r="Q109" s="61"/>
      <c r="X109" s="70"/>
    </row>
    <row r="110" spans="1:24" s="12" customFormat="1" ht="30" hidden="1" x14ac:dyDescent="0.25">
      <c r="A110" s="60" t="str">
        <f t="shared" si="17"/>
        <v>103112</v>
      </c>
      <c r="B110" s="60">
        <f>COUNTIF($J$7:J110,J110)</f>
        <v>103</v>
      </c>
      <c r="C110" s="60" t="str">
        <f t="shared" si="18"/>
        <v>28112,4</v>
      </c>
      <c r="D110" s="60">
        <f>COUNTIF($K$7:K110,K110)</f>
        <v>28</v>
      </c>
      <c r="E110" s="61"/>
      <c r="F110" s="71">
        <v>44589</v>
      </c>
      <c r="G110" s="72">
        <f>F110+30</f>
        <v>44619</v>
      </c>
      <c r="H110" s="73" t="s">
        <v>138</v>
      </c>
      <c r="I110" s="74" t="s">
        <v>34</v>
      </c>
      <c r="J110" s="64">
        <v>112</v>
      </c>
      <c r="K110" s="87">
        <v>112.4</v>
      </c>
      <c r="L110" s="76">
        <f t="shared" si="21"/>
        <v>528000</v>
      </c>
      <c r="M110" s="67"/>
      <c r="N110" s="67"/>
      <c r="O110" s="68"/>
      <c r="P110" s="69" t="str">
        <f t="shared" si="19"/>
        <v>Piutang Usaha</v>
      </c>
      <c r="Q110" s="61"/>
      <c r="X110" s="70"/>
    </row>
    <row r="111" spans="1:24" s="12" customFormat="1" hidden="1" x14ac:dyDescent="0.25">
      <c r="A111" s="60" t="str">
        <f t="shared" si="17"/>
        <v>104112</v>
      </c>
      <c r="B111" s="60">
        <f>COUNTIF($J$7:J111,J111)</f>
        <v>104</v>
      </c>
      <c r="C111" s="60" t="str">
        <f t="shared" si="18"/>
        <v>4112,35</v>
      </c>
      <c r="D111" s="60">
        <f>COUNTIF($K$7:K111,K111)</f>
        <v>4</v>
      </c>
      <c r="E111" s="61"/>
      <c r="F111" s="71">
        <v>44592</v>
      </c>
      <c r="G111" s="72" t="s">
        <v>13</v>
      </c>
      <c r="H111" s="73" t="s">
        <v>139</v>
      </c>
      <c r="I111" s="74" t="s">
        <v>44</v>
      </c>
      <c r="J111" s="64">
        <v>112</v>
      </c>
      <c r="K111" s="87">
        <v>112.35</v>
      </c>
      <c r="L111" s="76">
        <f t="shared" si="21"/>
        <v>9599999</v>
      </c>
      <c r="M111" s="67"/>
      <c r="N111" s="67"/>
      <c r="O111" s="68"/>
      <c r="P111" s="69" t="str">
        <f t="shared" si="19"/>
        <v>Piutang Usaha</v>
      </c>
      <c r="Q111" s="61"/>
      <c r="X111" s="70"/>
    </row>
    <row r="112" spans="1:24" s="12" customFormat="1" hidden="1" x14ac:dyDescent="0.25">
      <c r="A112" s="60" t="str">
        <f t="shared" si="17"/>
        <v>105112</v>
      </c>
      <c r="B112" s="60">
        <f>COUNTIF($J$7:J112,J112)</f>
        <v>105</v>
      </c>
      <c r="C112" s="60" t="str">
        <f t="shared" si="18"/>
        <v>7112,45</v>
      </c>
      <c r="D112" s="60">
        <f>COUNTIF($K$7:K112,K112)</f>
        <v>7</v>
      </c>
      <c r="E112" s="61"/>
      <c r="F112" s="71">
        <v>44592</v>
      </c>
      <c r="G112" s="72">
        <f>F112+30</f>
        <v>44622</v>
      </c>
      <c r="H112" s="73" t="s">
        <v>140</v>
      </c>
      <c r="I112" s="74" t="s">
        <v>32</v>
      </c>
      <c r="J112" s="64">
        <v>112</v>
      </c>
      <c r="K112" s="87">
        <v>112.45</v>
      </c>
      <c r="L112" s="76">
        <f t="shared" si="21"/>
        <v>9240000</v>
      </c>
      <c r="M112" s="67"/>
      <c r="N112" s="67"/>
      <c r="O112" s="68"/>
      <c r="P112" s="69" t="str">
        <f t="shared" si="19"/>
        <v>Piutang Usaha</v>
      </c>
      <c r="Q112" s="61"/>
      <c r="X112" s="70"/>
    </row>
    <row r="113" spans="1:24" s="12" customFormat="1" hidden="1" x14ac:dyDescent="0.25">
      <c r="A113" s="60" t="str">
        <f t="shared" si="17"/>
        <v>106112</v>
      </c>
      <c r="B113" s="60">
        <f>COUNTIF($J$7:J113,J113)</f>
        <v>106</v>
      </c>
      <c r="C113" s="60" t="str">
        <f t="shared" si="18"/>
        <v>4112,43</v>
      </c>
      <c r="D113" s="60">
        <f>COUNTIF($K$7:K113,K113)</f>
        <v>4</v>
      </c>
      <c r="E113" s="61"/>
      <c r="F113" s="71">
        <v>44592</v>
      </c>
      <c r="G113" s="72">
        <f>F113+30</f>
        <v>44622</v>
      </c>
      <c r="H113" s="73" t="s">
        <v>141</v>
      </c>
      <c r="I113" s="74" t="s">
        <v>41</v>
      </c>
      <c r="J113" s="64">
        <v>112</v>
      </c>
      <c r="K113" s="87">
        <v>112.43</v>
      </c>
      <c r="L113" s="76">
        <f t="shared" si="21"/>
        <v>4488000</v>
      </c>
      <c r="M113" s="67"/>
      <c r="N113" s="67"/>
      <c r="O113" s="68"/>
      <c r="P113" s="69" t="str">
        <f t="shared" si="19"/>
        <v>Piutang Usaha</v>
      </c>
      <c r="Q113" s="61"/>
      <c r="X113" s="70"/>
    </row>
    <row r="114" spans="1:24" s="12" customFormat="1" hidden="1" x14ac:dyDescent="0.25">
      <c r="A114" s="60" t="str">
        <f t="shared" si="17"/>
        <v>107112</v>
      </c>
      <c r="B114" s="60">
        <f>COUNTIF($J$7:J114,J114)</f>
        <v>107</v>
      </c>
      <c r="C114" s="60" t="str">
        <f t="shared" si="18"/>
        <v>5112,43</v>
      </c>
      <c r="D114" s="60">
        <f>COUNTIF($K$7:K114,K114)</f>
        <v>5</v>
      </c>
      <c r="E114" s="61"/>
      <c r="F114" s="71">
        <v>44592</v>
      </c>
      <c r="G114" s="72">
        <f t="shared" ref="G114" si="30">F114+30</f>
        <v>44622</v>
      </c>
      <c r="H114" s="73" t="s">
        <v>142</v>
      </c>
      <c r="I114" s="74" t="s">
        <v>41</v>
      </c>
      <c r="J114" s="64">
        <v>112</v>
      </c>
      <c r="K114" s="87">
        <v>112.43</v>
      </c>
      <c r="L114" s="76">
        <f t="shared" si="21"/>
        <v>46563000</v>
      </c>
      <c r="M114" s="67"/>
      <c r="N114" s="67"/>
      <c r="O114" s="68"/>
      <c r="P114" s="69" t="str">
        <f t="shared" si="19"/>
        <v>Piutang Usaha</v>
      </c>
      <c r="Q114" s="61"/>
      <c r="X114" s="70"/>
    </row>
    <row r="115" spans="1:24" s="12" customFormat="1" hidden="1" x14ac:dyDescent="0.25">
      <c r="A115" s="60" t="str">
        <f t="shared" si="17"/>
        <v>108112</v>
      </c>
      <c r="B115" s="60">
        <f>COUNTIF($J$7:J115,J115)</f>
        <v>108</v>
      </c>
      <c r="C115" s="60" t="str">
        <f t="shared" si="18"/>
        <v>11112,06</v>
      </c>
      <c r="D115" s="60">
        <f>COUNTIF($K$7:K115,K115)</f>
        <v>11</v>
      </c>
      <c r="E115" s="61"/>
      <c r="F115" s="71">
        <v>44592</v>
      </c>
      <c r="G115" s="72">
        <f t="shared" ref="G115:G116" si="31">F115+45</f>
        <v>44637</v>
      </c>
      <c r="H115" s="73" t="s">
        <v>143</v>
      </c>
      <c r="I115" s="74" t="s">
        <v>37</v>
      </c>
      <c r="J115" s="64">
        <v>112</v>
      </c>
      <c r="K115" s="86">
        <v>112.06</v>
      </c>
      <c r="L115" s="76">
        <f t="shared" si="21"/>
        <v>1996500</v>
      </c>
      <c r="M115" s="67"/>
      <c r="N115" s="67"/>
      <c r="O115" s="68"/>
      <c r="P115" s="69" t="str">
        <f t="shared" si="19"/>
        <v>Piutang Usaha</v>
      </c>
      <c r="Q115" s="61"/>
      <c r="X115" s="70"/>
    </row>
    <row r="116" spans="1:24" s="12" customFormat="1" hidden="1" x14ac:dyDescent="0.25">
      <c r="A116" s="60" t="str">
        <f t="shared" si="17"/>
        <v>109112</v>
      </c>
      <c r="B116" s="60">
        <f>COUNTIF($J$7:J116,J116)</f>
        <v>109</v>
      </c>
      <c r="C116" s="60" t="str">
        <f t="shared" si="18"/>
        <v>12112,06</v>
      </c>
      <c r="D116" s="60">
        <f>COUNTIF($K$7:K116,K116)</f>
        <v>12</v>
      </c>
      <c r="E116" s="61"/>
      <c r="F116" s="71">
        <v>44592</v>
      </c>
      <c r="G116" s="72">
        <f t="shared" si="31"/>
        <v>44637</v>
      </c>
      <c r="H116" s="73" t="s">
        <v>144</v>
      </c>
      <c r="I116" s="74" t="s">
        <v>37</v>
      </c>
      <c r="J116" s="64">
        <v>112</v>
      </c>
      <c r="K116" s="86">
        <v>112.06</v>
      </c>
      <c r="L116" s="76">
        <f t="shared" si="21"/>
        <v>24024000</v>
      </c>
      <c r="M116" s="67"/>
      <c r="N116" s="67"/>
      <c r="O116" s="68"/>
      <c r="P116" s="69" t="str">
        <f t="shared" si="19"/>
        <v>Piutang Usaha</v>
      </c>
      <c r="Q116" s="61"/>
      <c r="X116" s="70"/>
    </row>
    <row r="117" spans="1:24" s="12" customFormat="1" hidden="1" x14ac:dyDescent="0.25">
      <c r="A117" s="60" t="str">
        <f t="shared" si="17"/>
        <v>110112</v>
      </c>
      <c r="B117" s="60">
        <f>COUNTIF($J$7:J117,J117)</f>
        <v>110</v>
      </c>
      <c r="C117" s="60" t="str">
        <f t="shared" si="18"/>
        <v>6112,3</v>
      </c>
      <c r="D117" s="60">
        <f>COUNTIF($K$7:K117,K117)</f>
        <v>6</v>
      </c>
      <c r="E117" s="61"/>
      <c r="F117" s="71">
        <v>44592</v>
      </c>
      <c r="G117" s="72">
        <f t="shared" ref="G117:G118" si="32">F117+30</f>
        <v>44622</v>
      </c>
      <c r="H117" s="73" t="s">
        <v>145</v>
      </c>
      <c r="I117" s="74" t="s">
        <v>48</v>
      </c>
      <c r="J117" s="64">
        <v>112</v>
      </c>
      <c r="K117" s="87">
        <v>112.3</v>
      </c>
      <c r="L117" s="76">
        <f t="shared" si="21"/>
        <v>2145000</v>
      </c>
      <c r="M117" s="67"/>
      <c r="N117" s="67"/>
      <c r="O117" s="68"/>
      <c r="P117" s="69" t="str">
        <f t="shared" si="19"/>
        <v>Piutang Usaha</v>
      </c>
      <c r="Q117" s="61"/>
      <c r="X117" s="70"/>
    </row>
    <row r="118" spans="1:24" s="12" customFormat="1" hidden="1" x14ac:dyDescent="0.25">
      <c r="A118" s="60" t="str">
        <f t="shared" si="17"/>
        <v>111112</v>
      </c>
      <c r="B118" s="60">
        <f>COUNTIF($J$7:J118,J118)</f>
        <v>111</v>
      </c>
      <c r="C118" s="60" t="str">
        <f t="shared" si="18"/>
        <v>7112,3</v>
      </c>
      <c r="D118" s="60">
        <f>COUNTIF($K$7:K118,K118)</f>
        <v>7</v>
      </c>
      <c r="E118" s="61"/>
      <c r="F118" s="71">
        <v>44592</v>
      </c>
      <c r="G118" s="72">
        <f t="shared" si="32"/>
        <v>44622</v>
      </c>
      <c r="H118" s="73" t="s">
        <v>146</v>
      </c>
      <c r="I118" s="74" t="s">
        <v>48</v>
      </c>
      <c r="J118" s="64">
        <v>112</v>
      </c>
      <c r="K118" s="87">
        <v>112.3</v>
      </c>
      <c r="L118" s="76">
        <f t="shared" si="21"/>
        <v>4290000</v>
      </c>
      <c r="M118" s="67"/>
      <c r="N118" s="67"/>
      <c r="O118" s="68"/>
      <c r="P118" s="69" t="str">
        <f t="shared" si="19"/>
        <v>Piutang Usaha</v>
      </c>
      <c r="Q118" s="61"/>
      <c r="X118" s="70"/>
    </row>
    <row r="119" spans="1:24" s="12" customFormat="1" hidden="1" x14ac:dyDescent="0.25">
      <c r="A119" s="60" t="str">
        <f t="shared" si="17"/>
        <v>112112</v>
      </c>
      <c r="B119" s="60">
        <f>COUNTIF($J$7:J119,J119)</f>
        <v>112</v>
      </c>
      <c r="C119" s="60" t="str">
        <f t="shared" si="18"/>
        <v>3112,07</v>
      </c>
      <c r="D119" s="60">
        <f>COUNTIF($K$7:K119,K119)</f>
        <v>3</v>
      </c>
      <c r="E119" s="61"/>
      <c r="F119" s="71">
        <v>44581</v>
      </c>
      <c r="G119" s="72">
        <f t="shared" ref="G119:G120" si="33">F119+1</f>
        <v>44582</v>
      </c>
      <c r="H119" s="73" t="s">
        <v>147</v>
      </c>
      <c r="I119" s="74" t="s">
        <v>99</v>
      </c>
      <c r="J119" s="64">
        <v>112</v>
      </c>
      <c r="K119" s="88">
        <v>112.07</v>
      </c>
      <c r="L119" s="76">
        <f t="shared" si="21"/>
        <v>4262500</v>
      </c>
      <c r="M119" s="67"/>
      <c r="N119" s="67"/>
      <c r="O119" s="68"/>
      <c r="P119" s="69" t="str">
        <f t="shared" si="19"/>
        <v>Piutang Usaha</v>
      </c>
      <c r="Q119" s="61"/>
      <c r="X119" s="70"/>
    </row>
    <row r="120" spans="1:24" s="12" customFormat="1" hidden="1" x14ac:dyDescent="0.25">
      <c r="A120" s="60" t="str">
        <f t="shared" si="17"/>
        <v>113112</v>
      </c>
      <c r="B120" s="60">
        <f>COUNTIF($J$7:J120,J120)</f>
        <v>113</v>
      </c>
      <c r="C120" s="60" t="str">
        <f t="shared" si="18"/>
        <v>4112,07</v>
      </c>
      <c r="D120" s="60">
        <f>COUNTIF($K$7:K120,K120)</f>
        <v>4</v>
      </c>
      <c r="E120" s="61"/>
      <c r="F120" s="71">
        <v>44587</v>
      </c>
      <c r="G120" s="72">
        <f t="shared" si="33"/>
        <v>44588</v>
      </c>
      <c r="H120" s="73" t="s">
        <v>148</v>
      </c>
      <c r="I120" s="74" t="s">
        <v>99</v>
      </c>
      <c r="J120" s="64">
        <v>112</v>
      </c>
      <c r="K120" s="88">
        <v>112.07</v>
      </c>
      <c r="L120" s="76">
        <f t="shared" si="21"/>
        <v>4262500</v>
      </c>
      <c r="M120" s="67"/>
      <c r="N120" s="67"/>
      <c r="O120" s="68"/>
      <c r="P120" s="69" t="str">
        <f t="shared" si="19"/>
        <v>Piutang Usaha</v>
      </c>
      <c r="Q120" s="61"/>
      <c r="X120" s="70"/>
    </row>
    <row r="121" spans="1:24" s="12" customFormat="1" hidden="1" x14ac:dyDescent="0.25">
      <c r="A121" s="60" t="str">
        <f t="shared" si="17"/>
        <v>1211,01</v>
      </c>
      <c r="B121" s="60">
        <f>COUNTIF($J$7:J121,J121)</f>
        <v>1</v>
      </c>
      <c r="C121" s="60" t="str">
        <f t="shared" si="18"/>
        <v>0</v>
      </c>
      <c r="D121" s="60">
        <f>COUNTIF($K$7:K121,K121)</f>
        <v>0</v>
      </c>
      <c r="E121" s="61"/>
      <c r="F121" s="71">
        <v>44564</v>
      </c>
      <c r="G121" s="72"/>
      <c r="H121" s="73" t="s">
        <v>14</v>
      </c>
      <c r="I121" s="74" t="s">
        <v>15</v>
      </c>
      <c r="J121" s="67">
        <v>211.01</v>
      </c>
      <c r="K121" s="89"/>
      <c r="L121" s="66"/>
      <c r="M121" s="67">
        <v>454545</v>
      </c>
      <c r="N121" s="77" t="s">
        <v>16</v>
      </c>
      <c r="O121" s="68"/>
      <c r="P121" s="69" t="str">
        <f t="shared" si="19"/>
        <v>Hutang Pajak PPN</v>
      </c>
      <c r="Q121" s="61"/>
      <c r="X121" s="70"/>
    </row>
    <row r="122" spans="1:24" s="12" customFormat="1" hidden="1" x14ac:dyDescent="0.25">
      <c r="A122" s="60" t="str">
        <f t="shared" si="17"/>
        <v>2211,01</v>
      </c>
      <c r="B122" s="60">
        <f>COUNTIF($J$7:J122,J122)</f>
        <v>2</v>
      </c>
      <c r="C122" s="60" t="str">
        <f t="shared" si="18"/>
        <v>0</v>
      </c>
      <c r="D122" s="60">
        <f>COUNTIF($K$7:K122,K122)</f>
        <v>0</v>
      </c>
      <c r="E122" s="61"/>
      <c r="F122" s="71">
        <v>44564</v>
      </c>
      <c r="G122" s="72"/>
      <c r="H122" s="73" t="s">
        <v>17</v>
      </c>
      <c r="I122" s="74" t="s">
        <v>18</v>
      </c>
      <c r="J122" s="67">
        <v>211.01</v>
      </c>
      <c r="K122" s="65"/>
      <c r="L122" s="66"/>
      <c r="M122" s="67">
        <v>5102250</v>
      </c>
      <c r="N122" s="77" t="s">
        <v>16</v>
      </c>
      <c r="O122" s="68"/>
      <c r="P122" s="69" t="str">
        <f t="shared" si="19"/>
        <v>Hutang Pajak PPN</v>
      </c>
      <c r="Q122" s="61"/>
      <c r="X122" s="70"/>
    </row>
    <row r="123" spans="1:24" s="12" customFormat="1" hidden="1" x14ac:dyDescent="0.25">
      <c r="A123" s="60" t="str">
        <f t="shared" si="17"/>
        <v>3211,01</v>
      </c>
      <c r="B123" s="60">
        <f>COUNTIF($J$7:J123,J123)</f>
        <v>3</v>
      </c>
      <c r="C123" s="60" t="str">
        <f t="shared" si="18"/>
        <v>0</v>
      </c>
      <c r="D123" s="60">
        <f>COUNTIF($K$7:K123,K123)</f>
        <v>0</v>
      </c>
      <c r="E123" s="61"/>
      <c r="F123" s="71">
        <v>44564</v>
      </c>
      <c r="G123" s="72"/>
      <c r="H123" s="73" t="s">
        <v>19</v>
      </c>
      <c r="I123" s="74" t="s">
        <v>20</v>
      </c>
      <c r="J123" s="67">
        <v>211.01</v>
      </c>
      <c r="K123" s="65"/>
      <c r="L123" s="66"/>
      <c r="M123" s="67">
        <v>358500</v>
      </c>
      <c r="N123" s="77" t="s">
        <v>16</v>
      </c>
      <c r="O123" s="68"/>
      <c r="P123" s="69" t="str">
        <f t="shared" si="19"/>
        <v>Hutang Pajak PPN</v>
      </c>
      <c r="Q123" s="61"/>
      <c r="X123" s="70"/>
    </row>
    <row r="124" spans="1:24" s="12" customFormat="1" hidden="1" x14ac:dyDescent="0.25">
      <c r="A124" s="60" t="str">
        <f t="shared" si="17"/>
        <v>4211,01</v>
      </c>
      <c r="B124" s="60">
        <f>COUNTIF($J$7:J124,J124)</f>
        <v>4</v>
      </c>
      <c r="C124" s="60" t="str">
        <f t="shared" si="18"/>
        <v>0</v>
      </c>
      <c r="D124" s="60">
        <f>COUNTIF($K$7:K124,K124)</f>
        <v>0</v>
      </c>
      <c r="E124" s="61"/>
      <c r="F124" s="71">
        <v>44564</v>
      </c>
      <c r="G124" s="72"/>
      <c r="H124" s="73" t="s">
        <v>21</v>
      </c>
      <c r="I124" s="74" t="s">
        <v>20</v>
      </c>
      <c r="J124" s="67">
        <v>211.01</v>
      </c>
      <c r="K124" s="65"/>
      <c r="L124" s="66"/>
      <c r="M124" s="67">
        <v>717000</v>
      </c>
      <c r="N124" s="77" t="s">
        <v>16</v>
      </c>
      <c r="O124" s="68"/>
      <c r="P124" s="69" t="str">
        <f t="shared" si="19"/>
        <v>Hutang Pajak PPN</v>
      </c>
      <c r="Q124" s="61"/>
      <c r="X124" s="70"/>
    </row>
    <row r="125" spans="1:24" s="12" customFormat="1" hidden="1" x14ac:dyDescent="0.25">
      <c r="A125" s="60" t="str">
        <f t="shared" si="17"/>
        <v>5211,01</v>
      </c>
      <c r="B125" s="60">
        <f>COUNTIF($J$7:J125,J125)</f>
        <v>5</v>
      </c>
      <c r="C125" s="60" t="str">
        <f t="shared" si="18"/>
        <v>0</v>
      </c>
      <c r="D125" s="60">
        <f>COUNTIF($K$7:K125,K125)</f>
        <v>0</v>
      </c>
      <c r="E125" s="61"/>
      <c r="F125" s="71">
        <v>44564</v>
      </c>
      <c r="G125" s="72"/>
      <c r="H125" s="73" t="s">
        <v>22</v>
      </c>
      <c r="I125" s="74" t="s">
        <v>20</v>
      </c>
      <c r="J125" s="67">
        <v>211.01</v>
      </c>
      <c r="K125" s="65"/>
      <c r="L125" s="66"/>
      <c r="M125" s="67">
        <v>537750</v>
      </c>
      <c r="N125" s="77" t="s">
        <v>16</v>
      </c>
      <c r="O125" s="68"/>
      <c r="P125" s="69" t="str">
        <f t="shared" si="19"/>
        <v>Hutang Pajak PPN</v>
      </c>
      <c r="Q125" s="61"/>
      <c r="X125" s="70"/>
    </row>
    <row r="126" spans="1:24" s="12" customFormat="1" hidden="1" x14ac:dyDescent="0.25">
      <c r="A126" s="60" t="str">
        <f t="shared" si="17"/>
        <v>6211,01</v>
      </c>
      <c r="B126" s="60">
        <f>COUNTIF($J$7:J126,J126)</f>
        <v>6</v>
      </c>
      <c r="C126" s="60" t="str">
        <f t="shared" si="18"/>
        <v>0</v>
      </c>
      <c r="D126" s="60">
        <f>COUNTIF($K$7:K126,K126)</f>
        <v>0</v>
      </c>
      <c r="E126" s="61"/>
      <c r="F126" s="71">
        <v>44564</v>
      </c>
      <c r="G126" s="72"/>
      <c r="H126" s="73" t="s">
        <v>23</v>
      </c>
      <c r="I126" s="74" t="s">
        <v>20</v>
      </c>
      <c r="J126" s="67">
        <v>211.01</v>
      </c>
      <c r="K126" s="65"/>
      <c r="L126" s="66"/>
      <c r="M126" s="67">
        <v>152250</v>
      </c>
      <c r="N126" s="77" t="s">
        <v>16</v>
      </c>
      <c r="O126" s="68"/>
      <c r="P126" s="69" t="str">
        <f t="shared" si="19"/>
        <v>Hutang Pajak PPN</v>
      </c>
      <c r="Q126" s="61"/>
      <c r="X126" s="70"/>
    </row>
    <row r="127" spans="1:24" s="12" customFormat="1" hidden="1" x14ac:dyDescent="0.25">
      <c r="A127" s="60" t="str">
        <f t="shared" si="17"/>
        <v>7211,01</v>
      </c>
      <c r="B127" s="60">
        <f>COUNTIF($J$7:J127,J127)</f>
        <v>7</v>
      </c>
      <c r="C127" s="60" t="str">
        <f t="shared" si="18"/>
        <v>0</v>
      </c>
      <c r="D127" s="60">
        <f>COUNTIF($K$7:K127,K127)</f>
        <v>0</v>
      </c>
      <c r="E127" s="61"/>
      <c r="F127" s="71">
        <v>44564</v>
      </c>
      <c r="G127" s="72"/>
      <c r="H127" s="73" t="s">
        <v>24</v>
      </c>
      <c r="I127" s="74" t="s">
        <v>20</v>
      </c>
      <c r="J127" s="67">
        <v>211.01</v>
      </c>
      <c r="K127" s="65"/>
      <c r="L127" s="66"/>
      <c r="M127" s="67">
        <v>152250</v>
      </c>
      <c r="N127" s="77" t="s">
        <v>16</v>
      </c>
      <c r="O127" s="68"/>
      <c r="P127" s="69" t="str">
        <f t="shared" si="19"/>
        <v>Hutang Pajak PPN</v>
      </c>
      <c r="Q127" s="61"/>
      <c r="X127" s="70"/>
    </row>
    <row r="128" spans="1:24" s="12" customFormat="1" hidden="1" x14ac:dyDescent="0.25">
      <c r="A128" s="60" t="str">
        <f t="shared" si="17"/>
        <v>8211,01</v>
      </c>
      <c r="B128" s="60">
        <f>COUNTIF($J$7:J128,J128)</f>
        <v>8</v>
      </c>
      <c r="C128" s="60" t="str">
        <f t="shared" si="18"/>
        <v>0</v>
      </c>
      <c r="D128" s="60">
        <f>COUNTIF($K$7:K128,K128)</f>
        <v>0</v>
      </c>
      <c r="E128" s="61"/>
      <c r="F128" s="71">
        <v>44564</v>
      </c>
      <c r="G128" s="72"/>
      <c r="H128" s="73" t="s">
        <v>25</v>
      </c>
      <c r="I128" s="74" t="s">
        <v>26</v>
      </c>
      <c r="J128" s="67">
        <v>211.01</v>
      </c>
      <c r="K128" s="65"/>
      <c r="L128" s="66"/>
      <c r="M128" s="67">
        <v>438000</v>
      </c>
      <c r="N128" s="77" t="s">
        <v>16</v>
      </c>
      <c r="O128" s="68"/>
      <c r="P128" s="69" t="str">
        <f t="shared" si="19"/>
        <v>Hutang Pajak PPN</v>
      </c>
      <c r="Q128" s="61"/>
      <c r="X128" s="70"/>
    </row>
    <row r="129" spans="1:24" s="12" customFormat="1" ht="30" hidden="1" x14ac:dyDescent="0.25">
      <c r="A129" s="60" t="str">
        <f t="shared" si="17"/>
        <v>9211,01</v>
      </c>
      <c r="B129" s="60">
        <f>COUNTIF($J$7:J129,J129)</f>
        <v>9</v>
      </c>
      <c r="C129" s="60" t="str">
        <f t="shared" si="18"/>
        <v>0</v>
      </c>
      <c r="D129" s="60">
        <f>COUNTIF($K$7:K129,K129)</f>
        <v>0</v>
      </c>
      <c r="E129" s="61"/>
      <c r="F129" s="71">
        <v>44564</v>
      </c>
      <c r="G129" s="72"/>
      <c r="H129" s="73" t="s">
        <v>27</v>
      </c>
      <c r="I129" s="74" t="s">
        <v>28</v>
      </c>
      <c r="J129" s="67">
        <v>211.01</v>
      </c>
      <c r="K129" s="65"/>
      <c r="L129" s="66"/>
      <c r="M129" s="67">
        <v>960000</v>
      </c>
      <c r="N129" s="77" t="s">
        <v>16</v>
      </c>
      <c r="O129" s="68"/>
      <c r="P129" s="69" t="str">
        <f t="shared" si="19"/>
        <v>Hutang Pajak PPN</v>
      </c>
      <c r="Q129" s="61"/>
      <c r="X129" s="70"/>
    </row>
    <row r="130" spans="1:24" s="12" customFormat="1" hidden="1" x14ac:dyDescent="0.25">
      <c r="A130" s="60" t="str">
        <f t="shared" si="17"/>
        <v>10211,01</v>
      </c>
      <c r="B130" s="60">
        <f>COUNTIF($J$7:J130,J130)</f>
        <v>10</v>
      </c>
      <c r="C130" s="60" t="str">
        <f t="shared" si="18"/>
        <v>0</v>
      </c>
      <c r="D130" s="60">
        <f>COUNTIF($K$7:K130,K130)</f>
        <v>0</v>
      </c>
      <c r="E130" s="61"/>
      <c r="F130" s="71">
        <v>44565</v>
      </c>
      <c r="G130" s="72"/>
      <c r="H130" s="73" t="s">
        <v>29</v>
      </c>
      <c r="I130" s="74" t="s">
        <v>18</v>
      </c>
      <c r="J130" s="67">
        <v>211.01</v>
      </c>
      <c r="K130" s="65"/>
      <c r="L130" s="66"/>
      <c r="M130" s="67">
        <v>820000</v>
      </c>
      <c r="N130" s="67" t="s">
        <v>16</v>
      </c>
      <c r="O130" s="68"/>
      <c r="P130" s="69" t="str">
        <f t="shared" si="19"/>
        <v>Hutang Pajak PPN</v>
      </c>
      <c r="Q130" s="61"/>
      <c r="X130" s="70"/>
    </row>
    <row r="131" spans="1:24" s="12" customFormat="1" hidden="1" x14ac:dyDescent="0.25">
      <c r="A131" s="60" t="str">
        <f t="shared" si="17"/>
        <v>11211,01</v>
      </c>
      <c r="B131" s="60">
        <f>COUNTIF($J$7:J131,J131)</f>
        <v>11</v>
      </c>
      <c r="C131" s="60" t="str">
        <f t="shared" si="18"/>
        <v>0</v>
      </c>
      <c r="D131" s="60">
        <f>COUNTIF($K$7:K131,K131)</f>
        <v>0</v>
      </c>
      <c r="E131" s="61"/>
      <c r="F131" s="71">
        <v>44565</v>
      </c>
      <c r="G131" s="72"/>
      <c r="H131" s="73" t="s">
        <v>30</v>
      </c>
      <c r="I131" s="74" t="s">
        <v>18</v>
      </c>
      <c r="J131" s="67">
        <v>211.01</v>
      </c>
      <c r="K131" s="65"/>
      <c r="L131" s="66"/>
      <c r="M131" s="67">
        <v>1522500</v>
      </c>
      <c r="N131" s="67" t="s">
        <v>16</v>
      </c>
      <c r="O131" s="68"/>
      <c r="P131" s="69" t="str">
        <f t="shared" si="19"/>
        <v>Hutang Pajak PPN</v>
      </c>
      <c r="Q131" s="61"/>
      <c r="X131" s="70"/>
    </row>
    <row r="132" spans="1:24" s="12" customFormat="1" hidden="1" x14ac:dyDescent="0.25">
      <c r="A132" s="60" t="str">
        <f t="shared" si="17"/>
        <v>12211,01</v>
      </c>
      <c r="B132" s="60">
        <f>COUNTIF($J$7:J132,J132)</f>
        <v>12</v>
      </c>
      <c r="C132" s="60" t="str">
        <f t="shared" si="18"/>
        <v>0</v>
      </c>
      <c r="D132" s="60">
        <f>COUNTIF($K$7:K132,K132)</f>
        <v>0</v>
      </c>
      <c r="E132" s="61"/>
      <c r="F132" s="71">
        <v>44565</v>
      </c>
      <c r="G132" s="72"/>
      <c r="H132" s="73" t="s">
        <v>31</v>
      </c>
      <c r="I132" s="74" t="s">
        <v>32</v>
      </c>
      <c r="J132" s="67">
        <v>211.01</v>
      </c>
      <c r="K132" s="65"/>
      <c r="L132" s="66"/>
      <c r="M132" s="67">
        <v>984000</v>
      </c>
      <c r="N132" s="67" t="s">
        <v>16</v>
      </c>
      <c r="O132" s="68"/>
      <c r="P132" s="69" t="str">
        <f t="shared" si="19"/>
        <v>Hutang Pajak PPN</v>
      </c>
      <c r="Q132" s="61"/>
      <c r="X132" s="70"/>
    </row>
    <row r="133" spans="1:24" s="12" customFormat="1" ht="30" hidden="1" x14ac:dyDescent="0.25">
      <c r="A133" s="60" t="str">
        <f t="shared" si="17"/>
        <v>13211,01</v>
      </c>
      <c r="B133" s="60">
        <f>COUNTIF($J$7:J133,J133)</f>
        <v>13</v>
      </c>
      <c r="C133" s="60" t="str">
        <f t="shared" si="18"/>
        <v>0</v>
      </c>
      <c r="D133" s="60">
        <f>COUNTIF($K$7:K133,K133)</f>
        <v>0</v>
      </c>
      <c r="E133" s="61"/>
      <c r="F133" s="71">
        <v>44565</v>
      </c>
      <c r="G133" s="72"/>
      <c r="H133" s="73" t="s">
        <v>33</v>
      </c>
      <c r="I133" s="74" t="s">
        <v>34</v>
      </c>
      <c r="J133" s="67">
        <v>211.01</v>
      </c>
      <c r="K133" s="65"/>
      <c r="L133" s="66"/>
      <c r="M133" s="67">
        <f>359775-35</f>
        <v>359740</v>
      </c>
      <c r="N133" s="67" t="s">
        <v>16</v>
      </c>
      <c r="O133" s="68"/>
      <c r="P133" s="69" t="str">
        <f t="shared" si="19"/>
        <v>Hutang Pajak PPN</v>
      </c>
      <c r="Q133" s="61"/>
      <c r="X133" s="70"/>
    </row>
    <row r="134" spans="1:24" s="12" customFormat="1" hidden="1" x14ac:dyDescent="0.25">
      <c r="A134" s="60" t="str">
        <f t="shared" si="17"/>
        <v>14211,01</v>
      </c>
      <c r="B134" s="60">
        <f>COUNTIF($J$7:J134,J134)</f>
        <v>14</v>
      </c>
      <c r="C134" s="60" t="str">
        <f t="shared" si="18"/>
        <v>0</v>
      </c>
      <c r="D134" s="60">
        <f>COUNTIF($K$7:K134,K134)</f>
        <v>0</v>
      </c>
      <c r="E134" s="61"/>
      <c r="F134" s="71">
        <v>44566</v>
      </c>
      <c r="G134" s="72"/>
      <c r="H134" s="73" t="s">
        <v>35</v>
      </c>
      <c r="I134" s="74" t="s">
        <v>20</v>
      </c>
      <c r="J134" s="67">
        <v>211.01</v>
      </c>
      <c r="K134" s="65"/>
      <c r="L134" s="66"/>
      <c r="M134" s="67">
        <v>804750</v>
      </c>
      <c r="N134" s="67" t="s">
        <v>16</v>
      </c>
      <c r="O134" s="68"/>
      <c r="P134" s="69" t="str">
        <f t="shared" si="19"/>
        <v>Hutang Pajak PPN</v>
      </c>
      <c r="Q134" s="61"/>
      <c r="X134" s="70"/>
    </row>
    <row r="135" spans="1:24" s="12" customFormat="1" hidden="1" x14ac:dyDescent="0.25">
      <c r="A135" s="60" t="str">
        <f t="shared" ref="A135:A198" si="34">B135&amp;J135</f>
        <v>15211,01</v>
      </c>
      <c r="B135" s="60">
        <f>COUNTIF($J$7:J135,J135)</f>
        <v>15</v>
      </c>
      <c r="C135" s="60" t="str">
        <f t="shared" ref="C135:C198" si="35">D135&amp;K135</f>
        <v>0</v>
      </c>
      <c r="D135" s="60">
        <f>COUNTIF($K$7:K135,K135)</f>
        <v>0</v>
      </c>
      <c r="E135" s="61"/>
      <c r="F135" s="71">
        <v>44566</v>
      </c>
      <c r="G135" s="72"/>
      <c r="H135" s="73" t="s">
        <v>36</v>
      </c>
      <c r="I135" s="74" t="s">
        <v>37</v>
      </c>
      <c r="J135" s="67">
        <v>211.01</v>
      </c>
      <c r="K135" s="65"/>
      <c r="L135" s="66"/>
      <c r="M135" s="67">
        <v>1400000</v>
      </c>
      <c r="N135" s="67" t="s">
        <v>16</v>
      </c>
      <c r="O135" s="68"/>
      <c r="P135" s="69" t="str">
        <f t="shared" ref="P135:P198" si="36">IF(J135=0,"-",+VLOOKUP(J135,DAF_AKUN,2,FALSE))</f>
        <v>Hutang Pajak PPN</v>
      </c>
      <c r="Q135" s="61"/>
      <c r="X135" s="70"/>
    </row>
    <row r="136" spans="1:24" s="12" customFormat="1" ht="30" hidden="1" x14ac:dyDescent="0.25">
      <c r="A136" s="60" t="str">
        <f t="shared" si="34"/>
        <v>16211,01</v>
      </c>
      <c r="B136" s="60">
        <f>COUNTIF($J$7:J136,J136)</f>
        <v>16</v>
      </c>
      <c r="C136" s="60" t="str">
        <f t="shared" si="35"/>
        <v>0</v>
      </c>
      <c r="D136" s="60">
        <f>COUNTIF($K$7:K136,K136)</f>
        <v>0</v>
      </c>
      <c r="E136" s="61"/>
      <c r="F136" s="71">
        <v>44566</v>
      </c>
      <c r="G136" s="72"/>
      <c r="H136" s="73" t="s">
        <v>38</v>
      </c>
      <c r="I136" s="74" t="s">
        <v>34</v>
      </c>
      <c r="J136" s="67">
        <v>211.01</v>
      </c>
      <c r="K136" s="65"/>
      <c r="L136" s="66"/>
      <c r="M136" s="67">
        <v>900000</v>
      </c>
      <c r="N136" s="67" t="s">
        <v>16</v>
      </c>
      <c r="O136" s="68"/>
      <c r="P136" s="69" t="str">
        <f t="shared" si="36"/>
        <v>Hutang Pajak PPN</v>
      </c>
      <c r="Q136" s="61"/>
      <c r="X136" s="70"/>
    </row>
    <row r="137" spans="1:24" s="12" customFormat="1" ht="30" hidden="1" x14ac:dyDescent="0.25">
      <c r="A137" s="60" t="str">
        <f t="shared" si="34"/>
        <v>17211,01</v>
      </c>
      <c r="B137" s="60">
        <f>COUNTIF($J$7:J137,J137)</f>
        <v>17</v>
      </c>
      <c r="C137" s="60" t="str">
        <f t="shared" si="35"/>
        <v>0</v>
      </c>
      <c r="D137" s="60">
        <f>COUNTIF($K$7:K137,K137)</f>
        <v>0</v>
      </c>
      <c r="E137" s="61"/>
      <c r="F137" s="71">
        <v>44566</v>
      </c>
      <c r="G137" s="72"/>
      <c r="H137" s="73" t="s">
        <v>39</v>
      </c>
      <c r="I137" s="74" t="s">
        <v>34</v>
      </c>
      <c r="J137" s="67">
        <v>211.01</v>
      </c>
      <c r="K137" s="65"/>
      <c r="L137" s="66"/>
      <c r="M137" s="67">
        <v>179887</v>
      </c>
      <c r="N137" s="67" t="s">
        <v>16</v>
      </c>
      <c r="O137" s="68"/>
      <c r="P137" s="69" t="str">
        <f t="shared" si="36"/>
        <v>Hutang Pajak PPN</v>
      </c>
      <c r="Q137" s="61"/>
      <c r="X137" s="70"/>
    </row>
    <row r="138" spans="1:24" s="12" customFormat="1" x14ac:dyDescent="0.25">
      <c r="A138" s="60" t="str">
        <f t="shared" si="34"/>
        <v>18211,01</v>
      </c>
      <c r="B138" s="60">
        <f>COUNTIF($J$7:J138,J138)</f>
        <v>18</v>
      </c>
      <c r="C138" s="60" t="str">
        <f t="shared" si="35"/>
        <v>0</v>
      </c>
      <c r="D138" s="60">
        <f>COUNTIF($K$7:K138,K138)</f>
        <v>0</v>
      </c>
      <c r="E138" s="61"/>
      <c r="F138" s="71">
        <v>44567</v>
      </c>
      <c r="G138" s="72"/>
      <c r="H138" s="73" t="s">
        <v>40</v>
      </c>
      <c r="I138" s="74" t="s">
        <v>41</v>
      </c>
      <c r="J138" s="67">
        <v>211.01</v>
      </c>
      <c r="K138" s="65"/>
      <c r="L138" s="66"/>
      <c r="M138" s="67">
        <v>3264000</v>
      </c>
      <c r="N138" s="67" t="s">
        <v>16</v>
      </c>
      <c r="O138" s="68"/>
      <c r="P138" s="69" t="str">
        <f t="shared" si="36"/>
        <v>Hutang Pajak PPN</v>
      </c>
      <c r="Q138" s="61"/>
      <c r="X138" s="70"/>
    </row>
    <row r="139" spans="1:24" s="12" customFormat="1" x14ac:dyDescent="0.25">
      <c r="A139" s="60" t="str">
        <f t="shared" si="34"/>
        <v>19211,01</v>
      </c>
      <c r="B139" s="60">
        <f>COUNTIF($J$7:J139,J139)</f>
        <v>19</v>
      </c>
      <c r="C139" s="60" t="str">
        <f t="shared" si="35"/>
        <v>0</v>
      </c>
      <c r="D139" s="60">
        <f>COUNTIF($K$7:K139,K139)</f>
        <v>0</v>
      </c>
      <c r="E139" s="61"/>
      <c r="F139" s="71">
        <v>44567</v>
      </c>
      <c r="G139" s="72"/>
      <c r="H139" s="73" t="s">
        <v>42</v>
      </c>
      <c r="I139" s="74" t="s">
        <v>37</v>
      </c>
      <c r="J139" s="67">
        <v>211.01</v>
      </c>
      <c r="K139" s="65"/>
      <c r="L139" s="66"/>
      <c r="M139" s="67">
        <v>876000</v>
      </c>
      <c r="N139" s="67" t="s">
        <v>16</v>
      </c>
      <c r="O139" s="68"/>
      <c r="P139" s="69" t="str">
        <f t="shared" si="36"/>
        <v>Hutang Pajak PPN</v>
      </c>
      <c r="Q139" s="61"/>
      <c r="X139" s="70"/>
    </row>
    <row r="140" spans="1:24" s="12" customFormat="1" hidden="1" x14ac:dyDescent="0.25">
      <c r="A140" s="60" t="str">
        <f t="shared" si="34"/>
        <v>20211,01</v>
      </c>
      <c r="B140" s="60">
        <f>COUNTIF($J$7:J140,J140)</f>
        <v>20</v>
      </c>
      <c r="C140" s="60" t="str">
        <f t="shared" si="35"/>
        <v>0</v>
      </c>
      <c r="D140" s="60">
        <f>COUNTIF($K$7:K140,K140)</f>
        <v>0</v>
      </c>
      <c r="E140" s="61"/>
      <c r="F140" s="71">
        <v>44568</v>
      </c>
      <c r="G140" s="72"/>
      <c r="H140" s="73" t="s">
        <v>43</v>
      </c>
      <c r="I140" s="74" t="s">
        <v>44</v>
      </c>
      <c r="J140" s="67">
        <v>211.01</v>
      </c>
      <c r="K140" s="65"/>
      <c r="L140" s="66"/>
      <c r="M140" s="67">
        <v>872727</v>
      </c>
      <c r="N140" s="67"/>
      <c r="O140" s="68"/>
      <c r="P140" s="69" t="str">
        <f t="shared" si="36"/>
        <v>Hutang Pajak PPN</v>
      </c>
      <c r="Q140" s="61"/>
      <c r="X140" s="70"/>
    </row>
    <row r="141" spans="1:24" s="12" customFormat="1" ht="30" hidden="1" x14ac:dyDescent="0.25">
      <c r="A141" s="60" t="str">
        <f t="shared" si="34"/>
        <v>21211,01</v>
      </c>
      <c r="B141" s="60">
        <f>COUNTIF($J$7:J141,J141)</f>
        <v>21</v>
      </c>
      <c r="C141" s="60" t="str">
        <f t="shared" si="35"/>
        <v>0</v>
      </c>
      <c r="D141" s="60">
        <f>COUNTIF($K$7:K141,K141)</f>
        <v>0</v>
      </c>
      <c r="E141" s="61"/>
      <c r="F141" s="71">
        <v>44568</v>
      </c>
      <c r="G141" s="72"/>
      <c r="H141" s="73" t="s">
        <v>45</v>
      </c>
      <c r="I141" s="74" t="s">
        <v>34</v>
      </c>
      <c r="J141" s="67">
        <v>211.01</v>
      </c>
      <c r="K141" s="65"/>
      <c r="L141" s="66"/>
      <c r="M141" s="67">
        <v>432000</v>
      </c>
      <c r="N141" s="67"/>
      <c r="O141" s="68"/>
      <c r="P141" s="69" t="str">
        <f t="shared" si="36"/>
        <v>Hutang Pajak PPN</v>
      </c>
      <c r="Q141" s="61"/>
      <c r="X141" s="70"/>
    </row>
    <row r="142" spans="1:24" s="12" customFormat="1" ht="30" hidden="1" x14ac:dyDescent="0.25">
      <c r="A142" s="60" t="str">
        <f t="shared" si="34"/>
        <v>22211,01</v>
      </c>
      <c r="B142" s="60">
        <f>COUNTIF($J$7:J142,J142)</f>
        <v>22</v>
      </c>
      <c r="C142" s="60" t="str">
        <f t="shared" si="35"/>
        <v>0</v>
      </c>
      <c r="D142" s="60">
        <f>COUNTIF($K$7:K142,K142)</f>
        <v>0</v>
      </c>
      <c r="E142" s="61"/>
      <c r="F142" s="71">
        <v>44568</v>
      </c>
      <c r="G142" s="72"/>
      <c r="H142" s="73" t="s">
        <v>46</v>
      </c>
      <c r="I142" s="74" t="s">
        <v>34</v>
      </c>
      <c r="J142" s="67">
        <v>211.01</v>
      </c>
      <c r="K142" s="65"/>
      <c r="L142" s="66"/>
      <c r="M142" s="67">
        <v>720000</v>
      </c>
      <c r="N142" s="67"/>
      <c r="O142" s="68"/>
      <c r="P142" s="69" t="str">
        <f t="shared" si="36"/>
        <v>Hutang Pajak PPN</v>
      </c>
      <c r="Q142" s="61"/>
      <c r="X142" s="70"/>
    </row>
    <row r="143" spans="1:24" s="12" customFormat="1" hidden="1" x14ac:dyDescent="0.25">
      <c r="A143" s="60" t="str">
        <f t="shared" si="34"/>
        <v>23211,01</v>
      </c>
      <c r="B143" s="60">
        <f>COUNTIF($J$7:J143,J143)</f>
        <v>23</v>
      </c>
      <c r="C143" s="60" t="str">
        <f t="shared" si="35"/>
        <v>0</v>
      </c>
      <c r="D143" s="60">
        <f>COUNTIF($K$7:K143,K143)</f>
        <v>0</v>
      </c>
      <c r="E143" s="61"/>
      <c r="F143" s="71">
        <v>44568</v>
      </c>
      <c r="G143" s="72"/>
      <c r="H143" s="73" t="s">
        <v>47</v>
      </c>
      <c r="I143" s="74" t="s">
        <v>48</v>
      </c>
      <c r="J143" s="67">
        <v>211.01</v>
      </c>
      <c r="K143" s="65"/>
      <c r="L143" s="66"/>
      <c r="M143" s="67">
        <v>195000</v>
      </c>
      <c r="N143" s="67"/>
      <c r="O143" s="68"/>
      <c r="P143" s="69" t="str">
        <f t="shared" si="36"/>
        <v>Hutang Pajak PPN</v>
      </c>
      <c r="Q143" s="61"/>
      <c r="X143" s="70"/>
    </row>
    <row r="144" spans="1:24" s="12" customFormat="1" hidden="1" x14ac:dyDescent="0.25">
      <c r="A144" s="60" t="str">
        <f t="shared" si="34"/>
        <v>24211,01</v>
      </c>
      <c r="B144" s="60">
        <f>COUNTIF($J$7:J144,J144)</f>
        <v>24</v>
      </c>
      <c r="C144" s="60" t="str">
        <f t="shared" si="35"/>
        <v>0</v>
      </c>
      <c r="D144" s="60">
        <f>COUNTIF($K$7:K144,K144)</f>
        <v>0</v>
      </c>
      <c r="E144" s="61"/>
      <c r="F144" s="71">
        <v>44568</v>
      </c>
      <c r="G144" s="72"/>
      <c r="H144" s="73" t="s">
        <v>49</v>
      </c>
      <c r="I144" s="74" t="s">
        <v>18</v>
      </c>
      <c r="J144" s="67">
        <v>211.01</v>
      </c>
      <c r="K144" s="65"/>
      <c r="L144" s="66"/>
      <c r="M144" s="67">
        <v>902000</v>
      </c>
      <c r="N144" s="67"/>
      <c r="O144" s="68"/>
      <c r="P144" s="69" t="str">
        <f t="shared" si="36"/>
        <v>Hutang Pajak PPN</v>
      </c>
      <c r="Q144" s="61"/>
      <c r="X144" s="70"/>
    </row>
    <row r="145" spans="1:24" s="12" customFormat="1" hidden="1" x14ac:dyDescent="0.25">
      <c r="A145" s="60" t="str">
        <f t="shared" si="34"/>
        <v>25211,01</v>
      </c>
      <c r="B145" s="60">
        <f>COUNTIF($J$7:J145,J145)</f>
        <v>25</v>
      </c>
      <c r="C145" s="60" t="str">
        <f t="shared" si="35"/>
        <v>0</v>
      </c>
      <c r="D145" s="60">
        <f>COUNTIF($K$7:K145,K145)</f>
        <v>0</v>
      </c>
      <c r="E145" s="61"/>
      <c r="F145" s="71">
        <v>44571</v>
      </c>
      <c r="G145" s="72"/>
      <c r="H145" s="73" t="s">
        <v>50</v>
      </c>
      <c r="I145" s="74" t="s">
        <v>37</v>
      </c>
      <c r="J145" s="67">
        <v>211.01</v>
      </c>
      <c r="K145" s="65"/>
      <c r="L145" s="66"/>
      <c r="M145" s="67">
        <v>1239000</v>
      </c>
      <c r="N145" s="67"/>
      <c r="O145" s="68"/>
      <c r="P145" s="69" t="str">
        <f t="shared" si="36"/>
        <v>Hutang Pajak PPN</v>
      </c>
      <c r="Q145" s="61"/>
      <c r="X145" s="70"/>
    </row>
    <row r="146" spans="1:24" s="12" customFormat="1" hidden="1" x14ac:dyDescent="0.25">
      <c r="A146" s="60" t="str">
        <f t="shared" si="34"/>
        <v>26211,01</v>
      </c>
      <c r="B146" s="60">
        <f>COUNTIF($J$7:J146,J146)</f>
        <v>26</v>
      </c>
      <c r="C146" s="60" t="str">
        <f t="shared" si="35"/>
        <v>0</v>
      </c>
      <c r="D146" s="60">
        <f>COUNTIF($K$7:K146,K146)</f>
        <v>0</v>
      </c>
      <c r="E146" s="61"/>
      <c r="F146" s="71">
        <v>44571</v>
      </c>
      <c r="G146" s="72"/>
      <c r="H146" s="73" t="s">
        <v>51</v>
      </c>
      <c r="I146" s="74" t="s">
        <v>37</v>
      </c>
      <c r="J146" s="67">
        <v>211.01</v>
      </c>
      <c r="K146" s="65"/>
      <c r="L146" s="66"/>
      <c r="M146" s="67">
        <v>787500</v>
      </c>
      <c r="N146" s="67"/>
      <c r="O146" s="68"/>
      <c r="P146" s="69" t="str">
        <f t="shared" si="36"/>
        <v>Hutang Pajak PPN</v>
      </c>
      <c r="Q146" s="61"/>
      <c r="X146" s="70"/>
    </row>
    <row r="147" spans="1:24" s="12" customFormat="1" hidden="1" x14ac:dyDescent="0.25">
      <c r="A147" s="60" t="str">
        <f t="shared" si="34"/>
        <v>27211,01</v>
      </c>
      <c r="B147" s="60">
        <f>COUNTIF($J$7:J147,J147)</f>
        <v>27</v>
      </c>
      <c r="C147" s="60" t="str">
        <f t="shared" si="35"/>
        <v>0</v>
      </c>
      <c r="D147" s="60">
        <f>COUNTIF($K$7:K147,K147)</f>
        <v>0</v>
      </c>
      <c r="E147" s="61"/>
      <c r="F147" s="71">
        <v>44571</v>
      </c>
      <c r="G147" s="72"/>
      <c r="H147" s="73" t="s">
        <v>52</v>
      </c>
      <c r="I147" s="74" t="s">
        <v>53</v>
      </c>
      <c r="J147" s="67">
        <v>211.01</v>
      </c>
      <c r="K147" s="65"/>
      <c r="L147" s="66"/>
      <c r="M147" s="67">
        <v>330000</v>
      </c>
      <c r="N147" s="67"/>
      <c r="O147" s="68"/>
      <c r="P147" s="69" t="str">
        <f t="shared" si="36"/>
        <v>Hutang Pajak PPN</v>
      </c>
      <c r="Q147" s="61"/>
      <c r="X147" s="70"/>
    </row>
    <row r="148" spans="1:24" s="12" customFormat="1" ht="30" hidden="1" x14ac:dyDescent="0.25">
      <c r="A148" s="60" t="str">
        <f t="shared" si="34"/>
        <v>28211,01</v>
      </c>
      <c r="B148" s="60">
        <f>COUNTIF($J$7:J148,J148)</f>
        <v>28</v>
      </c>
      <c r="C148" s="60" t="str">
        <f t="shared" si="35"/>
        <v>0</v>
      </c>
      <c r="D148" s="60">
        <f>COUNTIF($K$7:K148,K148)</f>
        <v>0</v>
      </c>
      <c r="E148" s="61"/>
      <c r="F148" s="71">
        <v>44571</v>
      </c>
      <c r="G148" s="72"/>
      <c r="H148" s="73" t="s">
        <v>54</v>
      </c>
      <c r="I148" s="74" t="s">
        <v>34</v>
      </c>
      <c r="J148" s="67">
        <v>211.01</v>
      </c>
      <c r="K148" s="65"/>
      <c r="L148" s="66"/>
      <c r="M148" s="67">
        <v>1020000</v>
      </c>
      <c r="N148" s="67"/>
      <c r="O148" s="68"/>
      <c r="P148" s="69" t="str">
        <f t="shared" si="36"/>
        <v>Hutang Pajak PPN</v>
      </c>
      <c r="Q148" s="61"/>
      <c r="X148" s="70"/>
    </row>
    <row r="149" spans="1:24" s="12" customFormat="1" ht="30" hidden="1" x14ac:dyDescent="0.25">
      <c r="A149" s="60" t="str">
        <f t="shared" si="34"/>
        <v>29211,01</v>
      </c>
      <c r="B149" s="60">
        <f>COUNTIF($J$7:J149,J149)</f>
        <v>29</v>
      </c>
      <c r="C149" s="60" t="str">
        <f t="shared" si="35"/>
        <v>0</v>
      </c>
      <c r="D149" s="60">
        <f>COUNTIF($K$7:K149,K149)</f>
        <v>0</v>
      </c>
      <c r="E149" s="61"/>
      <c r="F149" s="71">
        <v>44572</v>
      </c>
      <c r="G149" s="72"/>
      <c r="H149" s="73" t="s">
        <v>55</v>
      </c>
      <c r="I149" s="74" t="s">
        <v>34</v>
      </c>
      <c r="J149" s="67">
        <v>211.01</v>
      </c>
      <c r="K149" s="65"/>
      <c r="L149" s="66"/>
      <c r="M149" s="67">
        <v>72000</v>
      </c>
      <c r="N149" s="67"/>
      <c r="O149" s="68"/>
      <c r="P149" s="69" t="str">
        <f t="shared" si="36"/>
        <v>Hutang Pajak PPN</v>
      </c>
      <c r="Q149" s="61"/>
      <c r="X149" s="70"/>
    </row>
    <row r="150" spans="1:24" s="12" customFormat="1" hidden="1" x14ac:dyDescent="0.25">
      <c r="A150" s="60" t="str">
        <f t="shared" si="34"/>
        <v>30211,01</v>
      </c>
      <c r="B150" s="60">
        <f>COUNTIF($J$7:J150,J150)</f>
        <v>30</v>
      </c>
      <c r="C150" s="60" t="str">
        <f t="shared" si="35"/>
        <v>0</v>
      </c>
      <c r="D150" s="60">
        <f>COUNTIF($K$7:K150,K150)</f>
        <v>0</v>
      </c>
      <c r="E150" s="61"/>
      <c r="F150" s="71">
        <v>44572</v>
      </c>
      <c r="G150" s="72"/>
      <c r="H150" s="73" t="s">
        <v>56</v>
      </c>
      <c r="I150" s="74" t="s">
        <v>48</v>
      </c>
      <c r="J150" s="67">
        <v>211.01</v>
      </c>
      <c r="K150" s="65"/>
      <c r="L150" s="66"/>
      <c r="M150" s="67">
        <v>195000</v>
      </c>
      <c r="N150" s="67"/>
      <c r="O150" s="68"/>
      <c r="P150" s="69" t="str">
        <f t="shared" si="36"/>
        <v>Hutang Pajak PPN</v>
      </c>
      <c r="Q150" s="61"/>
      <c r="X150" s="70"/>
    </row>
    <row r="151" spans="1:24" s="12" customFormat="1" hidden="1" x14ac:dyDescent="0.25">
      <c r="A151" s="60" t="str">
        <f t="shared" si="34"/>
        <v>31211,01</v>
      </c>
      <c r="B151" s="60">
        <f>COUNTIF($J$7:J151,J151)</f>
        <v>31</v>
      </c>
      <c r="C151" s="60" t="str">
        <f t="shared" si="35"/>
        <v>0</v>
      </c>
      <c r="D151" s="60">
        <f>COUNTIF($K$7:K151,K151)</f>
        <v>0</v>
      </c>
      <c r="E151" s="61"/>
      <c r="F151" s="71">
        <v>44573</v>
      </c>
      <c r="G151" s="72"/>
      <c r="H151" s="73" t="s">
        <v>57</v>
      </c>
      <c r="I151" s="74" t="s">
        <v>58</v>
      </c>
      <c r="J151" s="67">
        <v>211.01</v>
      </c>
      <c r="K151" s="65"/>
      <c r="L151" s="66"/>
      <c r="M151" s="67">
        <v>175000</v>
      </c>
      <c r="N151" s="67"/>
      <c r="O151" s="68"/>
      <c r="P151" s="69" t="str">
        <f t="shared" si="36"/>
        <v>Hutang Pajak PPN</v>
      </c>
      <c r="Q151" s="61"/>
      <c r="X151" s="70"/>
    </row>
    <row r="152" spans="1:24" s="12" customFormat="1" hidden="1" x14ac:dyDescent="0.25">
      <c r="A152" s="60" t="str">
        <f t="shared" si="34"/>
        <v>32211,01</v>
      </c>
      <c r="B152" s="60">
        <f>COUNTIF($J$7:J152,J152)</f>
        <v>32</v>
      </c>
      <c r="C152" s="60" t="str">
        <f t="shared" si="35"/>
        <v>0</v>
      </c>
      <c r="D152" s="60">
        <f>COUNTIF($K$7:K152,K152)</f>
        <v>0</v>
      </c>
      <c r="E152" s="61"/>
      <c r="F152" s="71">
        <v>44573</v>
      </c>
      <c r="G152" s="72"/>
      <c r="H152" s="73" t="s">
        <v>59</v>
      </c>
      <c r="I152" s="74" t="s">
        <v>32</v>
      </c>
      <c r="J152" s="67">
        <v>211.01</v>
      </c>
      <c r="K152" s="65"/>
      <c r="L152" s="66"/>
      <c r="M152" s="67">
        <v>1236000</v>
      </c>
      <c r="N152" s="67"/>
      <c r="O152" s="68"/>
      <c r="P152" s="69" t="str">
        <f t="shared" si="36"/>
        <v>Hutang Pajak PPN</v>
      </c>
      <c r="Q152" s="61"/>
      <c r="X152" s="70"/>
    </row>
    <row r="153" spans="1:24" s="12" customFormat="1" hidden="1" x14ac:dyDescent="0.25">
      <c r="A153" s="60" t="str">
        <f t="shared" si="34"/>
        <v>33211,01</v>
      </c>
      <c r="B153" s="60">
        <f>COUNTIF($J$7:J153,J153)</f>
        <v>33</v>
      </c>
      <c r="C153" s="60" t="str">
        <f t="shared" si="35"/>
        <v>0</v>
      </c>
      <c r="D153" s="60">
        <f>COUNTIF($K$7:K153,K153)</f>
        <v>0</v>
      </c>
      <c r="E153" s="61"/>
      <c r="F153" s="71">
        <v>44573</v>
      </c>
      <c r="G153" s="72"/>
      <c r="H153" s="73" t="s">
        <v>60</v>
      </c>
      <c r="I153" s="74" t="s">
        <v>37</v>
      </c>
      <c r="J153" s="67">
        <v>211.01</v>
      </c>
      <c r="K153" s="65"/>
      <c r="L153" s="66"/>
      <c r="M153" s="67">
        <v>1821000</v>
      </c>
      <c r="N153" s="67"/>
      <c r="O153" s="68"/>
      <c r="P153" s="69" t="str">
        <f t="shared" si="36"/>
        <v>Hutang Pajak PPN</v>
      </c>
      <c r="Q153" s="61"/>
      <c r="X153" s="70"/>
    </row>
    <row r="154" spans="1:24" s="12" customFormat="1" hidden="1" x14ac:dyDescent="0.25">
      <c r="A154" s="60" t="str">
        <f t="shared" si="34"/>
        <v>34211,01</v>
      </c>
      <c r="B154" s="60">
        <f>COUNTIF($J$7:J154,J154)</f>
        <v>34</v>
      </c>
      <c r="C154" s="60" t="str">
        <f t="shared" si="35"/>
        <v>0</v>
      </c>
      <c r="D154" s="60">
        <f>COUNTIF($K$7:K154,K154)</f>
        <v>0</v>
      </c>
      <c r="E154" s="61"/>
      <c r="F154" s="71">
        <v>44573</v>
      </c>
      <c r="G154" s="72"/>
      <c r="H154" s="73" t="s">
        <v>61</v>
      </c>
      <c r="I154" s="74" t="s">
        <v>62</v>
      </c>
      <c r="J154" s="67">
        <v>211.01</v>
      </c>
      <c r="K154" s="65"/>
      <c r="L154" s="66"/>
      <c r="M154" s="67">
        <v>480000</v>
      </c>
      <c r="N154" s="67"/>
      <c r="O154" s="68"/>
      <c r="P154" s="69" t="str">
        <f t="shared" si="36"/>
        <v>Hutang Pajak PPN</v>
      </c>
      <c r="Q154" s="61"/>
      <c r="X154" s="70"/>
    </row>
    <row r="155" spans="1:24" s="12" customFormat="1" ht="30" hidden="1" x14ac:dyDescent="0.25">
      <c r="A155" s="60" t="str">
        <f t="shared" si="34"/>
        <v>35211,01</v>
      </c>
      <c r="B155" s="60">
        <f>COUNTIF($J$7:J155,J155)</f>
        <v>35</v>
      </c>
      <c r="C155" s="60" t="str">
        <f t="shared" si="35"/>
        <v>0</v>
      </c>
      <c r="D155" s="60">
        <f>COUNTIF($K$7:K155,K155)</f>
        <v>0</v>
      </c>
      <c r="E155" s="61"/>
      <c r="F155" s="71">
        <v>44573</v>
      </c>
      <c r="G155" s="72"/>
      <c r="H155" s="73" t="s">
        <v>63</v>
      </c>
      <c r="I155" s="74" t="s">
        <v>34</v>
      </c>
      <c r="J155" s="67">
        <v>211.01</v>
      </c>
      <c r="K155" s="65"/>
      <c r="L155" s="66"/>
      <c r="M155" s="67">
        <v>96000</v>
      </c>
      <c r="N155" s="67"/>
      <c r="O155" s="68"/>
      <c r="P155" s="69" t="str">
        <f t="shared" si="36"/>
        <v>Hutang Pajak PPN</v>
      </c>
      <c r="Q155" s="61"/>
      <c r="X155" s="70"/>
    </row>
    <row r="156" spans="1:24" s="12" customFormat="1" ht="30" hidden="1" x14ac:dyDescent="0.25">
      <c r="A156" s="60" t="str">
        <f t="shared" si="34"/>
        <v>36211,01</v>
      </c>
      <c r="B156" s="60">
        <f>COUNTIF($J$7:J156,J156)</f>
        <v>36</v>
      </c>
      <c r="C156" s="60" t="str">
        <f t="shared" si="35"/>
        <v>0</v>
      </c>
      <c r="D156" s="60">
        <f>COUNTIF($K$7:K156,K156)</f>
        <v>0</v>
      </c>
      <c r="E156" s="61"/>
      <c r="F156" s="71">
        <v>44573</v>
      </c>
      <c r="G156" s="72"/>
      <c r="H156" s="73" t="s">
        <v>64</v>
      </c>
      <c r="I156" s="74" t="s">
        <v>34</v>
      </c>
      <c r="J156" s="67">
        <v>211.01</v>
      </c>
      <c r="K156" s="65"/>
      <c r="L156" s="66"/>
      <c r="M156" s="67">
        <v>384998</v>
      </c>
      <c r="N156" s="67"/>
      <c r="O156" s="68"/>
      <c r="P156" s="69" t="str">
        <f t="shared" si="36"/>
        <v>Hutang Pajak PPN</v>
      </c>
      <c r="Q156" s="61"/>
      <c r="X156" s="70"/>
    </row>
    <row r="157" spans="1:24" s="12" customFormat="1" ht="30" hidden="1" x14ac:dyDescent="0.25">
      <c r="A157" s="60" t="str">
        <f t="shared" si="34"/>
        <v>37211,01</v>
      </c>
      <c r="B157" s="60">
        <f>COUNTIF($J$7:J157,J157)</f>
        <v>37</v>
      </c>
      <c r="C157" s="60" t="str">
        <f t="shared" si="35"/>
        <v>0</v>
      </c>
      <c r="D157" s="60">
        <f>COUNTIF($K$7:K157,K157)</f>
        <v>0</v>
      </c>
      <c r="E157" s="61"/>
      <c r="F157" s="71">
        <v>44573</v>
      </c>
      <c r="G157" s="72"/>
      <c r="H157" s="73" t="s">
        <v>65</v>
      </c>
      <c r="I157" s="74" t="s">
        <v>34</v>
      </c>
      <c r="J157" s="67">
        <v>211.01</v>
      </c>
      <c r="K157" s="65"/>
      <c r="L157" s="66"/>
      <c r="M157" s="67">
        <v>684000</v>
      </c>
      <c r="N157" s="67"/>
      <c r="O157" s="68"/>
      <c r="P157" s="69" t="str">
        <f t="shared" si="36"/>
        <v>Hutang Pajak PPN</v>
      </c>
      <c r="Q157" s="61"/>
      <c r="X157" s="70"/>
    </row>
    <row r="158" spans="1:24" s="12" customFormat="1" hidden="1" x14ac:dyDescent="0.25">
      <c r="A158" s="60" t="str">
        <f t="shared" si="34"/>
        <v>38211,01</v>
      </c>
      <c r="B158" s="60">
        <f>COUNTIF($J$7:J158,J158)</f>
        <v>38</v>
      </c>
      <c r="C158" s="60" t="str">
        <f t="shared" si="35"/>
        <v>0</v>
      </c>
      <c r="D158" s="60">
        <f>COUNTIF($K$7:K158,K158)</f>
        <v>0</v>
      </c>
      <c r="E158" s="61"/>
      <c r="F158" s="71">
        <v>44573</v>
      </c>
      <c r="G158" s="72"/>
      <c r="H158" s="73" t="s">
        <v>66</v>
      </c>
      <c r="I158" s="74" t="s">
        <v>18</v>
      </c>
      <c r="J158" s="67">
        <v>211.01</v>
      </c>
      <c r="K158" s="65"/>
      <c r="L158" s="66"/>
      <c r="M158" s="67">
        <v>1792500</v>
      </c>
      <c r="N158" s="67"/>
      <c r="O158" s="68"/>
      <c r="P158" s="69" t="str">
        <f t="shared" si="36"/>
        <v>Hutang Pajak PPN</v>
      </c>
      <c r="Q158" s="61"/>
      <c r="X158" s="70"/>
    </row>
    <row r="159" spans="1:24" s="12" customFormat="1" hidden="1" x14ac:dyDescent="0.25">
      <c r="A159" s="60" t="str">
        <f t="shared" si="34"/>
        <v>39211,01</v>
      </c>
      <c r="B159" s="60">
        <f>COUNTIF($J$7:J159,J159)</f>
        <v>39</v>
      </c>
      <c r="C159" s="60" t="str">
        <f t="shared" si="35"/>
        <v>0</v>
      </c>
      <c r="D159" s="60">
        <f>COUNTIF($K$7:K159,K159)</f>
        <v>0</v>
      </c>
      <c r="E159" s="61"/>
      <c r="F159" s="71">
        <v>44573</v>
      </c>
      <c r="G159" s="72"/>
      <c r="H159" s="79" t="s">
        <v>67</v>
      </c>
      <c r="I159" s="74" t="s">
        <v>48</v>
      </c>
      <c r="J159" s="67">
        <v>211.01</v>
      </c>
      <c r="K159" s="65"/>
      <c r="L159" s="66"/>
      <c r="M159" s="67">
        <v>1312500</v>
      </c>
      <c r="N159" s="67"/>
      <c r="O159" s="68"/>
      <c r="P159" s="69" t="str">
        <f t="shared" si="36"/>
        <v>Hutang Pajak PPN</v>
      </c>
      <c r="Q159" s="61"/>
      <c r="X159" s="70"/>
    </row>
    <row r="160" spans="1:24" s="12" customFormat="1" hidden="1" x14ac:dyDescent="0.25">
      <c r="A160" s="60" t="str">
        <f t="shared" si="34"/>
        <v>40211,01</v>
      </c>
      <c r="B160" s="60">
        <f>COUNTIF($J$7:J160,J160)</f>
        <v>40</v>
      </c>
      <c r="C160" s="60" t="str">
        <f t="shared" si="35"/>
        <v>0</v>
      </c>
      <c r="D160" s="60">
        <f>COUNTIF($K$7:K160,K160)</f>
        <v>0</v>
      </c>
      <c r="E160" s="61"/>
      <c r="F160" s="71">
        <v>44573</v>
      </c>
      <c r="G160" s="72"/>
      <c r="H160" s="79" t="s">
        <v>68</v>
      </c>
      <c r="I160" s="81" t="s">
        <v>69</v>
      </c>
      <c r="J160" s="67">
        <v>211.01</v>
      </c>
      <c r="K160" s="65"/>
      <c r="L160" s="66"/>
      <c r="M160" s="67">
        <v>1223250</v>
      </c>
      <c r="N160" s="67"/>
      <c r="O160" s="68"/>
      <c r="P160" s="69" t="str">
        <f t="shared" si="36"/>
        <v>Hutang Pajak PPN</v>
      </c>
      <c r="Q160" s="61"/>
      <c r="X160" s="70"/>
    </row>
    <row r="161" spans="1:24" s="12" customFormat="1" hidden="1" x14ac:dyDescent="0.25">
      <c r="A161" s="60" t="str">
        <f t="shared" si="34"/>
        <v>41211,01</v>
      </c>
      <c r="B161" s="60">
        <f>COUNTIF($J$7:J161,J161)</f>
        <v>41</v>
      </c>
      <c r="C161" s="60" t="str">
        <f t="shared" si="35"/>
        <v>0</v>
      </c>
      <c r="D161" s="60">
        <f>COUNTIF($K$7:K161,K161)</f>
        <v>0</v>
      </c>
      <c r="E161" s="61"/>
      <c r="F161" s="71">
        <v>44573</v>
      </c>
      <c r="G161" s="72"/>
      <c r="H161" s="79" t="s">
        <v>70</v>
      </c>
      <c r="I161" s="81" t="s">
        <v>69</v>
      </c>
      <c r="J161" s="67">
        <v>211.01</v>
      </c>
      <c r="K161" s="65"/>
      <c r="L161" s="66"/>
      <c r="M161" s="67">
        <v>246000</v>
      </c>
      <c r="N161" s="67"/>
      <c r="O161" s="68"/>
      <c r="P161" s="69" t="str">
        <f t="shared" si="36"/>
        <v>Hutang Pajak PPN</v>
      </c>
      <c r="Q161" s="61"/>
      <c r="X161" s="70"/>
    </row>
    <row r="162" spans="1:24" s="12" customFormat="1" hidden="1" x14ac:dyDescent="0.25">
      <c r="A162" s="60" t="str">
        <f t="shared" si="34"/>
        <v>42211,01</v>
      </c>
      <c r="B162" s="60">
        <f>COUNTIF($J$7:J162,J162)</f>
        <v>42</v>
      </c>
      <c r="C162" s="60" t="str">
        <f t="shared" si="35"/>
        <v>0</v>
      </c>
      <c r="D162" s="60">
        <f>COUNTIF($K$7:K162,K162)</f>
        <v>0</v>
      </c>
      <c r="E162" s="61"/>
      <c r="F162" s="71">
        <v>44574</v>
      </c>
      <c r="G162" s="72"/>
      <c r="H162" s="73" t="s">
        <v>71</v>
      </c>
      <c r="I162" s="74" t="s">
        <v>72</v>
      </c>
      <c r="J162" s="67">
        <v>211.01</v>
      </c>
      <c r="K162" s="65"/>
      <c r="L162" s="66"/>
      <c r="M162" s="67">
        <v>4920000</v>
      </c>
      <c r="N162" s="67"/>
      <c r="O162" s="68"/>
      <c r="P162" s="69" t="str">
        <f t="shared" si="36"/>
        <v>Hutang Pajak PPN</v>
      </c>
      <c r="Q162" s="61"/>
      <c r="X162" s="70"/>
    </row>
    <row r="163" spans="1:24" s="12" customFormat="1" hidden="1" x14ac:dyDescent="0.25">
      <c r="A163" s="60" t="str">
        <f t="shared" si="34"/>
        <v>43211,01</v>
      </c>
      <c r="B163" s="60">
        <f>COUNTIF($J$7:J163,J163)</f>
        <v>43</v>
      </c>
      <c r="C163" s="60" t="str">
        <f t="shared" si="35"/>
        <v>0</v>
      </c>
      <c r="D163" s="60">
        <f>COUNTIF($K$7:K163,K163)</f>
        <v>0</v>
      </c>
      <c r="E163" s="61"/>
      <c r="F163" s="71">
        <v>44574</v>
      </c>
      <c r="G163" s="72"/>
      <c r="H163" s="73" t="s">
        <v>73</v>
      </c>
      <c r="I163" s="74" t="s">
        <v>18</v>
      </c>
      <c r="J163" s="67">
        <v>211.01</v>
      </c>
      <c r="K163" s="65"/>
      <c r="L163" s="66"/>
      <c r="M163" s="67">
        <v>4100000</v>
      </c>
      <c r="N163" s="67"/>
      <c r="O163" s="68"/>
      <c r="P163" s="69" t="str">
        <f t="shared" si="36"/>
        <v>Hutang Pajak PPN</v>
      </c>
      <c r="Q163" s="61"/>
      <c r="X163" s="70"/>
    </row>
    <row r="164" spans="1:24" s="12" customFormat="1" ht="30" hidden="1" x14ac:dyDescent="0.25">
      <c r="A164" s="60" t="str">
        <f t="shared" si="34"/>
        <v>44211,01</v>
      </c>
      <c r="B164" s="60">
        <f>COUNTIF($J$7:J164,J164)</f>
        <v>44</v>
      </c>
      <c r="C164" s="60" t="str">
        <f t="shared" si="35"/>
        <v>0</v>
      </c>
      <c r="D164" s="60">
        <f>COUNTIF($K$7:K164,K164)</f>
        <v>0</v>
      </c>
      <c r="E164" s="61"/>
      <c r="F164" s="71">
        <v>44574</v>
      </c>
      <c r="G164" s="72"/>
      <c r="H164" s="73" t="s">
        <v>74</v>
      </c>
      <c r="I164" s="74" t="s">
        <v>34</v>
      </c>
      <c r="J164" s="67">
        <v>211.01</v>
      </c>
      <c r="K164" s="65"/>
      <c r="L164" s="66"/>
      <c r="M164" s="67">
        <v>604997</v>
      </c>
      <c r="N164" s="67"/>
      <c r="O164" s="68"/>
      <c r="P164" s="69" t="str">
        <f t="shared" si="36"/>
        <v>Hutang Pajak PPN</v>
      </c>
      <c r="Q164" s="61"/>
      <c r="X164" s="70"/>
    </row>
    <row r="165" spans="1:24" s="12" customFormat="1" ht="30" hidden="1" x14ac:dyDescent="0.25">
      <c r="A165" s="60" t="str">
        <f t="shared" si="34"/>
        <v>45211,01</v>
      </c>
      <c r="B165" s="60">
        <f>COUNTIF($J$7:J165,J165)</f>
        <v>45</v>
      </c>
      <c r="C165" s="60" t="str">
        <f t="shared" si="35"/>
        <v>0</v>
      </c>
      <c r="D165" s="60">
        <f>COUNTIF($K$7:K165,K165)</f>
        <v>0</v>
      </c>
      <c r="E165" s="61"/>
      <c r="F165" s="71">
        <v>44574</v>
      </c>
      <c r="G165" s="72"/>
      <c r="H165" s="73" t="s">
        <v>75</v>
      </c>
      <c r="I165" s="74" t="s">
        <v>34</v>
      </c>
      <c r="J165" s="67">
        <v>211.01</v>
      </c>
      <c r="K165" s="65"/>
      <c r="L165" s="66"/>
      <c r="M165" s="67">
        <v>1320000</v>
      </c>
      <c r="N165" s="67"/>
      <c r="O165" s="68"/>
      <c r="P165" s="69" t="str">
        <f t="shared" si="36"/>
        <v>Hutang Pajak PPN</v>
      </c>
      <c r="Q165" s="61"/>
      <c r="X165" s="70"/>
    </row>
    <row r="166" spans="1:24" s="12" customFormat="1" ht="30" hidden="1" x14ac:dyDescent="0.25">
      <c r="A166" s="60" t="str">
        <f t="shared" si="34"/>
        <v>46211,01</v>
      </c>
      <c r="B166" s="60">
        <f>COUNTIF($J$7:J166,J166)</f>
        <v>46</v>
      </c>
      <c r="C166" s="60" t="str">
        <f t="shared" si="35"/>
        <v>0</v>
      </c>
      <c r="D166" s="60">
        <f>COUNTIF($K$7:K166,K166)</f>
        <v>0</v>
      </c>
      <c r="E166" s="61"/>
      <c r="F166" s="71">
        <v>44575</v>
      </c>
      <c r="G166" s="72"/>
      <c r="H166" s="73" t="s">
        <v>76</v>
      </c>
      <c r="I166" s="74" t="s">
        <v>34</v>
      </c>
      <c r="J166" s="67">
        <v>211.01</v>
      </c>
      <c r="K166" s="65"/>
      <c r="L166" s="66"/>
      <c r="M166" s="67">
        <v>72000</v>
      </c>
      <c r="N166" s="67"/>
      <c r="O166" s="68"/>
      <c r="P166" s="69" t="str">
        <f t="shared" si="36"/>
        <v>Hutang Pajak PPN</v>
      </c>
      <c r="Q166" s="61"/>
      <c r="X166" s="70"/>
    </row>
    <row r="167" spans="1:24" s="12" customFormat="1" hidden="1" x14ac:dyDescent="0.25">
      <c r="A167" s="60" t="str">
        <f t="shared" si="34"/>
        <v>47211,01</v>
      </c>
      <c r="B167" s="60">
        <f>COUNTIF($J$7:J167,J167)</f>
        <v>47</v>
      </c>
      <c r="C167" s="60" t="str">
        <f t="shared" si="35"/>
        <v>0</v>
      </c>
      <c r="D167" s="60">
        <f>COUNTIF($K$7:K167,K167)</f>
        <v>0</v>
      </c>
      <c r="E167" s="61"/>
      <c r="F167" s="71">
        <v>44575</v>
      </c>
      <c r="G167" s="72"/>
      <c r="H167" s="73" t="s">
        <v>77</v>
      </c>
      <c r="I167" s="74" t="s">
        <v>18</v>
      </c>
      <c r="J167" s="67">
        <v>211.01</v>
      </c>
      <c r="K167" s="65"/>
      <c r="L167" s="66"/>
      <c r="M167" s="67">
        <v>3057750</v>
      </c>
      <c r="N167" s="67"/>
      <c r="O167" s="68"/>
      <c r="P167" s="69" t="str">
        <f t="shared" si="36"/>
        <v>Hutang Pajak PPN</v>
      </c>
      <c r="Q167" s="61"/>
      <c r="X167" s="70"/>
    </row>
    <row r="168" spans="1:24" s="12" customFormat="1" hidden="1" x14ac:dyDescent="0.25">
      <c r="A168" s="60" t="str">
        <f t="shared" si="34"/>
        <v>48211,01</v>
      </c>
      <c r="B168" s="60">
        <f>COUNTIF($J$7:J168,J168)</f>
        <v>48</v>
      </c>
      <c r="C168" s="60" t="str">
        <f t="shared" si="35"/>
        <v>0</v>
      </c>
      <c r="D168" s="60">
        <f>COUNTIF($K$7:K168,K168)</f>
        <v>0</v>
      </c>
      <c r="E168" s="61"/>
      <c r="F168" s="71">
        <v>44575</v>
      </c>
      <c r="G168" s="72"/>
      <c r="H168" s="73" t="s">
        <v>78</v>
      </c>
      <c r="I168" s="74" t="s">
        <v>41</v>
      </c>
      <c r="J168" s="67">
        <v>211.01</v>
      </c>
      <c r="K168" s="65"/>
      <c r="L168" s="66"/>
      <c r="M168" s="67">
        <v>157500</v>
      </c>
      <c r="N168" s="67"/>
      <c r="O168" s="68"/>
      <c r="P168" s="69" t="str">
        <f t="shared" si="36"/>
        <v>Hutang Pajak PPN</v>
      </c>
      <c r="Q168" s="61"/>
      <c r="X168" s="70"/>
    </row>
    <row r="169" spans="1:24" s="12" customFormat="1" hidden="1" x14ac:dyDescent="0.25">
      <c r="A169" s="60" t="str">
        <f t="shared" si="34"/>
        <v>49211,01</v>
      </c>
      <c r="B169" s="60">
        <f>COUNTIF($J$7:J169,J169)</f>
        <v>49</v>
      </c>
      <c r="C169" s="60" t="str">
        <f t="shared" si="35"/>
        <v>0</v>
      </c>
      <c r="D169" s="60">
        <f>COUNTIF($K$7:K169,K169)</f>
        <v>0</v>
      </c>
      <c r="E169" s="61"/>
      <c r="F169" s="71">
        <v>44575</v>
      </c>
      <c r="G169" s="72"/>
      <c r="H169" s="73" t="s">
        <v>79</v>
      </c>
      <c r="I169" s="74" t="s">
        <v>48</v>
      </c>
      <c r="J169" s="67">
        <v>211.01</v>
      </c>
      <c r="K169" s="65"/>
      <c r="L169" s="66"/>
      <c r="M169" s="67">
        <v>240000</v>
      </c>
      <c r="N169" s="67"/>
      <c r="O169" s="68"/>
      <c r="P169" s="69" t="str">
        <f t="shared" si="36"/>
        <v>Hutang Pajak PPN</v>
      </c>
      <c r="Q169" s="61"/>
      <c r="X169" s="70"/>
    </row>
    <row r="170" spans="1:24" s="12" customFormat="1" hidden="1" x14ac:dyDescent="0.25">
      <c r="A170" s="60" t="str">
        <f t="shared" si="34"/>
        <v>50211,01</v>
      </c>
      <c r="B170" s="60">
        <f>COUNTIF($J$7:J170,J170)</f>
        <v>50</v>
      </c>
      <c r="C170" s="60" t="str">
        <f t="shared" si="35"/>
        <v>0</v>
      </c>
      <c r="D170" s="60">
        <f>COUNTIF($K$7:K170,K170)</f>
        <v>0</v>
      </c>
      <c r="E170" s="61"/>
      <c r="F170" s="71">
        <v>44578</v>
      </c>
      <c r="G170" s="72"/>
      <c r="H170" s="73" t="s">
        <v>80</v>
      </c>
      <c r="I170" s="74" t="s">
        <v>44</v>
      </c>
      <c r="J170" s="67">
        <v>211.01</v>
      </c>
      <c r="K170" s="65"/>
      <c r="L170" s="66"/>
      <c r="M170" s="67">
        <v>1047272</v>
      </c>
      <c r="N170" s="67"/>
      <c r="O170" s="68"/>
      <c r="P170" s="69" t="str">
        <f t="shared" si="36"/>
        <v>Hutang Pajak PPN</v>
      </c>
      <c r="Q170" s="61"/>
      <c r="X170" s="70"/>
    </row>
    <row r="171" spans="1:24" s="12" customFormat="1" hidden="1" x14ac:dyDescent="0.25">
      <c r="A171" s="60" t="str">
        <f t="shared" si="34"/>
        <v>51211,01</v>
      </c>
      <c r="B171" s="60">
        <f>COUNTIF($J$7:J171,J171)</f>
        <v>51</v>
      </c>
      <c r="C171" s="60" t="str">
        <f t="shared" si="35"/>
        <v>0</v>
      </c>
      <c r="D171" s="60">
        <f>COUNTIF($K$7:K171,K171)</f>
        <v>0</v>
      </c>
      <c r="E171" s="61"/>
      <c r="F171" s="71">
        <v>44578</v>
      </c>
      <c r="G171" s="72"/>
      <c r="H171" s="73" t="s">
        <v>81</v>
      </c>
      <c r="I171" s="74" t="s">
        <v>20</v>
      </c>
      <c r="J171" s="67">
        <v>211.01</v>
      </c>
      <c r="K171" s="65"/>
      <c r="L171" s="66"/>
      <c r="M171" s="67">
        <v>1786500</v>
      </c>
      <c r="N171" s="67"/>
      <c r="O171" s="68"/>
      <c r="P171" s="69" t="str">
        <f t="shared" si="36"/>
        <v>Hutang Pajak PPN</v>
      </c>
      <c r="Q171" s="61"/>
      <c r="X171" s="70"/>
    </row>
    <row r="172" spans="1:24" s="12" customFormat="1" hidden="1" x14ac:dyDescent="0.25">
      <c r="A172" s="60" t="str">
        <f t="shared" si="34"/>
        <v>52211,01</v>
      </c>
      <c r="B172" s="60">
        <f>COUNTIF($J$7:J172,J172)</f>
        <v>52</v>
      </c>
      <c r="C172" s="60" t="str">
        <f t="shared" si="35"/>
        <v>0</v>
      </c>
      <c r="D172" s="60">
        <f>COUNTIF($K$7:K172,K172)</f>
        <v>0</v>
      </c>
      <c r="E172" s="61"/>
      <c r="F172" s="71">
        <v>44579</v>
      </c>
      <c r="G172" s="72"/>
      <c r="H172" s="73" t="s">
        <v>82</v>
      </c>
      <c r="I172" s="74" t="s">
        <v>18</v>
      </c>
      <c r="J172" s="67">
        <v>211.01</v>
      </c>
      <c r="K172" s="65"/>
      <c r="L172" s="66"/>
      <c r="M172" s="67">
        <v>5771250</v>
      </c>
      <c r="N172" s="67"/>
      <c r="O172" s="68"/>
      <c r="P172" s="69" t="str">
        <f t="shared" si="36"/>
        <v>Hutang Pajak PPN</v>
      </c>
      <c r="Q172" s="61"/>
      <c r="X172" s="70"/>
    </row>
    <row r="173" spans="1:24" s="12" customFormat="1" hidden="1" x14ac:dyDescent="0.25">
      <c r="A173" s="60" t="str">
        <f t="shared" si="34"/>
        <v>53211,01</v>
      </c>
      <c r="B173" s="60">
        <f>COUNTIF($J$7:J173,J173)</f>
        <v>53</v>
      </c>
      <c r="C173" s="60" t="str">
        <f t="shared" si="35"/>
        <v>0</v>
      </c>
      <c r="D173" s="60">
        <f>COUNTIF($K$7:K173,K173)</f>
        <v>0</v>
      </c>
      <c r="E173" s="61"/>
      <c r="F173" s="71">
        <v>44579</v>
      </c>
      <c r="G173" s="72"/>
      <c r="H173" s="73" t="s">
        <v>83</v>
      </c>
      <c r="I173" s="74" t="s">
        <v>20</v>
      </c>
      <c r="J173" s="67">
        <v>211.01</v>
      </c>
      <c r="K173" s="65"/>
      <c r="L173" s="66"/>
      <c r="M173" s="67">
        <v>164000</v>
      </c>
      <c r="N173" s="67"/>
      <c r="O173" s="68"/>
      <c r="P173" s="69" t="str">
        <f t="shared" si="36"/>
        <v>Hutang Pajak PPN</v>
      </c>
      <c r="Q173" s="61"/>
      <c r="X173" s="70"/>
    </row>
    <row r="174" spans="1:24" s="12" customFormat="1" hidden="1" x14ac:dyDescent="0.25">
      <c r="A174" s="60" t="str">
        <f t="shared" si="34"/>
        <v>54211,01</v>
      </c>
      <c r="B174" s="60">
        <f>COUNTIF($J$7:J174,J174)</f>
        <v>54</v>
      </c>
      <c r="C174" s="60" t="str">
        <f t="shared" si="35"/>
        <v>0</v>
      </c>
      <c r="D174" s="60">
        <f>COUNTIF($K$7:K174,K174)</f>
        <v>0</v>
      </c>
      <c r="E174" s="61"/>
      <c r="F174" s="71">
        <v>44579</v>
      </c>
      <c r="G174" s="72"/>
      <c r="H174" s="73" t="s">
        <v>84</v>
      </c>
      <c r="I174" s="74" t="s">
        <v>32</v>
      </c>
      <c r="J174" s="67">
        <v>211.01</v>
      </c>
      <c r="K174" s="65"/>
      <c r="L174" s="66"/>
      <c r="M174" s="67">
        <v>1176000</v>
      </c>
      <c r="N174" s="67"/>
      <c r="O174" s="68"/>
      <c r="P174" s="69" t="str">
        <f t="shared" si="36"/>
        <v>Hutang Pajak PPN</v>
      </c>
      <c r="Q174" s="61"/>
      <c r="X174" s="70"/>
    </row>
    <row r="175" spans="1:24" s="12" customFormat="1" hidden="1" x14ac:dyDescent="0.25">
      <c r="A175" s="60" t="str">
        <f t="shared" si="34"/>
        <v>55211,01</v>
      </c>
      <c r="B175" s="60">
        <f>COUNTIF($J$7:J175,J175)</f>
        <v>55</v>
      </c>
      <c r="C175" s="60" t="str">
        <f t="shared" si="35"/>
        <v>0</v>
      </c>
      <c r="D175" s="60">
        <f>COUNTIF($K$7:K175,K175)</f>
        <v>0</v>
      </c>
      <c r="E175" s="61"/>
      <c r="F175" s="71">
        <v>44579</v>
      </c>
      <c r="G175" s="72"/>
      <c r="H175" s="73" t="s">
        <v>85</v>
      </c>
      <c r="I175" s="74" t="s">
        <v>32</v>
      </c>
      <c r="J175" s="67">
        <v>211.01</v>
      </c>
      <c r="K175" s="65"/>
      <c r="L175" s="66"/>
      <c r="M175" s="67">
        <v>659997</v>
      </c>
      <c r="N175" s="67"/>
      <c r="O175" s="68"/>
      <c r="P175" s="69" t="str">
        <f t="shared" si="36"/>
        <v>Hutang Pajak PPN</v>
      </c>
      <c r="Q175" s="61"/>
      <c r="X175" s="70"/>
    </row>
    <row r="176" spans="1:24" s="12" customFormat="1" hidden="1" x14ac:dyDescent="0.25">
      <c r="A176" s="60" t="str">
        <f t="shared" si="34"/>
        <v>56211,01</v>
      </c>
      <c r="B176" s="60">
        <f>COUNTIF($J$7:J176,J176)</f>
        <v>56</v>
      </c>
      <c r="C176" s="60" t="str">
        <f t="shared" si="35"/>
        <v>0</v>
      </c>
      <c r="D176" s="60">
        <f>COUNTIF($K$7:K176,K176)</f>
        <v>0</v>
      </c>
      <c r="E176" s="61"/>
      <c r="F176" s="71">
        <v>44579</v>
      </c>
      <c r="G176" s="72"/>
      <c r="H176" s="73" t="s">
        <v>86</v>
      </c>
      <c r="I176" s="74" t="s">
        <v>41</v>
      </c>
      <c r="J176" s="67">
        <v>211.01</v>
      </c>
      <c r="K176" s="65"/>
      <c r="L176" s="66"/>
      <c r="M176" s="67">
        <v>187500</v>
      </c>
      <c r="N176" s="67"/>
      <c r="O176" s="68"/>
      <c r="P176" s="69" t="str">
        <f t="shared" si="36"/>
        <v>Hutang Pajak PPN</v>
      </c>
      <c r="Q176" s="61"/>
      <c r="X176" s="70"/>
    </row>
    <row r="177" spans="1:24" s="12" customFormat="1" hidden="1" x14ac:dyDescent="0.25">
      <c r="A177" s="60" t="str">
        <f t="shared" si="34"/>
        <v>57211,01</v>
      </c>
      <c r="B177" s="60">
        <f>COUNTIF($J$7:J177,J177)</f>
        <v>57</v>
      </c>
      <c r="C177" s="60" t="str">
        <f t="shared" si="35"/>
        <v>0</v>
      </c>
      <c r="D177" s="60">
        <f>COUNTIF($K$7:K177,K177)</f>
        <v>0</v>
      </c>
      <c r="E177" s="61"/>
      <c r="F177" s="71">
        <v>44579</v>
      </c>
      <c r="G177" s="72"/>
      <c r="H177" s="73" t="s">
        <v>87</v>
      </c>
      <c r="I177" s="74" t="s">
        <v>37</v>
      </c>
      <c r="J177" s="67">
        <v>211.01</v>
      </c>
      <c r="K177" s="65"/>
      <c r="L177" s="66"/>
      <c r="M177" s="67">
        <v>982500</v>
      </c>
      <c r="N177" s="67"/>
      <c r="O177" s="68"/>
      <c r="P177" s="69" t="str">
        <f t="shared" si="36"/>
        <v>Hutang Pajak PPN</v>
      </c>
      <c r="Q177" s="61"/>
      <c r="X177" s="70"/>
    </row>
    <row r="178" spans="1:24" s="12" customFormat="1" hidden="1" x14ac:dyDescent="0.25">
      <c r="A178" s="60" t="str">
        <f t="shared" si="34"/>
        <v>58211,01</v>
      </c>
      <c r="B178" s="60">
        <f>COUNTIF($J$7:J178,J178)</f>
        <v>58</v>
      </c>
      <c r="C178" s="60" t="str">
        <f t="shared" si="35"/>
        <v>0</v>
      </c>
      <c r="D178" s="60">
        <f>COUNTIF($K$7:K178,K178)</f>
        <v>0</v>
      </c>
      <c r="E178" s="61"/>
      <c r="F178" s="71">
        <v>44579</v>
      </c>
      <c r="G178" s="72"/>
      <c r="H178" s="73" t="s">
        <v>88</v>
      </c>
      <c r="I178" s="82" t="s">
        <v>34</v>
      </c>
      <c r="J178" s="67">
        <v>211.01</v>
      </c>
      <c r="K178" s="65"/>
      <c r="L178" s="66"/>
      <c r="M178" s="67">
        <v>720000</v>
      </c>
      <c r="N178" s="67"/>
      <c r="O178" s="68"/>
      <c r="P178" s="69" t="str">
        <f t="shared" si="36"/>
        <v>Hutang Pajak PPN</v>
      </c>
      <c r="Q178" s="61"/>
      <c r="X178" s="70"/>
    </row>
    <row r="179" spans="1:24" s="12" customFormat="1" hidden="1" x14ac:dyDescent="0.25">
      <c r="A179" s="60" t="str">
        <f t="shared" si="34"/>
        <v>59211,01</v>
      </c>
      <c r="B179" s="60">
        <f>COUNTIF($J$7:J179,J179)</f>
        <v>59</v>
      </c>
      <c r="C179" s="60" t="str">
        <f t="shared" si="35"/>
        <v>0</v>
      </c>
      <c r="D179" s="60">
        <f>COUNTIF($K$7:K179,K179)</f>
        <v>0</v>
      </c>
      <c r="E179" s="61"/>
      <c r="F179" s="71">
        <v>44579</v>
      </c>
      <c r="G179" s="72"/>
      <c r="H179" s="73" t="s">
        <v>89</v>
      </c>
      <c r="I179" s="82" t="s">
        <v>34</v>
      </c>
      <c r="J179" s="67">
        <v>211.01</v>
      </c>
      <c r="K179" s="65"/>
      <c r="L179" s="66"/>
      <c r="M179" s="67">
        <v>864000</v>
      </c>
      <c r="N179" s="67"/>
      <c r="O179" s="68"/>
      <c r="P179" s="69" t="str">
        <f t="shared" si="36"/>
        <v>Hutang Pajak PPN</v>
      </c>
      <c r="Q179" s="61"/>
      <c r="X179" s="70"/>
    </row>
    <row r="180" spans="1:24" s="12" customFormat="1" hidden="1" x14ac:dyDescent="0.25">
      <c r="A180" s="60" t="str">
        <f t="shared" si="34"/>
        <v>60211,01</v>
      </c>
      <c r="B180" s="60">
        <f>COUNTIF($J$7:J180,J180)</f>
        <v>60</v>
      </c>
      <c r="C180" s="60" t="str">
        <f t="shared" si="35"/>
        <v>0</v>
      </c>
      <c r="D180" s="60">
        <f>COUNTIF($K$7:K180,K180)</f>
        <v>0</v>
      </c>
      <c r="E180" s="61"/>
      <c r="F180" s="71">
        <v>44580</v>
      </c>
      <c r="G180" s="72"/>
      <c r="H180" s="73" t="s">
        <v>90</v>
      </c>
      <c r="I180" s="74" t="s">
        <v>18</v>
      </c>
      <c r="J180" s="67">
        <v>211.01</v>
      </c>
      <c r="K180" s="65"/>
      <c r="L180" s="66"/>
      <c r="M180" s="67">
        <v>1947000</v>
      </c>
      <c r="N180" s="67"/>
      <c r="O180" s="68"/>
      <c r="P180" s="69" t="str">
        <f t="shared" si="36"/>
        <v>Hutang Pajak PPN</v>
      </c>
      <c r="Q180" s="61"/>
      <c r="X180" s="70"/>
    </row>
    <row r="181" spans="1:24" s="12" customFormat="1" hidden="1" x14ac:dyDescent="0.25">
      <c r="A181" s="60" t="str">
        <f t="shared" si="34"/>
        <v>61211,01</v>
      </c>
      <c r="B181" s="60">
        <f>COUNTIF($J$7:J181,J181)</f>
        <v>61</v>
      </c>
      <c r="C181" s="60" t="str">
        <f t="shared" si="35"/>
        <v>0</v>
      </c>
      <c r="D181" s="60">
        <f>COUNTIF($K$7:K181,K181)</f>
        <v>0</v>
      </c>
      <c r="E181" s="61"/>
      <c r="F181" s="71">
        <v>44580</v>
      </c>
      <c r="G181" s="72"/>
      <c r="H181" s="73" t="s">
        <v>91</v>
      </c>
      <c r="I181" s="74" t="s">
        <v>18</v>
      </c>
      <c r="J181" s="67">
        <v>211.01</v>
      </c>
      <c r="K181" s="65"/>
      <c r="L181" s="66"/>
      <c r="M181" s="67">
        <v>574000</v>
      </c>
      <c r="N181" s="67"/>
      <c r="O181" s="68"/>
      <c r="P181" s="69" t="str">
        <f t="shared" si="36"/>
        <v>Hutang Pajak PPN</v>
      </c>
      <c r="Q181" s="61"/>
      <c r="X181" s="70"/>
    </row>
    <row r="182" spans="1:24" s="12" customFormat="1" hidden="1" x14ac:dyDescent="0.25">
      <c r="A182" s="60" t="str">
        <f t="shared" si="34"/>
        <v>62211,01</v>
      </c>
      <c r="B182" s="60">
        <f>COUNTIF($J$7:J182,J182)</f>
        <v>62</v>
      </c>
      <c r="C182" s="60" t="str">
        <f t="shared" si="35"/>
        <v>0</v>
      </c>
      <c r="D182" s="60">
        <f>COUNTIF($K$7:K182,K182)</f>
        <v>0</v>
      </c>
      <c r="E182" s="61"/>
      <c r="F182" s="71">
        <v>44580</v>
      </c>
      <c r="G182" s="72"/>
      <c r="H182" s="73" t="s">
        <v>92</v>
      </c>
      <c r="I182" s="74" t="s">
        <v>20</v>
      </c>
      <c r="J182" s="67">
        <v>211.01</v>
      </c>
      <c r="K182" s="65"/>
      <c r="L182" s="66"/>
      <c r="M182" s="67">
        <v>1126500</v>
      </c>
      <c r="N182" s="67"/>
      <c r="O182" s="68"/>
      <c r="P182" s="69" t="str">
        <f t="shared" si="36"/>
        <v>Hutang Pajak PPN</v>
      </c>
      <c r="Q182" s="61"/>
      <c r="X182" s="70"/>
    </row>
    <row r="183" spans="1:24" s="12" customFormat="1" hidden="1" x14ac:dyDescent="0.25">
      <c r="A183" s="60" t="str">
        <f t="shared" si="34"/>
        <v>63211,01</v>
      </c>
      <c r="B183" s="60">
        <f>COUNTIF($J$7:J183,J183)</f>
        <v>63</v>
      </c>
      <c r="C183" s="60" t="str">
        <f t="shared" si="35"/>
        <v>0</v>
      </c>
      <c r="D183" s="60">
        <f>COUNTIF($K$7:K183,K183)</f>
        <v>0</v>
      </c>
      <c r="E183" s="61"/>
      <c r="F183" s="71">
        <v>44580</v>
      </c>
      <c r="G183" s="72"/>
      <c r="H183" s="73" t="s">
        <v>93</v>
      </c>
      <c r="I183" s="74" t="s">
        <v>37</v>
      </c>
      <c r="J183" s="67">
        <v>211.01</v>
      </c>
      <c r="K183" s="65"/>
      <c r="L183" s="66"/>
      <c r="M183" s="67">
        <v>544500</v>
      </c>
      <c r="N183" s="67"/>
      <c r="O183" s="68"/>
      <c r="P183" s="69" t="str">
        <f t="shared" si="36"/>
        <v>Hutang Pajak PPN</v>
      </c>
      <c r="Q183" s="61"/>
      <c r="X183" s="70"/>
    </row>
    <row r="184" spans="1:24" s="12" customFormat="1" hidden="1" x14ac:dyDescent="0.25">
      <c r="A184" s="60" t="str">
        <f t="shared" si="34"/>
        <v>64211,01</v>
      </c>
      <c r="B184" s="60">
        <f>COUNTIF($J$7:J184,J184)</f>
        <v>64</v>
      </c>
      <c r="C184" s="60" t="str">
        <f t="shared" si="35"/>
        <v>0</v>
      </c>
      <c r="D184" s="60">
        <f>COUNTIF($K$7:K184,K184)</f>
        <v>0</v>
      </c>
      <c r="E184" s="61"/>
      <c r="F184" s="71">
        <v>44580</v>
      </c>
      <c r="G184" s="72"/>
      <c r="H184" s="73" t="s">
        <v>94</v>
      </c>
      <c r="I184" s="74" t="s">
        <v>37</v>
      </c>
      <c r="J184" s="67">
        <v>211.01</v>
      </c>
      <c r="K184" s="65"/>
      <c r="L184" s="66"/>
      <c r="M184" s="67">
        <v>700000</v>
      </c>
      <c r="N184" s="67"/>
      <c r="O184" s="68"/>
      <c r="P184" s="69" t="str">
        <f t="shared" si="36"/>
        <v>Hutang Pajak PPN</v>
      </c>
      <c r="Q184" s="61"/>
      <c r="X184" s="70"/>
    </row>
    <row r="185" spans="1:24" s="12" customFormat="1" hidden="1" x14ac:dyDescent="0.25">
      <c r="A185" s="60" t="str">
        <f t="shared" si="34"/>
        <v>65211,01</v>
      </c>
      <c r="B185" s="60">
        <f>COUNTIF($J$7:J185,J185)</f>
        <v>65</v>
      </c>
      <c r="C185" s="60" t="str">
        <f t="shared" si="35"/>
        <v>0</v>
      </c>
      <c r="D185" s="60">
        <f>COUNTIF($K$7:K185,K185)</f>
        <v>0</v>
      </c>
      <c r="E185" s="61"/>
      <c r="F185" s="71">
        <v>44580</v>
      </c>
      <c r="G185" s="72"/>
      <c r="H185" s="73" t="s">
        <v>95</v>
      </c>
      <c r="I185" s="82" t="s">
        <v>34</v>
      </c>
      <c r="J185" s="67">
        <v>211.01</v>
      </c>
      <c r="K185" s="65"/>
      <c r="L185" s="66"/>
      <c r="M185" s="67">
        <v>1056000</v>
      </c>
      <c r="N185" s="67"/>
      <c r="O185" s="68"/>
      <c r="P185" s="69" t="str">
        <f t="shared" si="36"/>
        <v>Hutang Pajak PPN</v>
      </c>
      <c r="Q185" s="61"/>
      <c r="X185" s="70"/>
    </row>
    <row r="186" spans="1:24" s="12" customFormat="1" hidden="1" x14ac:dyDescent="0.25">
      <c r="A186" s="60" t="str">
        <f t="shared" si="34"/>
        <v>66211,01</v>
      </c>
      <c r="B186" s="60">
        <f>COUNTIF($J$7:J186,J186)</f>
        <v>66</v>
      </c>
      <c r="C186" s="60" t="str">
        <f t="shared" si="35"/>
        <v>0</v>
      </c>
      <c r="D186" s="60">
        <f>COUNTIF($K$7:K186,K186)</f>
        <v>0</v>
      </c>
      <c r="E186" s="61"/>
      <c r="F186" s="71">
        <v>44580</v>
      </c>
      <c r="G186" s="72"/>
      <c r="H186" s="73" t="s">
        <v>96</v>
      </c>
      <c r="I186" s="82" t="s">
        <v>34</v>
      </c>
      <c r="J186" s="67">
        <v>211.01</v>
      </c>
      <c r="K186" s="65"/>
      <c r="L186" s="66"/>
      <c r="M186" s="67">
        <v>720000</v>
      </c>
      <c r="N186" s="67"/>
      <c r="O186" s="68"/>
      <c r="P186" s="69" t="str">
        <f t="shared" si="36"/>
        <v>Hutang Pajak PPN</v>
      </c>
      <c r="Q186" s="61"/>
      <c r="X186" s="70"/>
    </row>
    <row r="187" spans="1:24" s="12" customFormat="1" hidden="1" x14ac:dyDescent="0.25">
      <c r="A187" s="60" t="str">
        <f t="shared" si="34"/>
        <v>67211,01</v>
      </c>
      <c r="B187" s="60">
        <f>COUNTIF($J$7:J187,J187)</f>
        <v>67</v>
      </c>
      <c r="C187" s="60" t="str">
        <f t="shared" si="35"/>
        <v>0</v>
      </c>
      <c r="D187" s="60">
        <f>COUNTIF($K$7:K187,K187)</f>
        <v>0</v>
      </c>
      <c r="E187" s="61"/>
      <c r="F187" s="71">
        <v>44580</v>
      </c>
      <c r="G187" s="72"/>
      <c r="H187" s="73" t="s">
        <v>97</v>
      </c>
      <c r="I187" s="82" t="s">
        <v>34</v>
      </c>
      <c r="J187" s="67">
        <v>211.01</v>
      </c>
      <c r="K187" s="65"/>
      <c r="L187" s="66"/>
      <c r="M187" s="67">
        <v>549997</v>
      </c>
      <c r="N187" s="67"/>
      <c r="O187" s="68"/>
      <c r="P187" s="69" t="str">
        <f t="shared" si="36"/>
        <v>Hutang Pajak PPN</v>
      </c>
      <c r="Q187" s="61"/>
      <c r="X187" s="70"/>
    </row>
    <row r="188" spans="1:24" s="12" customFormat="1" hidden="1" x14ac:dyDescent="0.25">
      <c r="A188" s="60" t="str">
        <f t="shared" si="34"/>
        <v>68211,01</v>
      </c>
      <c r="B188" s="60">
        <f>COUNTIF($J$7:J188,J188)</f>
        <v>68</v>
      </c>
      <c r="C188" s="60" t="str">
        <f t="shared" si="35"/>
        <v>0</v>
      </c>
      <c r="D188" s="60">
        <f>COUNTIF($K$7:K188,K188)</f>
        <v>0</v>
      </c>
      <c r="E188" s="61"/>
      <c r="F188" s="71">
        <v>44566</v>
      </c>
      <c r="G188" s="72"/>
      <c r="H188" s="73" t="s">
        <v>98</v>
      </c>
      <c r="I188" s="74" t="s">
        <v>99</v>
      </c>
      <c r="J188" s="67">
        <v>211.01</v>
      </c>
      <c r="K188" s="65"/>
      <c r="L188" s="66"/>
      <c r="M188" s="67">
        <v>387500</v>
      </c>
      <c r="N188" s="67" t="s">
        <v>16</v>
      </c>
      <c r="O188" s="68"/>
      <c r="P188" s="69" t="str">
        <f t="shared" si="36"/>
        <v>Hutang Pajak PPN</v>
      </c>
      <c r="Q188" s="61"/>
      <c r="X188" s="70"/>
    </row>
    <row r="189" spans="1:24" s="12" customFormat="1" hidden="1" x14ac:dyDescent="0.25">
      <c r="A189" s="60" t="str">
        <f t="shared" si="34"/>
        <v>69211,01</v>
      </c>
      <c r="B189" s="60">
        <f>COUNTIF($J$7:J189,J189)</f>
        <v>69</v>
      </c>
      <c r="C189" s="60" t="str">
        <f t="shared" si="35"/>
        <v>0</v>
      </c>
      <c r="D189" s="60">
        <f>COUNTIF($K$7:K189,K189)</f>
        <v>0</v>
      </c>
      <c r="E189" s="61"/>
      <c r="F189" s="71">
        <v>44581</v>
      </c>
      <c r="G189" s="72"/>
      <c r="H189" s="73" t="s">
        <v>100</v>
      </c>
      <c r="I189" s="74" t="s">
        <v>18</v>
      </c>
      <c r="J189" s="67">
        <v>211.01</v>
      </c>
      <c r="K189" s="65"/>
      <c r="L189" s="66"/>
      <c r="M189" s="67">
        <v>1971750</v>
      </c>
      <c r="N189" s="67"/>
      <c r="O189" s="68"/>
      <c r="P189" s="69" t="str">
        <f t="shared" si="36"/>
        <v>Hutang Pajak PPN</v>
      </c>
      <c r="Q189" s="61"/>
      <c r="X189" s="70"/>
    </row>
    <row r="190" spans="1:24" s="12" customFormat="1" hidden="1" x14ac:dyDescent="0.25">
      <c r="A190" s="60" t="str">
        <f t="shared" si="34"/>
        <v>70211,01</v>
      </c>
      <c r="B190" s="60">
        <f>COUNTIF($J$7:J190,J190)</f>
        <v>70</v>
      </c>
      <c r="C190" s="60" t="str">
        <f t="shared" si="35"/>
        <v>0</v>
      </c>
      <c r="D190" s="60">
        <f>COUNTIF($K$7:K190,K190)</f>
        <v>0</v>
      </c>
      <c r="E190" s="61"/>
      <c r="F190" s="71">
        <v>44585</v>
      </c>
      <c r="G190" s="72"/>
      <c r="H190" s="73" t="s">
        <v>101</v>
      </c>
      <c r="I190" s="74" t="s">
        <v>44</v>
      </c>
      <c r="J190" s="67">
        <v>211.01</v>
      </c>
      <c r="K190" s="65"/>
      <c r="L190" s="66"/>
      <c r="M190" s="67">
        <v>610909</v>
      </c>
      <c r="N190" s="67"/>
      <c r="O190" s="68"/>
      <c r="P190" s="69" t="str">
        <f t="shared" si="36"/>
        <v>Hutang Pajak PPN</v>
      </c>
      <c r="Q190" s="61"/>
      <c r="X190" s="70"/>
    </row>
    <row r="191" spans="1:24" s="12" customFormat="1" hidden="1" x14ac:dyDescent="0.25">
      <c r="A191" s="60" t="str">
        <f t="shared" si="34"/>
        <v>71211,01</v>
      </c>
      <c r="B191" s="60">
        <f>COUNTIF($J$7:J191,J191)</f>
        <v>71</v>
      </c>
      <c r="C191" s="60" t="str">
        <f t="shared" si="35"/>
        <v>0</v>
      </c>
      <c r="D191" s="60">
        <f>COUNTIF($K$7:K191,K191)</f>
        <v>0</v>
      </c>
      <c r="E191" s="61"/>
      <c r="F191" s="71">
        <v>44585</v>
      </c>
      <c r="G191" s="72"/>
      <c r="H191" s="73" t="s">
        <v>102</v>
      </c>
      <c r="I191" s="74" t="s">
        <v>18</v>
      </c>
      <c r="J191" s="67">
        <v>211.01</v>
      </c>
      <c r="K191" s="65"/>
      <c r="L191" s="66"/>
      <c r="M191" s="67">
        <v>4100000</v>
      </c>
      <c r="N191" s="67"/>
      <c r="O191" s="68"/>
      <c r="P191" s="69" t="str">
        <f t="shared" si="36"/>
        <v>Hutang Pajak PPN</v>
      </c>
      <c r="Q191" s="61"/>
      <c r="X191" s="70"/>
    </row>
    <row r="192" spans="1:24" s="12" customFormat="1" hidden="1" x14ac:dyDescent="0.25">
      <c r="A192" s="60" t="str">
        <f t="shared" si="34"/>
        <v>72211,01</v>
      </c>
      <c r="B192" s="60">
        <f>COUNTIF($J$7:J192,J192)</f>
        <v>72</v>
      </c>
      <c r="C192" s="60" t="str">
        <f t="shared" si="35"/>
        <v>0</v>
      </c>
      <c r="D192" s="60">
        <f>COUNTIF($K$7:K192,K192)</f>
        <v>0</v>
      </c>
      <c r="E192" s="61"/>
      <c r="F192" s="71">
        <v>44585</v>
      </c>
      <c r="G192" s="72"/>
      <c r="H192" s="73" t="s">
        <v>103</v>
      </c>
      <c r="I192" s="74" t="s">
        <v>20</v>
      </c>
      <c r="J192" s="67">
        <v>211.01</v>
      </c>
      <c r="K192" s="65"/>
      <c r="L192" s="66"/>
      <c r="M192" s="67">
        <v>708000</v>
      </c>
      <c r="N192" s="67"/>
      <c r="O192" s="68"/>
      <c r="P192" s="69" t="str">
        <f t="shared" si="36"/>
        <v>Hutang Pajak PPN</v>
      </c>
      <c r="Q192" s="61"/>
      <c r="X192" s="70"/>
    </row>
    <row r="193" spans="1:24" s="12" customFormat="1" hidden="1" x14ac:dyDescent="0.25">
      <c r="A193" s="60" t="str">
        <f t="shared" si="34"/>
        <v>73211,01</v>
      </c>
      <c r="B193" s="60">
        <f>COUNTIF($J$7:J193,J193)</f>
        <v>73</v>
      </c>
      <c r="C193" s="60" t="str">
        <f t="shared" si="35"/>
        <v>0</v>
      </c>
      <c r="D193" s="60">
        <f>COUNTIF($K$7:K193,K193)</f>
        <v>0</v>
      </c>
      <c r="E193" s="61"/>
      <c r="F193" s="71">
        <v>44585</v>
      </c>
      <c r="G193" s="72"/>
      <c r="H193" s="73" t="s">
        <v>104</v>
      </c>
      <c r="I193" s="74" t="s">
        <v>20</v>
      </c>
      <c r="J193" s="67">
        <v>211.01</v>
      </c>
      <c r="K193" s="65"/>
      <c r="L193" s="66"/>
      <c r="M193" s="67">
        <v>328000</v>
      </c>
      <c r="N193" s="67"/>
      <c r="O193" s="68"/>
      <c r="P193" s="69" t="str">
        <f t="shared" si="36"/>
        <v>Hutang Pajak PPN</v>
      </c>
      <c r="Q193" s="61"/>
      <c r="X193" s="70"/>
    </row>
    <row r="194" spans="1:24" s="12" customFormat="1" hidden="1" x14ac:dyDescent="0.25">
      <c r="A194" s="60" t="str">
        <f t="shared" si="34"/>
        <v>74211,01</v>
      </c>
      <c r="B194" s="60">
        <f>COUNTIF($J$7:J194,J194)</f>
        <v>74</v>
      </c>
      <c r="C194" s="60" t="str">
        <f t="shared" si="35"/>
        <v>0</v>
      </c>
      <c r="D194" s="60">
        <f>COUNTIF($K$7:K194,K194)</f>
        <v>0</v>
      </c>
      <c r="E194" s="61"/>
      <c r="F194" s="71">
        <v>44585</v>
      </c>
      <c r="G194" s="72"/>
      <c r="H194" s="73" t="s">
        <v>105</v>
      </c>
      <c r="I194" s="74" t="s">
        <v>20</v>
      </c>
      <c r="J194" s="67">
        <v>211.01</v>
      </c>
      <c r="K194" s="65"/>
      <c r="L194" s="66"/>
      <c r="M194" s="67">
        <v>1046250</v>
      </c>
      <c r="N194" s="67"/>
      <c r="O194" s="68"/>
      <c r="P194" s="69" t="str">
        <f t="shared" si="36"/>
        <v>Hutang Pajak PPN</v>
      </c>
      <c r="Q194" s="61"/>
      <c r="X194" s="70"/>
    </row>
    <row r="195" spans="1:24" s="12" customFormat="1" hidden="1" x14ac:dyDescent="0.25">
      <c r="A195" s="60" t="str">
        <f t="shared" si="34"/>
        <v>75211,01</v>
      </c>
      <c r="B195" s="60">
        <f>COUNTIF($J$7:J195,J195)</f>
        <v>75</v>
      </c>
      <c r="C195" s="60" t="str">
        <f t="shared" si="35"/>
        <v>0</v>
      </c>
      <c r="D195" s="60">
        <f>COUNTIF($K$7:K195,K195)</f>
        <v>0</v>
      </c>
      <c r="E195" s="61"/>
      <c r="F195" s="71">
        <v>44585</v>
      </c>
      <c r="G195" s="72"/>
      <c r="H195" s="73" t="s">
        <v>106</v>
      </c>
      <c r="I195" s="74" t="s">
        <v>107</v>
      </c>
      <c r="J195" s="67">
        <v>211.01</v>
      </c>
      <c r="K195" s="65"/>
      <c r="L195" s="66"/>
      <c r="M195" s="67">
        <v>3818181</v>
      </c>
      <c r="N195" s="67"/>
      <c r="O195" s="68"/>
      <c r="P195" s="69" t="str">
        <f t="shared" si="36"/>
        <v>Hutang Pajak PPN</v>
      </c>
      <c r="Q195" s="61"/>
      <c r="X195" s="70"/>
    </row>
    <row r="196" spans="1:24" s="12" customFormat="1" ht="30" hidden="1" x14ac:dyDescent="0.25">
      <c r="A196" s="60" t="str">
        <f t="shared" si="34"/>
        <v>76211,01</v>
      </c>
      <c r="B196" s="60">
        <f>COUNTIF($J$7:J196,J196)</f>
        <v>76</v>
      </c>
      <c r="C196" s="60" t="str">
        <f t="shared" si="35"/>
        <v>0</v>
      </c>
      <c r="D196" s="60">
        <f>COUNTIF($K$7:K196,K196)</f>
        <v>0</v>
      </c>
      <c r="E196" s="61"/>
      <c r="F196" s="71">
        <v>44585</v>
      </c>
      <c r="G196" s="72"/>
      <c r="H196" s="73" t="s">
        <v>108</v>
      </c>
      <c r="I196" s="74" t="s">
        <v>34</v>
      </c>
      <c r="J196" s="67">
        <v>211.01</v>
      </c>
      <c r="K196" s="65"/>
      <c r="L196" s="66"/>
      <c r="M196" s="67">
        <v>108000</v>
      </c>
      <c r="N196" s="67"/>
      <c r="O196" s="68"/>
      <c r="P196" s="69" t="str">
        <f t="shared" si="36"/>
        <v>Hutang Pajak PPN</v>
      </c>
      <c r="Q196" s="61"/>
      <c r="X196" s="70"/>
    </row>
    <row r="197" spans="1:24" s="12" customFormat="1" ht="30" hidden="1" x14ac:dyDescent="0.25">
      <c r="A197" s="60" t="str">
        <f t="shared" si="34"/>
        <v>77211,01</v>
      </c>
      <c r="B197" s="60">
        <f>COUNTIF($J$7:J197,J197)</f>
        <v>77</v>
      </c>
      <c r="C197" s="60" t="str">
        <f t="shared" si="35"/>
        <v>0</v>
      </c>
      <c r="D197" s="60">
        <f>COUNTIF($K$7:K197,K197)</f>
        <v>0</v>
      </c>
      <c r="E197" s="61"/>
      <c r="F197" s="71">
        <v>44585</v>
      </c>
      <c r="G197" s="72"/>
      <c r="H197" s="73" t="s">
        <v>109</v>
      </c>
      <c r="I197" s="74" t="s">
        <v>34</v>
      </c>
      <c r="J197" s="67">
        <v>211.01</v>
      </c>
      <c r="K197" s="65"/>
      <c r="L197" s="66"/>
      <c r="M197" s="67">
        <v>274998</v>
      </c>
      <c r="N197" s="67"/>
      <c r="O197" s="68"/>
      <c r="P197" s="69" t="str">
        <f t="shared" si="36"/>
        <v>Hutang Pajak PPN</v>
      </c>
      <c r="Q197" s="61"/>
      <c r="X197" s="70"/>
    </row>
    <row r="198" spans="1:24" s="12" customFormat="1" hidden="1" x14ac:dyDescent="0.25">
      <c r="A198" s="60" t="str">
        <f t="shared" si="34"/>
        <v>78211,01</v>
      </c>
      <c r="B198" s="60">
        <f>COUNTIF($J$7:J198,J198)</f>
        <v>78</v>
      </c>
      <c r="C198" s="60" t="str">
        <f t="shared" si="35"/>
        <v>0</v>
      </c>
      <c r="D198" s="60">
        <f>COUNTIF($K$7:K198,K198)</f>
        <v>0</v>
      </c>
      <c r="E198" s="61"/>
      <c r="F198" s="71">
        <v>44586</v>
      </c>
      <c r="G198" s="72"/>
      <c r="H198" s="73" t="s">
        <v>110</v>
      </c>
      <c r="I198" s="74" t="s">
        <v>18</v>
      </c>
      <c r="J198" s="67">
        <v>211.01</v>
      </c>
      <c r="K198" s="65"/>
      <c r="L198" s="66"/>
      <c r="M198" s="67">
        <v>1640000</v>
      </c>
      <c r="N198" s="67"/>
      <c r="O198" s="68"/>
      <c r="P198" s="69" t="str">
        <f t="shared" si="36"/>
        <v>Hutang Pajak PPN</v>
      </c>
      <c r="Q198" s="61"/>
      <c r="X198" s="70"/>
    </row>
    <row r="199" spans="1:24" s="12" customFormat="1" hidden="1" x14ac:dyDescent="0.25">
      <c r="A199" s="60" t="str">
        <f t="shared" ref="A199:A262" si="37">B199&amp;J199</f>
        <v>79211,01</v>
      </c>
      <c r="B199" s="60">
        <f>COUNTIF($J$7:J199,J199)</f>
        <v>79</v>
      </c>
      <c r="C199" s="60" t="str">
        <f t="shared" ref="C199:C262" si="38">D199&amp;K199</f>
        <v>0</v>
      </c>
      <c r="D199" s="60">
        <f>COUNTIF($K$7:K199,K199)</f>
        <v>0</v>
      </c>
      <c r="E199" s="61"/>
      <c r="F199" s="71">
        <v>44586</v>
      </c>
      <c r="G199" s="72"/>
      <c r="H199" s="73" t="s">
        <v>111</v>
      </c>
      <c r="I199" s="74" t="s">
        <v>18</v>
      </c>
      <c r="J199" s="67">
        <v>211.01</v>
      </c>
      <c r="K199" s="65"/>
      <c r="L199" s="66"/>
      <c r="M199" s="67">
        <v>2269500</v>
      </c>
      <c r="N199" s="67"/>
      <c r="O199" s="68"/>
      <c r="P199" s="69" t="str">
        <f t="shared" ref="P199:P262" si="39">IF(J199=0,"-",+VLOOKUP(J199,DAF_AKUN,2,FALSE))</f>
        <v>Hutang Pajak PPN</v>
      </c>
      <c r="Q199" s="61"/>
      <c r="X199" s="70"/>
    </row>
    <row r="200" spans="1:24" s="12" customFormat="1" hidden="1" x14ac:dyDescent="0.25">
      <c r="A200" s="60" t="str">
        <f t="shared" si="37"/>
        <v>80211,01</v>
      </c>
      <c r="B200" s="60">
        <f>COUNTIF($J$7:J200,J200)</f>
        <v>80</v>
      </c>
      <c r="C200" s="60" t="str">
        <f t="shared" si="38"/>
        <v>0</v>
      </c>
      <c r="D200" s="60">
        <f>COUNTIF($K$7:K200,K200)</f>
        <v>0</v>
      </c>
      <c r="E200" s="61"/>
      <c r="F200" s="71">
        <v>44586</v>
      </c>
      <c r="G200" s="72"/>
      <c r="H200" s="73" t="s">
        <v>112</v>
      </c>
      <c r="I200" s="74" t="s">
        <v>20</v>
      </c>
      <c r="J200" s="67">
        <v>211.01</v>
      </c>
      <c r="K200" s="65"/>
      <c r="L200" s="66"/>
      <c r="M200" s="67">
        <v>375000</v>
      </c>
      <c r="N200" s="67"/>
      <c r="O200" s="68"/>
      <c r="P200" s="69" t="str">
        <f t="shared" si="39"/>
        <v>Hutang Pajak PPN</v>
      </c>
      <c r="Q200" s="61"/>
      <c r="X200" s="70"/>
    </row>
    <row r="201" spans="1:24" s="12" customFormat="1" hidden="1" x14ac:dyDescent="0.25">
      <c r="A201" s="60" t="str">
        <f t="shared" si="37"/>
        <v>81211,01</v>
      </c>
      <c r="B201" s="60">
        <f>COUNTIF($J$7:J201,J201)</f>
        <v>81</v>
      </c>
      <c r="C201" s="60" t="str">
        <f t="shared" si="38"/>
        <v>0</v>
      </c>
      <c r="D201" s="60">
        <f>COUNTIF($K$7:K201,K201)</f>
        <v>0</v>
      </c>
      <c r="E201" s="61"/>
      <c r="F201" s="71">
        <v>44586</v>
      </c>
      <c r="G201" s="72"/>
      <c r="H201" s="73" t="s">
        <v>113</v>
      </c>
      <c r="I201" s="74" t="s">
        <v>26</v>
      </c>
      <c r="J201" s="67">
        <v>211.01</v>
      </c>
      <c r="K201" s="65"/>
      <c r="L201" s="66"/>
      <c r="M201" s="67">
        <v>1965000</v>
      </c>
      <c r="N201" s="67"/>
      <c r="O201" s="68"/>
      <c r="P201" s="69" t="str">
        <f t="shared" si="39"/>
        <v>Hutang Pajak PPN</v>
      </c>
      <c r="Q201" s="61"/>
      <c r="X201" s="70"/>
    </row>
    <row r="202" spans="1:24" s="12" customFormat="1" hidden="1" x14ac:dyDescent="0.25">
      <c r="A202" s="60" t="str">
        <f t="shared" si="37"/>
        <v>82211,01</v>
      </c>
      <c r="B202" s="60">
        <f>COUNTIF($J$7:J202,J202)</f>
        <v>82</v>
      </c>
      <c r="C202" s="60" t="str">
        <f t="shared" si="38"/>
        <v>0</v>
      </c>
      <c r="D202" s="60">
        <f>COUNTIF($K$7:K202,K202)</f>
        <v>0</v>
      </c>
      <c r="E202" s="61"/>
      <c r="F202" s="71">
        <v>44586</v>
      </c>
      <c r="G202" s="72"/>
      <c r="H202" s="73" t="s">
        <v>114</v>
      </c>
      <c r="I202" s="74" t="s">
        <v>32</v>
      </c>
      <c r="J202" s="67">
        <v>211.01</v>
      </c>
      <c r="K202" s="65"/>
      <c r="L202" s="66"/>
      <c r="M202" s="67">
        <v>2388000</v>
      </c>
      <c r="N202" s="67"/>
      <c r="O202" s="68"/>
      <c r="P202" s="69" t="str">
        <f t="shared" si="39"/>
        <v>Hutang Pajak PPN</v>
      </c>
      <c r="Q202" s="61"/>
      <c r="X202" s="70"/>
    </row>
    <row r="203" spans="1:24" s="12" customFormat="1" hidden="1" x14ac:dyDescent="0.25">
      <c r="A203" s="60" t="str">
        <f t="shared" si="37"/>
        <v>83211,01</v>
      </c>
      <c r="B203" s="60">
        <f>COUNTIF($J$7:J203,J203)</f>
        <v>83</v>
      </c>
      <c r="C203" s="60" t="str">
        <f t="shared" si="38"/>
        <v>0</v>
      </c>
      <c r="D203" s="60">
        <f>COUNTIF($K$7:K203,K203)</f>
        <v>0</v>
      </c>
      <c r="E203" s="61"/>
      <c r="F203" s="71">
        <v>44586</v>
      </c>
      <c r="G203" s="72"/>
      <c r="H203" s="73" t="s">
        <v>115</v>
      </c>
      <c r="I203" s="74" t="s">
        <v>32</v>
      </c>
      <c r="J203" s="67">
        <v>211.01</v>
      </c>
      <c r="K203" s="65"/>
      <c r="L203" s="66"/>
      <c r="M203" s="67">
        <v>769996</v>
      </c>
      <c r="N203" s="67"/>
      <c r="O203" s="68"/>
      <c r="P203" s="69" t="str">
        <f t="shared" si="39"/>
        <v>Hutang Pajak PPN</v>
      </c>
      <c r="Q203" s="61"/>
      <c r="X203" s="70"/>
    </row>
    <row r="204" spans="1:24" s="12" customFormat="1" hidden="1" x14ac:dyDescent="0.25">
      <c r="A204" s="60" t="str">
        <f t="shared" si="37"/>
        <v>84211,01</v>
      </c>
      <c r="B204" s="60">
        <f>COUNTIF($J$7:J204,J204)</f>
        <v>84</v>
      </c>
      <c r="C204" s="60" t="str">
        <f t="shared" si="38"/>
        <v>0</v>
      </c>
      <c r="D204" s="60">
        <f>COUNTIF($K$7:K204,K204)</f>
        <v>0</v>
      </c>
      <c r="E204" s="61"/>
      <c r="F204" s="71">
        <v>44586</v>
      </c>
      <c r="G204" s="72"/>
      <c r="H204" s="73" t="s">
        <v>116</v>
      </c>
      <c r="I204" s="74" t="s">
        <v>37</v>
      </c>
      <c r="J204" s="67">
        <v>211.01</v>
      </c>
      <c r="K204" s="65"/>
      <c r="L204" s="66"/>
      <c r="M204" s="67">
        <v>1164000</v>
      </c>
      <c r="N204" s="67"/>
      <c r="O204" s="68"/>
      <c r="P204" s="69" t="str">
        <f t="shared" si="39"/>
        <v>Hutang Pajak PPN</v>
      </c>
      <c r="Q204" s="61"/>
      <c r="X204" s="70"/>
    </row>
    <row r="205" spans="1:24" s="12" customFormat="1" hidden="1" x14ac:dyDescent="0.25">
      <c r="A205" s="60" t="str">
        <f t="shared" si="37"/>
        <v>85211,01</v>
      </c>
      <c r="B205" s="60">
        <f>COUNTIF($J$7:J205,J205)</f>
        <v>85</v>
      </c>
      <c r="C205" s="60" t="str">
        <f t="shared" si="38"/>
        <v>0</v>
      </c>
      <c r="D205" s="60">
        <f>COUNTIF($K$7:K205,K205)</f>
        <v>0</v>
      </c>
      <c r="E205" s="61"/>
      <c r="F205" s="71">
        <v>44586</v>
      </c>
      <c r="G205" s="72"/>
      <c r="H205" s="73" t="s">
        <v>117</v>
      </c>
      <c r="I205" s="74" t="s">
        <v>53</v>
      </c>
      <c r="J205" s="67">
        <v>211.01</v>
      </c>
      <c r="K205" s="65"/>
      <c r="L205" s="66"/>
      <c r="M205" s="67">
        <v>440000</v>
      </c>
      <c r="N205" s="67"/>
      <c r="O205" s="68"/>
      <c r="P205" s="69" t="str">
        <f t="shared" si="39"/>
        <v>Hutang Pajak PPN</v>
      </c>
      <c r="Q205" s="61"/>
      <c r="X205" s="70"/>
    </row>
    <row r="206" spans="1:24" s="12" customFormat="1" ht="30" hidden="1" x14ac:dyDescent="0.25">
      <c r="A206" s="60" t="str">
        <f t="shared" si="37"/>
        <v>86211,01</v>
      </c>
      <c r="B206" s="60">
        <f>COUNTIF($J$7:J206,J206)</f>
        <v>86</v>
      </c>
      <c r="C206" s="60" t="str">
        <f t="shared" si="38"/>
        <v>0</v>
      </c>
      <c r="D206" s="60">
        <f>COUNTIF($K$7:K206,K206)</f>
        <v>0</v>
      </c>
      <c r="E206" s="61"/>
      <c r="F206" s="71">
        <v>44586</v>
      </c>
      <c r="G206" s="72"/>
      <c r="H206" s="73" t="s">
        <v>118</v>
      </c>
      <c r="I206" s="74" t="s">
        <v>34</v>
      </c>
      <c r="J206" s="67">
        <v>211.01</v>
      </c>
      <c r="K206" s="65"/>
      <c r="L206" s="66"/>
      <c r="M206" s="67">
        <v>219999</v>
      </c>
      <c r="N206" s="67"/>
      <c r="O206" s="68"/>
      <c r="P206" s="69" t="str">
        <f t="shared" si="39"/>
        <v>Hutang Pajak PPN</v>
      </c>
      <c r="Q206" s="61"/>
      <c r="X206" s="70"/>
    </row>
    <row r="207" spans="1:24" s="12" customFormat="1" ht="30" hidden="1" x14ac:dyDescent="0.25">
      <c r="A207" s="60" t="str">
        <f t="shared" si="37"/>
        <v>87211,01</v>
      </c>
      <c r="B207" s="60">
        <f>COUNTIF($J$7:J207,J207)</f>
        <v>87</v>
      </c>
      <c r="C207" s="60" t="str">
        <f t="shared" si="38"/>
        <v>0</v>
      </c>
      <c r="D207" s="60">
        <f>COUNTIF($K$7:K207,K207)</f>
        <v>0</v>
      </c>
      <c r="E207" s="61"/>
      <c r="F207" s="71">
        <v>44586</v>
      </c>
      <c r="G207" s="72"/>
      <c r="H207" s="73" t="s">
        <v>119</v>
      </c>
      <c r="I207" s="74" t="s">
        <v>34</v>
      </c>
      <c r="J207" s="67">
        <v>211.01</v>
      </c>
      <c r="K207" s="65"/>
      <c r="L207" s="66"/>
      <c r="M207" s="67">
        <v>324998</v>
      </c>
      <c r="N207" s="67"/>
      <c r="O207" s="68"/>
      <c r="P207" s="69" t="str">
        <f t="shared" si="39"/>
        <v>Hutang Pajak PPN</v>
      </c>
      <c r="Q207" s="61"/>
      <c r="X207" s="70"/>
    </row>
    <row r="208" spans="1:24" s="12" customFormat="1" ht="30" hidden="1" x14ac:dyDescent="0.25">
      <c r="A208" s="60" t="str">
        <f t="shared" si="37"/>
        <v>88211,01</v>
      </c>
      <c r="B208" s="60">
        <f>COUNTIF($J$7:J208,J208)</f>
        <v>88</v>
      </c>
      <c r="C208" s="60" t="str">
        <f t="shared" si="38"/>
        <v>0</v>
      </c>
      <c r="D208" s="60">
        <f>COUNTIF($K$7:K208,K208)</f>
        <v>0</v>
      </c>
      <c r="E208" s="61"/>
      <c r="F208" s="71">
        <v>44586</v>
      </c>
      <c r="G208" s="72"/>
      <c r="H208" s="73" t="s">
        <v>120</v>
      </c>
      <c r="I208" s="74" t="s">
        <v>34</v>
      </c>
      <c r="J208" s="67">
        <v>211.01</v>
      </c>
      <c r="K208" s="65"/>
      <c r="L208" s="66"/>
      <c r="M208" s="67">
        <v>840000</v>
      </c>
      <c r="N208" s="67"/>
      <c r="O208" s="68"/>
      <c r="P208" s="69" t="str">
        <f t="shared" si="39"/>
        <v>Hutang Pajak PPN</v>
      </c>
      <c r="Q208" s="61"/>
      <c r="X208" s="70"/>
    </row>
    <row r="209" spans="1:24" s="12" customFormat="1" hidden="1" x14ac:dyDescent="0.25">
      <c r="A209" s="60" t="str">
        <f t="shared" si="37"/>
        <v>89211,01</v>
      </c>
      <c r="B209" s="60">
        <f>COUNTIF($J$7:J209,J209)</f>
        <v>89</v>
      </c>
      <c r="C209" s="60" t="str">
        <f t="shared" si="38"/>
        <v>0</v>
      </c>
      <c r="D209" s="60">
        <f>COUNTIF($K$7:K209,K209)</f>
        <v>0</v>
      </c>
      <c r="E209" s="61"/>
      <c r="F209" s="71">
        <v>44586</v>
      </c>
      <c r="G209" s="72"/>
      <c r="H209" s="73" t="s">
        <v>121</v>
      </c>
      <c r="I209" s="74" t="s">
        <v>122</v>
      </c>
      <c r="J209" s="67">
        <v>211.01</v>
      </c>
      <c r="K209" s="65"/>
      <c r="L209" s="66"/>
      <c r="M209" s="67">
        <v>219000</v>
      </c>
      <c r="N209" s="67"/>
      <c r="O209" s="68"/>
      <c r="P209" s="69" t="str">
        <f t="shared" si="39"/>
        <v>Hutang Pajak PPN</v>
      </c>
      <c r="Q209" s="61"/>
      <c r="X209" s="70"/>
    </row>
    <row r="210" spans="1:24" s="12" customFormat="1" hidden="1" x14ac:dyDescent="0.25">
      <c r="A210" s="60" t="str">
        <f t="shared" si="37"/>
        <v>90211,01</v>
      </c>
      <c r="B210" s="60">
        <f>COUNTIF($J$7:J210,J210)</f>
        <v>90</v>
      </c>
      <c r="C210" s="60" t="str">
        <f t="shared" si="38"/>
        <v>0</v>
      </c>
      <c r="D210" s="60">
        <f>COUNTIF($K$7:K210,K210)</f>
        <v>0</v>
      </c>
      <c r="E210" s="61"/>
      <c r="F210" s="71">
        <v>44586</v>
      </c>
      <c r="G210" s="72"/>
      <c r="H210" s="73" t="s">
        <v>123</v>
      </c>
      <c r="I210" s="74" t="s">
        <v>124</v>
      </c>
      <c r="J210" s="67">
        <v>211.01</v>
      </c>
      <c r="K210" s="65"/>
      <c r="L210" s="66"/>
      <c r="M210" s="67">
        <v>864000</v>
      </c>
      <c r="N210" s="67"/>
      <c r="O210" s="68"/>
      <c r="P210" s="69" t="str">
        <f t="shared" si="39"/>
        <v>Hutang Pajak PPN</v>
      </c>
      <c r="Q210" s="61"/>
      <c r="X210" s="70"/>
    </row>
    <row r="211" spans="1:24" s="12" customFormat="1" hidden="1" x14ac:dyDescent="0.25">
      <c r="A211" s="60" t="str">
        <f t="shared" si="37"/>
        <v>91211,01</v>
      </c>
      <c r="B211" s="60">
        <f>COUNTIF($J$7:J211,J211)</f>
        <v>91</v>
      </c>
      <c r="C211" s="60" t="str">
        <f t="shared" si="38"/>
        <v>0</v>
      </c>
      <c r="D211" s="60">
        <f>COUNTIF($K$7:K211,K211)</f>
        <v>0</v>
      </c>
      <c r="E211" s="61"/>
      <c r="F211" s="71">
        <v>44586</v>
      </c>
      <c r="G211" s="72"/>
      <c r="H211" s="73" t="s">
        <v>125</v>
      </c>
      <c r="I211" s="74" t="s">
        <v>48</v>
      </c>
      <c r="J211" s="67">
        <v>211.01</v>
      </c>
      <c r="K211" s="65"/>
      <c r="L211" s="66"/>
      <c r="M211" s="67">
        <v>195000</v>
      </c>
      <c r="N211" s="67"/>
      <c r="O211" s="68"/>
      <c r="P211" s="69" t="str">
        <f t="shared" si="39"/>
        <v>Hutang Pajak PPN</v>
      </c>
      <c r="Q211" s="61"/>
      <c r="X211" s="70"/>
    </row>
    <row r="212" spans="1:24" s="12" customFormat="1" hidden="1" x14ac:dyDescent="0.25">
      <c r="A212" s="60" t="str">
        <f t="shared" si="37"/>
        <v>92211,01</v>
      </c>
      <c r="B212" s="60">
        <f>COUNTIF($J$7:J212,J212)</f>
        <v>92</v>
      </c>
      <c r="C212" s="60" t="str">
        <f t="shared" si="38"/>
        <v>0</v>
      </c>
      <c r="D212" s="60">
        <f>COUNTIF($K$7:K212,K212)</f>
        <v>0</v>
      </c>
      <c r="E212" s="61"/>
      <c r="F212" s="71">
        <v>44587</v>
      </c>
      <c r="G212" s="72"/>
      <c r="H212" s="73" t="s">
        <v>126</v>
      </c>
      <c r="I212" s="74" t="s">
        <v>37</v>
      </c>
      <c r="J212" s="67">
        <v>211.01</v>
      </c>
      <c r="K212" s="65"/>
      <c r="L212" s="66"/>
      <c r="M212" s="67">
        <v>1750000</v>
      </c>
      <c r="N212" s="67"/>
      <c r="O212" s="68"/>
      <c r="P212" s="69" t="str">
        <f t="shared" si="39"/>
        <v>Hutang Pajak PPN</v>
      </c>
      <c r="Q212" s="61"/>
      <c r="X212" s="70"/>
    </row>
    <row r="213" spans="1:24" s="12" customFormat="1" ht="30" hidden="1" x14ac:dyDescent="0.25">
      <c r="A213" s="60" t="str">
        <f t="shared" si="37"/>
        <v>93211,01</v>
      </c>
      <c r="B213" s="60">
        <f>COUNTIF($J$7:J213,J213)</f>
        <v>93</v>
      </c>
      <c r="C213" s="60" t="str">
        <f t="shared" si="38"/>
        <v>0</v>
      </c>
      <c r="D213" s="60">
        <f>COUNTIF($K$7:K213,K213)</f>
        <v>0</v>
      </c>
      <c r="E213" s="61"/>
      <c r="F213" s="71">
        <v>44587</v>
      </c>
      <c r="G213" s="72"/>
      <c r="H213" s="73" t="s">
        <v>127</v>
      </c>
      <c r="I213" s="74" t="s">
        <v>34</v>
      </c>
      <c r="J213" s="67">
        <v>211.01</v>
      </c>
      <c r="K213" s="65"/>
      <c r="L213" s="66"/>
      <c r="M213" s="67">
        <v>2340000</v>
      </c>
      <c r="N213" s="67"/>
      <c r="O213" s="68"/>
      <c r="P213" s="69" t="str">
        <f t="shared" si="39"/>
        <v>Hutang Pajak PPN</v>
      </c>
      <c r="Q213" s="61"/>
      <c r="X213" s="70"/>
    </row>
    <row r="214" spans="1:24" s="12" customFormat="1" ht="30" hidden="1" x14ac:dyDescent="0.25">
      <c r="A214" s="60" t="str">
        <f t="shared" si="37"/>
        <v>94211,01</v>
      </c>
      <c r="B214" s="60">
        <f>COUNTIF($J$7:J214,J214)</f>
        <v>94</v>
      </c>
      <c r="C214" s="60" t="str">
        <f t="shared" si="38"/>
        <v>0</v>
      </c>
      <c r="D214" s="60">
        <f>COUNTIF($K$7:K214,K214)</f>
        <v>0</v>
      </c>
      <c r="E214" s="61"/>
      <c r="F214" s="71">
        <v>44587</v>
      </c>
      <c r="G214" s="72"/>
      <c r="H214" s="73" t="s">
        <v>128</v>
      </c>
      <c r="I214" s="74" t="s">
        <v>34</v>
      </c>
      <c r="J214" s="67">
        <v>211.01</v>
      </c>
      <c r="K214" s="65"/>
      <c r="L214" s="66"/>
      <c r="M214" s="67">
        <v>672000</v>
      </c>
      <c r="N214" s="67"/>
      <c r="O214" s="68"/>
      <c r="P214" s="69" t="str">
        <f t="shared" si="39"/>
        <v>Hutang Pajak PPN</v>
      </c>
      <c r="Q214" s="61"/>
      <c r="X214" s="70"/>
    </row>
    <row r="215" spans="1:24" s="12" customFormat="1" hidden="1" x14ac:dyDescent="0.25">
      <c r="A215" s="60" t="str">
        <f t="shared" si="37"/>
        <v>95211,01</v>
      </c>
      <c r="B215" s="60">
        <f>COUNTIF($J$7:J215,J215)</f>
        <v>95</v>
      </c>
      <c r="C215" s="60" t="str">
        <f t="shared" si="38"/>
        <v>0</v>
      </c>
      <c r="D215" s="60">
        <f>COUNTIF($K$7:K215,K215)</f>
        <v>0</v>
      </c>
      <c r="E215" s="61"/>
      <c r="F215" s="71">
        <v>44568</v>
      </c>
      <c r="G215" s="72"/>
      <c r="H215" s="73" t="s">
        <v>129</v>
      </c>
      <c r="I215" s="74" t="s">
        <v>99</v>
      </c>
      <c r="J215" s="67">
        <v>211.01</v>
      </c>
      <c r="K215" s="65"/>
      <c r="L215" s="66"/>
      <c r="M215" s="67">
        <v>387500</v>
      </c>
      <c r="N215" s="67"/>
      <c r="O215" s="68"/>
      <c r="P215" s="69" t="str">
        <f t="shared" si="39"/>
        <v>Hutang Pajak PPN</v>
      </c>
      <c r="Q215" s="61"/>
      <c r="X215" s="70"/>
    </row>
    <row r="216" spans="1:24" s="12" customFormat="1" hidden="1" x14ac:dyDescent="0.25">
      <c r="A216" s="60" t="str">
        <f t="shared" si="37"/>
        <v>96211,01</v>
      </c>
      <c r="B216" s="60">
        <f>COUNTIF($J$7:J216,J216)</f>
        <v>96</v>
      </c>
      <c r="C216" s="60" t="str">
        <f t="shared" si="38"/>
        <v>0</v>
      </c>
      <c r="D216" s="60">
        <f>COUNTIF($K$7:K216,K216)</f>
        <v>0</v>
      </c>
      <c r="E216" s="61"/>
      <c r="F216" s="71">
        <v>44588</v>
      </c>
      <c r="G216" s="72"/>
      <c r="H216" s="73" t="s">
        <v>130</v>
      </c>
      <c r="I216" s="74" t="s">
        <v>131</v>
      </c>
      <c r="J216" s="67">
        <v>211.01</v>
      </c>
      <c r="K216" s="65"/>
      <c r="L216" s="66"/>
      <c r="M216" s="67">
        <v>378000</v>
      </c>
      <c r="N216" s="67"/>
      <c r="O216" s="68"/>
      <c r="P216" s="69" t="str">
        <f t="shared" si="39"/>
        <v>Hutang Pajak PPN</v>
      </c>
      <c r="Q216" s="61"/>
      <c r="X216" s="70"/>
    </row>
    <row r="217" spans="1:24" s="12" customFormat="1" ht="30" hidden="1" x14ac:dyDescent="0.25">
      <c r="A217" s="60" t="str">
        <f t="shared" si="37"/>
        <v>97211,01</v>
      </c>
      <c r="B217" s="60">
        <f>COUNTIF($J$7:J217,J217)</f>
        <v>97</v>
      </c>
      <c r="C217" s="60" t="str">
        <f t="shared" si="38"/>
        <v>0</v>
      </c>
      <c r="D217" s="60">
        <f>COUNTIF($K$7:K217,K217)</f>
        <v>0</v>
      </c>
      <c r="E217" s="61"/>
      <c r="F217" s="71">
        <v>44588</v>
      </c>
      <c r="G217" s="72"/>
      <c r="H217" s="73" t="s">
        <v>132</v>
      </c>
      <c r="I217" s="74" t="s">
        <v>34</v>
      </c>
      <c r="J217" s="67">
        <v>211.01</v>
      </c>
      <c r="K217" s="65"/>
      <c r="L217" s="66"/>
      <c r="M217" s="67">
        <v>54999</v>
      </c>
      <c r="N217" s="67"/>
      <c r="O217" s="68"/>
      <c r="P217" s="69" t="str">
        <f t="shared" si="39"/>
        <v>Hutang Pajak PPN</v>
      </c>
      <c r="Q217" s="61"/>
      <c r="X217" s="70"/>
    </row>
    <row r="218" spans="1:24" s="12" customFormat="1" ht="30" hidden="1" x14ac:dyDescent="0.25">
      <c r="A218" s="60" t="str">
        <f t="shared" si="37"/>
        <v>98211,01</v>
      </c>
      <c r="B218" s="60">
        <f>COUNTIF($J$7:J218,J218)</f>
        <v>98</v>
      </c>
      <c r="C218" s="60" t="str">
        <f t="shared" si="38"/>
        <v>0</v>
      </c>
      <c r="D218" s="60">
        <f>COUNTIF($K$7:K218,K218)</f>
        <v>0</v>
      </c>
      <c r="E218" s="61"/>
      <c r="F218" s="71">
        <v>44588</v>
      </c>
      <c r="G218" s="72"/>
      <c r="H218" s="73" t="s">
        <v>133</v>
      </c>
      <c r="I218" s="74" t="s">
        <v>34</v>
      </c>
      <c r="J218" s="67">
        <v>211.01</v>
      </c>
      <c r="K218" s="65"/>
      <c r="L218" s="66"/>
      <c r="M218" s="67">
        <v>274998</v>
      </c>
      <c r="N218" s="67"/>
      <c r="O218" s="68"/>
      <c r="P218" s="69" t="str">
        <f t="shared" si="39"/>
        <v>Hutang Pajak PPN</v>
      </c>
      <c r="Q218" s="61"/>
      <c r="X218" s="70"/>
    </row>
    <row r="219" spans="1:24" s="12" customFormat="1" hidden="1" x14ac:dyDescent="0.25">
      <c r="A219" s="60" t="str">
        <f t="shared" si="37"/>
        <v>99211,01</v>
      </c>
      <c r="B219" s="60">
        <f>COUNTIF($J$7:J219,J219)</f>
        <v>99</v>
      </c>
      <c r="C219" s="60" t="str">
        <f t="shared" si="38"/>
        <v>0</v>
      </c>
      <c r="D219" s="60">
        <f>COUNTIF($K$7:K219,K219)</f>
        <v>0</v>
      </c>
      <c r="E219" s="61"/>
      <c r="F219" s="71">
        <v>44589</v>
      </c>
      <c r="G219" s="72"/>
      <c r="H219" s="73" t="s">
        <v>134</v>
      </c>
      <c r="I219" s="74" t="s">
        <v>58</v>
      </c>
      <c r="J219" s="67">
        <v>211.01</v>
      </c>
      <c r="K219" s="65"/>
      <c r="L219" s="66"/>
      <c r="M219" s="67">
        <v>175000</v>
      </c>
      <c r="N219" s="67"/>
      <c r="O219" s="68"/>
      <c r="P219" s="69" t="str">
        <f t="shared" si="39"/>
        <v>Hutang Pajak PPN</v>
      </c>
      <c r="Q219" s="61"/>
      <c r="X219" s="70"/>
    </row>
    <row r="220" spans="1:24" s="12" customFormat="1" hidden="1" x14ac:dyDescent="0.25">
      <c r="A220" s="60" t="str">
        <f t="shared" si="37"/>
        <v>100211,01</v>
      </c>
      <c r="B220" s="60">
        <f>COUNTIF($J$7:J220,J220)</f>
        <v>100</v>
      </c>
      <c r="C220" s="60" t="str">
        <f t="shared" si="38"/>
        <v>0</v>
      </c>
      <c r="D220" s="60">
        <f>COUNTIF($K$7:K220,K220)</f>
        <v>0</v>
      </c>
      <c r="E220" s="61"/>
      <c r="F220" s="71">
        <v>44589</v>
      </c>
      <c r="G220" s="72"/>
      <c r="H220" s="73" t="s">
        <v>135</v>
      </c>
      <c r="I220" s="74" t="s">
        <v>20</v>
      </c>
      <c r="J220" s="67">
        <v>211.01</v>
      </c>
      <c r="K220" s="65"/>
      <c r="L220" s="66"/>
      <c r="M220" s="67">
        <v>177000</v>
      </c>
      <c r="N220" s="67"/>
      <c r="O220" s="68"/>
      <c r="P220" s="69" t="str">
        <f t="shared" si="39"/>
        <v>Hutang Pajak PPN</v>
      </c>
      <c r="Q220" s="61"/>
      <c r="X220" s="70"/>
    </row>
    <row r="221" spans="1:24" s="12" customFormat="1" hidden="1" x14ac:dyDescent="0.25">
      <c r="A221" s="60" t="str">
        <f t="shared" si="37"/>
        <v>101211,01</v>
      </c>
      <c r="B221" s="60">
        <f>COUNTIF($J$7:J221,J221)</f>
        <v>101</v>
      </c>
      <c r="C221" s="60" t="str">
        <f t="shared" si="38"/>
        <v>0</v>
      </c>
      <c r="D221" s="60">
        <f>COUNTIF($K$7:K221,K221)</f>
        <v>0</v>
      </c>
      <c r="E221" s="61"/>
      <c r="F221" s="71">
        <v>44589</v>
      </c>
      <c r="G221" s="72"/>
      <c r="H221" s="73" t="s">
        <v>136</v>
      </c>
      <c r="I221" s="74" t="s">
        <v>20</v>
      </c>
      <c r="J221" s="67">
        <v>211.01</v>
      </c>
      <c r="K221" s="65"/>
      <c r="L221" s="66"/>
      <c r="M221" s="67">
        <v>354000</v>
      </c>
      <c r="N221" s="67"/>
      <c r="O221" s="68"/>
      <c r="P221" s="69" t="str">
        <f t="shared" si="39"/>
        <v>Hutang Pajak PPN</v>
      </c>
      <c r="Q221" s="61"/>
      <c r="X221" s="70"/>
    </row>
    <row r="222" spans="1:24" s="12" customFormat="1" hidden="1" x14ac:dyDescent="0.25">
      <c r="A222" s="60" t="str">
        <f t="shared" si="37"/>
        <v>102211,01</v>
      </c>
      <c r="B222" s="60">
        <f>COUNTIF($J$7:J222,J222)</f>
        <v>102</v>
      </c>
      <c r="C222" s="60" t="str">
        <f t="shared" si="38"/>
        <v>0</v>
      </c>
      <c r="D222" s="60">
        <f>COUNTIF($K$7:K222,K222)</f>
        <v>0</v>
      </c>
      <c r="E222" s="61"/>
      <c r="F222" s="71">
        <v>44589</v>
      </c>
      <c r="G222" s="72"/>
      <c r="H222" s="73" t="s">
        <v>137</v>
      </c>
      <c r="I222" s="74" t="s">
        <v>20</v>
      </c>
      <c r="J222" s="67">
        <v>211.01</v>
      </c>
      <c r="K222" s="65"/>
      <c r="L222" s="66"/>
      <c r="M222" s="67">
        <v>537750</v>
      </c>
      <c r="N222" s="67"/>
      <c r="O222" s="68"/>
      <c r="P222" s="69" t="str">
        <f t="shared" si="39"/>
        <v>Hutang Pajak PPN</v>
      </c>
      <c r="Q222" s="61"/>
      <c r="X222" s="70"/>
    </row>
    <row r="223" spans="1:24" s="12" customFormat="1" ht="30" hidden="1" x14ac:dyDescent="0.25">
      <c r="A223" s="60" t="str">
        <f t="shared" si="37"/>
        <v>103211,01</v>
      </c>
      <c r="B223" s="60">
        <f>COUNTIF($J$7:J223,J223)</f>
        <v>103</v>
      </c>
      <c r="C223" s="60" t="str">
        <f t="shared" si="38"/>
        <v>0</v>
      </c>
      <c r="D223" s="60">
        <f>COUNTIF($K$7:K223,K223)</f>
        <v>0</v>
      </c>
      <c r="E223" s="61"/>
      <c r="F223" s="71">
        <v>44589</v>
      </c>
      <c r="G223" s="72"/>
      <c r="H223" s="73" t="s">
        <v>138</v>
      </c>
      <c r="I223" s="74" t="s">
        <v>34</v>
      </c>
      <c r="J223" s="90">
        <v>211.01</v>
      </c>
      <c r="K223" s="65"/>
      <c r="L223" s="66"/>
      <c r="M223" s="67">
        <v>48000</v>
      </c>
      <c r="N223" s="67"/>
      <c r="O223" s="68"/>
      <c r="P223" s="69" t="str">
        <f t="shared" si="39"/>
        <v>Hutang Pajak PPN</v>
      </c>
      <c r="Q223" s="61"/>
      <c r="X223" s="70"/>
    </row>
    <row r="224" spans="1:24" s="12" customFormat="1" hidden="1" x14ac:dyDescent="0.25">
      <c r="A224" s="60" t="str">
        <f t="shared" si="37"/>
        <v>104211,01</v>
      </c>
      <c r="B224" s="60">
        <f>COUNTIF($J$7:J224,J224)</f>
        <v>104</v>
      </c>
      <c r="C224" s="60" t="str">
        <f t="shared" si="38"/>
        <v>0</v>
      </c>
      <c r="D224" s="60">
        <f>COUNTIF($K$7:K224,K224)</f>
        <v>0</v>
      </c>
      <c r="E224" s="61"/>
      <c r="F224" s="71">
        <v>44592</v>
      </c>
      <c r="G224" s="72"/>
      <c r="H224" s="73" t="s">
        <v>139</v>
      </c>
      <c r="I224" s="74" t="s">
        <v>44</v>
      </c>
      <c r="J224" s="67">
        <v>211.01</v>
      </c>
      <c r="K224" s="65"/>
      <c r="L224" s="66"/>
      <c r="M224" s="67">
        <v>872727</v>
      </c>
      <c r="N224" s="67"/>
      <c r="O224" s="68"/>
      <c r="P224" s="69" t="str">
        <f t="shared" si="39"/>
        <v>Hutang Pajak PPN</v>
      </c>
      <c r="Q224" s="61"/>
      <c r="X224" s="70"/>
    </row>
    <row r="225" spans="1:24" s="12" customFormat="1" hidden="1" x14ac:dyDescent="0.25">
      <c r="A225" s="60" t="str">
        <f t="shared" si="37"/>
        <v>105211,01</v>
      </c>
      <c r="B225" s="60">
        <f>COUNTIF($J$7:J225,J225)</f>
        <v>105</v>
      </c>
      <c r="C225" s="60" t="str">
        <f t="shared" si="38"/>
        <v>0</v>
      </c>
      <c r="D225" s="60">
        <f>COUNTIF($K$7:K225,K225)</f>
        <v>0</v>
      </c>
      <c r="E225" s="61"/>
      <c r="F225" s="71">
        <v>44592</v>
      </c>
      <c r="G225" s="72"/>
      <c r="H225" s="73" t="s">
        <v>140</v>
      </c>
      <c r="I225" s="74" t="s">
        <v>32</v>
      </c>
      <c r="J225" s="67">
        <v>211.01</v>
      </c>
      <c r="K225" s="65"/>
      <c r="L225" s="66"/>
      <c r="M225" s="67">
        <v>840000</v>
      </c>
      <c r="N225" s="67"/>
      <c r="O225" s="68"/>
      <c r="P225" s="69" t="str">
        <f t="shared" si="39"/>
        <v>Hutang Pajak PPN</v>
      </c>
      <c r="Q225" s="61"/>
      <c r="X225" s="70"/>
    </row>
    <row r="226" spans="1:24" s="12" customFormat="1" hidden="1" x14ac:dyDescent="0.25">
      <c r="A226" s="60" t="str">
        <f t="shared" si="37"/>
        <v>106211,01</v>
      </c>
      <c r="B226" s="60">
        <f>COUNTIF($J$7:J226,J226)</f>
        <v>106</v>
      </c>
      <c r="C226" s="60" t="str">
        <f t="shared" si="38"/>
        <v>0</v>
      </c>
      <c r="D226" s="60">
        <f>COUNTIF($K$7:K226,K226)</f>
        <v>0</v>
      </c>
      <c r="E226" s="61"/>
      <c r="F226" s="71">
        <v>44592</v>
      </c>
      <c r="G226" s="72"/>
      <c r="H226" s="73" t="s">
        <v>141</v>
      </c>
      <c r="I226" s="74" t="s">
        <v>41</v>
      </c>
      <c r="J226" s="67">
        <v>211.01</v>
      </c>
      <c r="K226" s="65"/>
      <c r="L226" s="66"/>
      <c r="M226" s="67">
        <v>408000</v>
      </c>
      <c r="N226" s="67"/>
      <c r="O226" s="68"/>
      <c r="P226" s="69" t="str">
        <f t="shared" si="39"/>
        <v>Hutang Pajak PPN</v>
      </c>
      <c r="Q226" s="61"/>
      <c r="X226" s="70"/>
    </row>
    <row r="227" spans="1:24" s="12" customFormat="1" hidden="1" x14ac:dyDescent="0.25">
      <c r="A227" s="60" t="str">
        <f t="shared" si="37"/>
        <v>107211,01</v>
      </c>
      <c r="B227" s="60">
        <f>COUNTIF($J$7:J227,J227)</f>
        <v>107</v>
      </c>
      <c r="C227" s="60" t="str">
        <f t="shared" si="38"/>
        <v>0</v>
      </c>
      <c r="D227" s="60">
        <f>COUNTIF($K$7:K227,K227)</f>
        <v>0</v>
      </c>
      <c r="E227" s="61"/>
      <c r="F227" s="71">
        <v>44592</v>
      </c>
      <c r="G227" s="72"/>
      <c r="H227" s="73" t="s">
        <v>142</v>
      </c>
      <c r="I227" s="74" t="s">
        <v>41</v>
      </c>
      <c r="J227" s="67">
        <v>211.01</v>
      </c>
      <c r="K227" s="65"/>
      <c r="L227" s="66"/>
      <c r="M227" s="67">
        <v>4233000</v>
      </c>
      <c r="N227" s="67"/>
      <c r="O227" s="68"/>
      <c r="P227" s="69" t="str">
        <f t="shared" si="39"/>
        <v>Hutang Pajak PPN</v>
      </c>
      <c r="Q227" s="61"/>
      <c r="X227" s="70"/>
    </row>
    <row r="228" spans="1:24" s="12" customFormat="1" hidden="1" x14ac:dyDescent="0.25">
      <c r="A228" s="60" t="str">
        <f t="shared" si="37"/>
        <v>108211,01</v>
      </c>
      <c r="B228" s="60">
        <f>COUNTIF($J$7:J228,J228)</f>
        <v>108</v>
      </c>
      <c r="C228" s="60" t="str">
        <f t="shared" si="38"/>
        <v>0</v>
      </c>
      <c r="D228" s="60">
        <f>COUNTIF($K$7:K228,K228)</f>
        <v>0</v>
      </c>
      <c r="E228" s="61"/>
      <c r="F228" s="71">
        <v>44592</v>
      </c>
      <c r="G228" s="72"/>
      <c r="H228" s="73" t="s">
        <v>143</v>
      </c>
      <c r="I228" s="74" t="s">
        <v>37</v>
      </c>
      <c r="J228" s="67">
        <v>211.01</v>
      </c>
      <c r="K228" s="65"/>
      <c r="L228" s="66"/>
      <c r="M228" s="67">
        <v>181500</v>
      </c>
      <c r="N228" s="67"/>
      <c r="O228" s="68"/>
      <c r="P228" s="69" t="str">
        <f t="shared" si="39"/>
        <v>Hutang Pajak PPN</v>
      </c>
      <c r="Q228" s="61"/>
      <c r="X228" s="70"/>
    </row>
    <row r="229" spans="1:24" s="12" customFormat="1" hidden="1" x14ac:dyDescent="0.25">
      <c r="A229" s="60" t="str">
        <f t="shared" si="37"/>
        <v>109211,01</v>
      </c>
      <c r="B229" s="60">
        <f>COUNTIF($J$7:J229,J229)</f>
        <v>109</v>
      </c>
      <c r="C229" s="60" t="str">
        <f t="shared" si="38"/>
        <v>0</v>
      </c>
      <c r="D229" s="60">
        <f>COUNTIF($K$7:K229,K229)</f>
        <v>0</v>
      </c>
      <c r="E229" s="61"/>
      <c r="F229" s="71">
        <v>44592</v>
      </c>
      <c r="G229" s="72"/>
      <c r="H229" s="73" t="s">
        <v>144</v>
      </c>
      <c r="I229" s="74" t="s">
        <v>37</v>
      </c>
      <c r="J229" s="67">
        <v>211.01</v>
      </c>
      <c r="K229" s="65"/>
      <c r="L229" s="66"/>
      <c r="M229" s="67">
        <v>2184000</v>
      </c>
      <c r="N229" s="67"/>
      <c r="O229" s="68"/>
      <c r="P229" s="69" t="str">
        <f t="shared" si="39"/>
        <v>Hutang Pajak PPN</v>
      </c>
      <c r="Q229" s="61"/>
      <c r="X229" s="70"/>
    </row>
    <row r="230" spans="1:24" s="12" customFormat="1" hidden="1" x14ac:dyDescent="0.25">
      <c r="A230" s="60" t="str">
        <f t="shared" si="37"/>
        <v>110211,01</v>
      </c>
      <c r="B230" s="60">
        <f>COUNTIF($J$7:J230,J230)</f>
        <v>110</v>
      </c>
      <c r="C230" s="60" t="str">
        <f t="shared" si="38"/>
        <v>0</v>
      </c>
      <c r="D230" s="60">
        <f>COUNTIF($K$7:K230,K230)</f>
        <v>0</v>
      </c>
      <c r="E230" s="61"/>
      <c r="F230" s="71">
        <v>44592</v>
      </c>
      <c r="G230" s="72"/>
      <c r="H230" s="73" t="s">
        <v>145</v>
      </c>
      <c r="I230" s="74" t="s">
        <v>48</v>
      </c>
      <c r="J230" s="67">
        <v>211.01</v>
      </c>
      <c r="K230" s="65"/>
      <c r="L230" s="66"/>
      <c r="M230" s="67">
        <v>195000</v>
      </c>
      <c r="N230" s="67"/>
      <c r="O230" s="68"/>
      <c r="P230" s="69" t="str">
        <f t="shared" si="39"/>
        <v>Hutang Pajak PPN</v>
      </c>
      <c r="Q230" s="61"/>
      <c r="X230" s="70"/>
    </row>
    <row r="231" spans="1:24" s="12" customFormat="1" hidden="1" x14ac:dyDescent="0.25">
      <c r="A231" s="60" t="str">
        <f t="shared" si="37"/>
        <v>111211,01</v>
      </c>
      <c r="B231" s="60">
        <f>COUNTIF($J$7:J231,J231)</f>
        <v>111</v>
      </c>
      <c r="C231" s="60" t="str">
        <f t="shared" si="38"/>
        <v>0</v>
      </c>
      <c r="D231" s="60">
        <f>COUNTIF($K$7:K231,K231)</f>
        <v>0</v>
      </c>
      <c r="E231" s="61"/>
      <c r="F231" s="71">
        <v>44592</v>
      </c>
      <c r="G231" s="72"/>
      <c r="H231" s="73" t="s">
        <v>146</v>
      </c>
      <c r="I231" s="74" t="s">
        <v>48</v>
      </c>
      <c r="J231" s="67">
        <v>211.01</v>
      </c>
      <c r="K231" s="65"/>
      <c r="L231" s="66"/>
      <c r="M231" s="67">
        <v>390000</v>
      </c>
      <c r="N231" s="67"/>
      <c r="O231" s="68"/>
      <c r="P231" s="69" t="str">
        <f t="shared" si="39"/>
        <v>Hutang Pajak PPN</v>
      </c>
      <c r="Q231" s="61"/>
      <c r="X231" s="70"/>
    </row>
    <row r="232" spans="1:24" s="12" customFormat="1" hidden="1" x14ac:dyDescent="0.25">
      <c r="A232" s="60" t="str">
        <f t="shared" si="37"/>
        <v>112211,01</v>
      </c>
      <c r="B232" s="60">
        <f>COUNTIF($J$7:J232,J232)</f>
        <v>112</v>
      </c>
      <c r="C232" s="60" t="str">
        <f t="shared" si="38"/>
        <v>0</v>
      </c>
      <c r="D232" s="60">
        <f>COUNTIF($K$7:K232,K232)</f>
        <v>0</v>
      </c>
      <c r="E232" s="61"/>
      <c r="F232" s="71">
        <v>44581</v>
      </c>
      <c r="G232" s="72"/>
      <c r="H232" s="73" t="s">
        <v>147</v>
      </c>
      <c r="I232" s="74" t="s">
        <v>99</v>
      </c>
      <c r="J232" s="67">
        <v>211.01</v>
      </c>
      <c r="K232" s="65"/>
      <c r="L232" s="66"/>
      <c r="M232" s="67">
        <v>387500</v>
      </c>
      <c r="N232" s="67"/>
      <c r="O232" s="68"/>
      <c r="P232" s="69" t="str">
        <f t="shared" si="39"/>
        <v>Hutang Pajak PPN</v>
      </c>
      <c r="Q232" s="61"/>
      <c r="X232" s="70"/>
    </row>
    <row r="233" spans="1:24" s="12" customFormat="1" hidden="1" x14ac:dyDescent="0.25">
      <c r="A233" s="60" t="str">
        <f t="shared" si="37"/>
        <v>113211,01</v>
      </c>
      <c r="B233" s="60">
        <f>COUNTIF($J$7:J233,J233)</f>
        <v>113</v>
      </c>
      <c r="C233" s="60" t="str">
        <f t="shared" si="38"/>
        <v>0</v>
      </c>
      <c r="D233" s="60">
        <f>COUNTIF($K$7:K233,K233)</f>
        <v>0</v>
      </c>
      <c r="E233" s="61"/>
      <c r="F233" s="71">
        <v>44587</v>
      </c>
      <c r="G233" s="72"/>
      <c r="H233" s="73" t="s">
        <v>148</v>
      </c>
      <c r="I233" s="74" t="s">
        <v>99</v>
      </c>
      <c r="J233" s="67">
        <v>211.01</v>
      </c>
      <c r="K233" s="65"/>
      <c r="L233" s="66"/>
      <c r="M233" s="67">
        <v>387500</v>
      </c>
      <c r="N233" s="67"/>
      <c r="O233" s="68"/>
      <c r="P233" s="69" t="str">
        <f t="shared" si="39"/>
        <v>Hutang Pajak PPN</v>
      </c>
      <c r="Q233" s="61"/>
      <c r="X233" s="70"/>
    </row>
    <row r="234" spans="1:24" s="101" customFormat="1" hidden="1" x14ac:dyDescent="0.25">
      <c r="A234" s="60" t="str">
        <f t="shared" si="37"/>
        <v>1410,03</v>
      </c>
      <c r="B234" s="60">
        <f>COUNTIF($J$7:J234,J234)</f>
        <v>1</v>
      </c>
      <c r="C234" s="60" t="str">
        <f t="shared" si="38"/>
        <v>0</v>
      </c>
      <c r="D234" s="60">
        <f>COUNTIF($K$7:K234,K234)</f>
        <v>0</v>
      </c>
      <c r="E234" s="91"/>
      <c r="F234" s="92">
        <v>44564</v>
      </c>
      <c r="G234" s="72"/>
      <c r="H234" s="93" t="s">
        <v>14</v>
      </c>
      <c r="I234" s="94" t="s">
        <v>15</v>
      </c>
      <c r="J234" s="95">
        <v>410.03</v>
      </c>
      <c r="K234" s="96"/>
      <c r="L234" s="97"/>
      <c r="M234" s="98">
        <v>4545454</v>
      </c>
      <c r="N234" s="77" t="s">
        <v>16</v>
      </c>
      <c r="O234" s="99"/>
      <c r="P234" s="100" t="str">
        <f t="shared" si="39"/>
        <v>Penjualan Exam</v>
      </c>
      <c r="Q234" s="91"/>
      <c r="X234" s="102"/>
    </row>
    <row r="235" spans="1:24" s="101" customFormat="1" hidden="1" x14ac:dyDescent="0.25">
      <c r="A235" s="60" t="str">
        <f t="shared" si="37"/>
        <v>1410,01</v>
      </c>
      <c r="B235" s="60">
        <f>COUNTIF($J$7:J235,J235)</f>
        <v>1</v>
      </c>
      <c r="C235" s="60" t="str">
        <f t="shared" si="38"/>
        <v>0</v>
      </c>
      <c r="D235" s="60">
        <f>COUNTIF($K$7:K235,K235)</f>
        <v>0</v>
      </c>
      <c r="E235" s="91"/>
      <c r="F235" s="92">
        <v>44564</v>
      </c>
      <c r="G235" s="72"/>
      <c r="H235" s="93" t="s">
        <v>17</v>
      </c>
      <c r="I235" s="94" t="s">
        <v>18</v>
      </c>
      <c r="J235" s="95">
        <v>410.01</v>
      </c>
      <c r="K235" s="96"/>
      <c r="L235" s="97"/>
      <c r="M235" s="103">
        <v>51022500</v>
      </c>
      <c r="N235" s="104" t="s">
        <v>16</v>
      </c>
      <c r="O235" s="99"/>
      <c r="P235" s="100" t="str">
        <f t="shared" si="39"/>
        <v>Penjualan Intouch</v>
      </c>
      <c r="Q235" s="91"/>
      <c r="X235" s="102"/>
    </row>
    <row r="236" spans="1:24" s="101" customFormat="1" hidden="1" x14ac:dyDescent="0.25">
      <c r="A236" s="60" t="str">
        <f t="shared" si="37"/>
        <v>2410,01</v>
      </c>
      <c r="B236" s="60">
        <f>COUNTIF($J$7:J236,J236)</f>
        <v>2</v>
      </c>
      <c r="C236" s="60" t="str">
        <f t="shared" si="38"/>
        <v>0</v>
      </c>
      <c r="D236" s="60">
        <f>COUNTIF($K$7:K236,K236)</f>
        <v>0</v>
      </c>
      <c r="E236" s="91"/>
      <c r="F236" s="92">
        <v>44564</v>
      </c>
      <c r="G236" s="72"/>
      <c r="H236" s="93" t="s">
        <v>19</v>
      </c>
      <c r="I236" s="94" t="s">
        <v>20</v>
      </c>
      <c r="J236" s="95">
        <v>410.01</v>
      </c>
      <c r="K236" s="96"/>
      <c r="L236" s="97"/>
      <c r="M236" s="103">
        <v>3585000</v>
      </c>
      <c r="N236" s="104" t="s">
        <v>16</v>
      </c>
      <c r="O236" s="99"/>
      <c r="P236" s="100" t="str">
        <f t="shared" si="39"/>
        <v>Penjualan Intouch</v>
      </c>
      <c r="Q236" s="91"/>
      <c r="X236" s="102"/>
    </row>
    <row r="237" spans="1:24" s="101" customFormat="1" hidden="1" x14ac:dyDescent="0.25">
      <c r="A237" s="60" t="str">
        <f t="shared" si="37"/>
        <v>3410,01</v>
      </c>
      <c r="B237" s="60">
        <f>COUNTIF($J$7:J237,J237)</f>
        <v>3</v>
      </c>
      <c r="C237" s="60" t="str">
        <f t="shared" si="38"/>
        <v>0</v>
      </c>
      <c r="D237" s="60">
        <f>COUNTIF($K$7:K237,K237)</f>
        <v>0</v>
      </c>
      <c r="E237" s="91"/>
      <c r="F237" s="92">
        <v>44564</v>
      </c>
      <c r="G237" s="72"/>
      <c r="H237" s="93" t="s">
        <v>21</v>
      </c>
      <c r="I237" s="94" t="s">
        <v>20</v>
      </c>
      <c r="J237" s="95">
        <v>410.01</v>
      </c>
      <c r="K237" s="96"/>
      <c r="L237" s="97"/>
      <c r="M237" s="103">
        <v>7170000</v>
      </c>
      <c r="N237" s="105" t="s">
        <v>16</v>
      </c>
      <c r="O237" s="99"/>
      <c r="P237" s="100" t="str">
        <f t="shared" si="39"/>
        <v>Penjualan Intouch</v>
      </c>
      <c r="Q237" s="91"/>
      <c r="X237" s="102"/>
    </row>
    <row r="238" spans="1:24" s="101" customFormat="1" hidden="1" x14ac:dyDescent="0.25">
      <c r="A238" s="60" t="str">
        <f t="shared" si="37"/>
        <v>4410,01</v>
      </c>
      <c r="B238" s="60">
        <f>COUNTIF($J$7:J238,J238)</f>
        <v>4</v>
      </c>
      <c r="C238" s="60" t="str">
        <f t="shared" si="38"/>
        <v>0</v>
      </c>
      <c r="D238" s="60">
        <f>COUNTIF($K$7:K238,K238)</f>
        <v>0</v>
      </c>
      <c r="E238" s="91"/>
      <c r="F238" s="92">
        <v>44564</v>
      </c>
      <c r="G238" s="72"/>
      <c r="H238" s="93" t="s">
        <v>22</v>
      </c>
      <c r="I238" s="94" t="s">
        <v>20</v>
      </c>
      <c r="J238" s="95">
        <v>410.01</v>
      </c>
      <c r="K238" s="96"/>
      <c r="L238" s="97"/>
      <c r="M238" s="103">
        <v>5377500</v>
      </c>
      <c r="N238" s="105" t="s">
        <v>16</v>
      </c>
      <c r="O238" s="99"/>
      <c r="P238" s="100" t="str">
        <f t="shared" si="39"/>
        <v>Penjualan Intouch</v>
      </c>
      <c r="Q238" s="91"/>
      <c r="X238" s="102"/>
    </row>
    <row r="239" spans="1:24" s="101" customFormat="1" hidden="1" x14ac:dyDescent="0.25">
      <c r="A239" s="60" t="str">
        <f t="shared" si="37"/>
        <v>5410,01</v>
      </c>
      <c r="B239" s="60">
        <f>COUNTIF($J$7:J239,J239)</f>
        <v>5</v>
      </c>
      <c r="C239" s="60" t="str">
        <f t="shared" si="38"/>
        <v>0</v>
      </c>
      <c r="D239" s="60">
        <f>COUNTIF($K$7:K239,K239)</f>
        <v>0</v>
      </c>
      <c r="E239" s="91"/>
      <c r="F239" s="92">
        <v>44564</v>
      </c>
      <c r="G239" s="72"/>
      <c r="H239" s="93" t="s">
        <v>23</v>
      </c>
      <c r="I239" s="94" t="s">
        <v>20</v>
      </c>
      <c r="J239" s="95">
        <v>410.01</v>
      </c>
      <c r="K239" s="96"/>
      <c r="L239" s="97"/>
      <c r="M239" s="103">
        <v>1522500</v>
      </c>
      <c r="N239" s="105" t="s">
        <v>16</v>
      </c>
      <c r="O239" s="99"/>
      <c r="P239" s="100" t="str">
        <f t="shared" si="39"/>
        <v>Penjualan Intouch</v>
      </c>
      <c r="Q239" s="91"/>
      <c r="X239" s="102"/>
    </row>
    <row r="240" spans="1:24" s="101" customFormat="1" hidden="1" x14ac:dyDescent="0.25">
      <c r="A240" s="60" t="str">
        <f t="shared" si="37"/>
        <v>6410,01</v>
      </c>
      <c r="B240" s="60">
        <f>COUNTIF($J$7:J240,J240)</f>
        <v>6</v>
      </c>
      <c r="C240" s="60" t="str">
        <f t="shared" si="38"/>
        <v>0</v>
      </c>
      <c r="D240" s="60">
        <f>COUNTIF($K$7:K240,K240)</f>
        <v>0</v>
      </c>
      <c r="E240" s="91"/>
      <c r="F240" s="92">
        <v>44564</v>
      </c>
      <c r="G240" s="72"/>
      <c r="H240" s="93" t="s">
        <v>24</v>
      </c>
      <c r="I240" s="94" t="s">
        <v>20</v>
      </c>
      <c r="J240" s="95">
        <v>410.01</v>
      </c>
      <c r="K240" s="96"/>
      <c r="L240" s="97"/>
      <c r="M240" s="103">
        <v>1522500</v>
      </c>
      <c r="N240" s="105" t="s">
        <v>16</v>
      </c>
      <c r="O240" s="99"/>
      <c r="P240" s="100" t="str">
        <f t="shared" si="39"/>
        <v>Penjualan Intouch</v>
      </c>
      <c r="Q240" s="91"/>
      <c r="X240" s="102"/>
    </row>
    <row r="241" spans="1:24" s="101" customFormat="1" hidden="1" x14ac:dyDescent="0.25">
      <c r="A241" s="60" t="str">
        <f t="shared" si="37"/>
        <v>7410,01</v>
      </c>
      <c r="B241" s="60">
        <f>COUNTIF($J$7:J241,J241)</f>
        <v>7</v>
      </c>
      <c r="C241" s="60" t="str">
        <f t="shared" si="38"/>
        <v>0</v>
      </c>
      <c r="D241" s="60">
        <f>COUNTIF($K$7:K241,K241)</f>
        <v>0</v>
      </c>
      <c r="E241" s="91"/>
      <c r="F241" s="92">
        <v>44564</v>
      </c>
      <c r="G241" s="72"/>
      <c r="H241" s="93" t="s">
        <v>25</v>
      </c>
      <c r="I241" s="94" t="s">
        <v>26</v>
      </c>
      <c r="J241" s="95">
        <v>410.01</v>
      </c>
      <c r="K241" s="96"/>
      <c r="L241" s="97"/>
      <c r="M241" s="103">
        <v>4380000</v>
      </c>
      <c r="N241" s="105" t="s">
        <v>16</v>
      </c>
      <c r="O241" s="99"/>
      <c r="P241" s="100" t="str">
        <f t="shared" si="39"/>
        <v>Penjualan Intouch</v>
      </c>
      <c r="Q241" s="91"/>
      <c r="X241" s="102"/>
    </row>
    <row r="242" spans="1:24" s="101" customFormat="1" ht="30" hidden="1" x14ac:dyDescent="0.25">
      <c r="A242" s="60" t="str">
        <f t="shared" si="37"/>
        <v>8410,01</v>
      </c>
      <c r="B242" s="60">
        <f>COUNTIF($J$7:J242,J242)</f>
        <v>8</v>
      </c>
      <c r="C242" s="60" t="str">
        <f t="shared" si="38"/>
        <v>0</v>
      </c>
      <c r="D242" s="60">
        <f>COUNTIF($K$7:K242,K242)</f>
        <v>0</v>
      </c>
      <c r="E242" s="91"/>
      <c r="F242" s="92">
        <v>44564</v>
      </c>
      <c r="G242" s="72"/>
      <c r="H242" s="93" t="s">
        <v>27</v>
      </c>
      <c r="I242" s="94" t="s">
        <v>28</v>
      </c>
      <c r="J242" s="95">
        <v>410.01</v>
      </c>
      <c r="K242" s="96"/>
      <c r="L242" s="97"/>
      <c r="M242" s="103">
        <v>9600000</v>
      </c>
      <c r="N242" s="105" t="s">
        <v>16</v>
      </c>
      <c r="O242" s="99"/>
      <c r="P242" s="100" t="str">
        <f t="shared" si="39"/>
        <v>Penjualan Intouch</v>
      </c>
      <c r="Q242" s="91"/>
      <c r="X242" s="102"/>
    </row>
    <row r="243" spans="1:24" s="101" customFormat="1" hidden="1" x14ac:dyDescent="0.25">
      <c r="A243" s="60" t="str">
        <f t="shared" si="37"/>
        <v>2410,03</v>
      </c>
      <c r="B243" s="60">
        <f>COUNTIF($J$7:J243,J243)</f>
        <v>2</v>
      </c>
      <c r="C243" s="60" t="str">
        <f t="shared" si="38"/>
        <v>0</v>
      </c>
      <c r="D243" s="60">
        <f>COUNTIF($K$7:K243,K243)</f>
        <v>0</v>
      </c>
      <c r="E243" s="91"/>
      <c r="F243" s="92">
        <v>44565</v>
      </c>
      <c r="G243" s="72"/>
      <c r="H243" s="93" t="s">
        <v>29</v>
      </c>
      <c r="I243" s="94" t="s">
        <v>18</v>
      </c>
      <c r="J243" s="95">
        <v>410.03</v>
      </c>
      <c r="K243" s="96"/>
      <c r="L243" s="97"/>
      <c r="M243" s="103">
        <v>8200000</v>
      </c>
      <c r="N243" s="106" t="s">
        <v>16</v>
      </c>
      <c r="O243" s="99"/>
      <c r="P243" s="100" t="str">
        <f t="shared" si="39"/>
        <v>Penjualan Exam</v>
      </c>
      <c r="Q243" s="91"/>
      <c r="X243" s="102"/>
    </row>
    <row r="244" spans="1:24" s="101" customFormat="1" hidden="1" x14ac:dyDescent="0.25">
      <c r="A244" s="60" t="str">
        <f t="shared" si="37"/>
        <v>9410,01</v>
      </c>
      <c r="B244" s="60">
        <f>COUNTIF($J$7:J244,J244)</f>
        <v>9</v>
      </c>
      <c r="C244" s="60" t="str">
        <f t="shared" si="38"/>
        <v>0</v>
      </c>
      <c r="D244" s="60">
        <f>COUNTIF($K$7:K244,K244)</f>
        <v>0</v>
      </c>
      <c r="E244" s="91"/>
      <c r="F244" s="92">
        <v>44565</v>
      </c>
      <c r="G244" s="72"/>
      <c r="H244" s="93" t="s">
        <v>30</v>
      </c>
      <c r="I244" s="94" t="s">
        <v>18</v>
      </c>
      <c r="J244" s="95">
        <v>410.01</v>
      </c>
      <c r="K244" s="96"/>
      <c r="L244" s="97"/>
      <c r="M244" s="98">
        <v>15225000</v>
      </c>
      <c r="N244" s="106" t="s">
        <v>16</v>
      </c>
      <c r="O244" s="99"/>
      <c r="P244" s="100" t="str">
        <f t="shared" si="39"/>
        <v>Penjualan Intouch</v>
      </c>
      <c r="Q244" s="91"/>
      <c r="X244" s="102"/>
    </row>
    <row r="245" spans="1:24" s="101" customFormat="1" hidden="1" x14ac:dyDescent="0.25">
      <c r="A245" s="60" t="str">
        <f t="shared" si="37"/>
        <v>3410,03</v>
      </c>
      <c r="B245" s="60">
        <f>COUNTIF($J$7:J245,J245)</f>
        <v>3</v>
      </c>
      <c r="C245" s="60" t="str">
        <f t="shared" si="38"/>
        <v>0</v>
      </c>
      <c r="D245" s="60">
        <f>COUNTIF($K$7:K245,K245)</f>
        <v>0</v>
      </c>
      <c r="E245" s="91"/>
      <c r="F245" s="92">
        <v>44565</v>
      </c>
      <c r="G245" s="72"/>
      <c r="H245" s="93" t="s">
        <v>31</v>
      </c>
      <c r="I245" s="94" t="s">
        <v>32</v>
      </c>
      <c r="J245" s="95">
        <v>410.03</v>
      </c>
      <c r="K245" s="96"/>
      <c r="L245" s="97"/>
      <c r="M245" s="98">
        <v>9840000</v>
      </c>
      <c r="N245" s="106" t="s">
        <v>16</v>
      </c>
      <c r="O245" s="99"/>
      <c r="P245" s="100" t="str">
        <f t="shared" si="39"/>
        <v>Penjualan Exam</v>
      </c>
      <c r="Q245" s="91"/>
      <c r="X245" s="102"/>
    </row>
    <row r="246" spans="1:24" s="101" customFormat="1" ht="30" hidden="1" x14ac:dyDescent="0.25">
      <c r="A246" s="60" t="str">
        <f t="shared" si="37"/>
        <v>10410,01</v>
      </c>
      <c r="B246" s="60">
        <f>COUNTIF($J$7:J246,J246)</f>
        <v>10</v>
      </c>
      <c r="C246" s="60" t="str">
        <f t="shared" si="38"/>
        <v>0</v>
      </c>
      <c r="D246" s="60">
        <f>COUNTIF($K$7:K246,K246)</f>
        <v>0</v>
      </c>
      <c r="E246" s="91"/>
      <c r="F246" s="92">
        <v>44565</v>
      </c>
      <c r="G246" s="72"/>
      <c r="H246" s="93" t="s">
        <v>33</v>
      </c>
      <c r="I246" s="94" t="s">
        <v>34</v>
      </c>
      <c r="J246" s="95">
        <v>410.01</v>
      </c>
      <c r="K246" s="96"/>
      <c r="L246" s="97"/>
      <c r="M246" s="103">
        <v>3597750</v>
      </c>
      <c r="N246" s="107" t="s">
        <v>16</v>
      </c>
      <c r="O246" s="99"/>
      <c r="P246" s="100" t="str">
        <f t="shared" si="39"/>
        <v>Penjualan Intouch</v>
      </c>
      <c r="Q246" s="91"/>
      <c r="X246" s="102"/>
    </row>
    <row r="247" spans="1:24" s="101" customFormat="1" hidden="1" x14ac:dyDescent="0.25">
      <c r="A247" s="60" t="str">
        <f t="shared" si="37"/>
        <v>11410,01</v>
      </c>
      <c r="B247" s="60">
        <f>COUNTIF($J$7:J247,J247)</f>
        <v>11</v>
      </c>
      <c r="C247" s="60" t="str">
        <f t="shared" si="38"/>
        <v>0</v>
      </c>
      <c r="D247" s="60">
        <f>COUNTIF($K$7:K247,K247)</f>
        <v>0</v>
      </c>
      <c r="E247" s="91"/>
      <c r="F247" s="92">
        <v>44566</v>
      </c>
      <c r="G247" s="72"/>
      <c r="H247" s="93" t="s">
        <v>35</v>
      </c>
      <c r="I247" s="94" t="s">
        <v>20</v>
      </c>
      <c r="J247" s="95">
        <v>410.01</v>
      </c>
      <c r="K247" s="96"/>
      <c r="L247" s="97"/>
      <c r="M247" s="103">
        <v>8047500</v>
      </c>
      <c r="N247" s="106" t="s">
        <v>16</v>
      </c>
      <c r="O247" s="99"/>
      <c r="P247" s="100" t="str">
        <f t="shared" si="39"/>
        <v>Penjualan Intouch</v>
      </c>
      <c r="Q247" s="91"/>
      <c r="X247" s="102"/>
    </row>
    <row r="248" spans="1:24" s="101" customFormat="1" hidden="1" x14ac:dyDescent="0.25">
      <c r="A248" s="60" t="str">
        <f t="shared" si="37"/>
        <v>4410,03</v>
      </c>
      <c r="B248" s="60">
        <f>COUNTIF($J$7:J248,J248)</f>
        <v>4</v>
      </c>
      <c r="C248" s="60" t="str">
        <f t="shared" si="38"/>
        <v>0</v>
      </c>
      <c r="D248" s="60">
        <f>COUNTIF($K$7:K248,K248)</f>
        <v>0</v>
      </c>
      <c r="E248" s="91"/>
      <c r="F248" s="92">
        <v>44566</v>
      </c>
      <c r="G248" s="72"/>
      <c r="H248" s="93" t="s">
        <v>36</v>
      </c>
      <c r="I248" s="94" t="s">
        <v>37</v>
      </c>
      <c r="J248" s="95">
        <v>410.03</v>
      </c>
      <c r="K248" s="96"/>
      <c r="L248" s="97"/>
      <c r="M248" s="98">
        <v>14000000</v>
      </c>
      <c r="N248" s="106" t="s">
        <v>16</v>
      </c>
      <c r="O248" s="99"/>
      <c r="P248" s="100" t="str">
        <f t="shared" si="39"/>
        <v>Penjualan Exam</v>
      </c>
      <c r="Q248" s="91"/>
      <c r="X248" s="102"/>
    </row>
    <row r="249" spans="1:24" s="101" customFormat="1" ht="30" hidden="1" x14ac:dyDescent="0.25">
      <c r="A249" s="60" t="str">
        <f t="shared" si="37"/>
        <v>5410,03</v>
      </c>
      <c r="B249" s="60">
        <f>COUNTIF($J$7:J249,J249)</f>
        <v>5</v>
      </c>
      <c r="C249" s="60" t="str">
        <f t="shared" si="38"/>
        <v>0</v>
      </c>
      <c r="D249" s="60">
        <f>COUNTIF($K$7:K249,K249)</f>
        <v>0</v>
      </c>
      <c r="E249" s="91"/>
      <c r="F249" s="92">
        <v>44566</v>
      </c>
      <c r="G249" s="72"/>
      <c r="H249" s="93" t="s">
        <v>38</v>
      </c>
      <c r="I249" s="94" t="s">
        <v>34</v>
      </c>
      <c r="J249" s="95">
        <v>410.03</v>
      </c>
      <c r="K249" s="96"/>
      <c r="L249" s="97"/>
      <c r="M249" s="98">
        <v>9000000</v>
      </c>
      <c r="N249" s="106" t="s">
        <v>16</v>
      </c>
      <c r="O249" s="99"/>
      <c r="P249" s="100" t="str">
        <f t="shared" si="39"/>
        <v>Penjualan Exam</v>
      </c>
      <c r="Q249" s="91"/>
      <c r="X249" s="102"/>
    </row>
    <row r="250" spans="1:24" s="101" customFormat="1" ht="30" hidden="1" x14ac:dyDescent="0.25">
      <c r="A250" s="60" t="str">
        <f t="shared" si="37"/>
        <v>12410,01</v>
      </c>
      <c r="B250" s="60">
        <f>COUNTIF($J$7:J250,J250)</f>
        <v>12</v>
      </c>
      <c r="C250" s="60" t="str">
        <f t="shared" si="38"/>
        <v>0</v>
      </c>
      <c r="D250" s="60">
        <f>COUNTIF($K$7:K250,K250)</f>
        <v>0</v>
      </c>
      <c r="E250" s="91"/>
      <c r="F250" s="92">
        <v>44566</v>
      </c>
      <c r="G250" s="72"/>
      <c r="H250" s="93" t="s">
        <v>39</v>
      </c>
      <c r="I250" s="94" t="s">
        <v>34</v>
      </c>
      <c r="J250" s="95">
        <v>410.01</v>
      </c>
      <c r="K250" s="96"/>
      <c r="L250" s="97"/>
      <c r="M250" s="103">
        <v>1798875</v>
      </c>
      <c r="N250" s="106" t="s">
        <v>16</v>
      </c>
      <c r="O250" s="99"/>
      <c r="P250" s="100" t="str">
        <f t="shared" si="39"/>
        <v>Penjualan Intouch</v>
      </c>
      <c r="Q250" s="91"/>
      <c r="X250" s="102"/>
    </row>
    <row r="251" spans="1:24" s="101" customFormat="1" ht="21" customHeight="1" x14ac:dyDescent="0.25">
      <c r="A251" s="60" t="str">
        <f t="shared" si="37"/>
        <v>13410,01</v>
      </c>
      <c r="B251" s="60">
        <f>COUNTIF($J$7:J251,J251)</f>
        <v>13</v>
      </c>
      <c r="C251" s="60" t="str">
        <f t="shared" si="38"/>
        <v>0</v>
      </c>
      <c r="D251" s="60">
        <f>COUNTIF($K$7:K251,K251)</f>
        <v>0</v>
      </c>
      <c r="E251" s="91"/>
      <c r="F251" s="92">
        <v>44567</v>
      </c>
      <c r="G251" s="72"/>
      <c r="H251" s="93" t="s">
        <v>40</v>
      </c>
      <c r="I251" s="94" t="s">
        <v>41</v>
      </c>
      <c r="J251" s="95">
        <v>410.01</v>
      </c>
      <c r="K251" s="96"/>
      <c r="L251" s="97"/>
      <c r="M251" s="103">
        <v>32640000</v>
      </c>
      <c r="N251" s="106" t="s">
        <v>16</v>
      </c>
      <c r="O251" s="99"/>
      <c r="P251" s="100" t="str">
        <f t="shared" si="39"/>
        <v>Penjualan Intouch</v>
      </c>
      <c r="Q251" s="91"/>
      <c r="X251" s="102"/>
    </row>
    <row r="252" spans="1:24" s="101" customFormat="1" x14ac:dyDescent="0.25">
      <c r="A252" s="60" t="str">
        <f t="shared" si="37"/>
        <v>14410,01</v>
      </c>
      <c r="B252" s="60">
        <f>COUNTIF($J$7:J252,J252)</f>
        <v>14</v>
      </c>
      <c r="C252" s="60" t="str">
        <f t="shared" si="38"/>
        <v>0</v>
      </c>
      <c r="D252" s="60">
        <f>COUNTIF($K$7:K252,K252)</f>
        <v>0</v>
      </c>
      <c r="E252" s="91"/>
      <c r="F252" s="92">
        <v>44567</v>
      </c>
      <c r="G252" s="72"/>
      <c r="H252" s="93" t="s">
        <v>42</v>
      </c>
      <c r="I252" s="94" t="s">
        <v>37</v>
      </c>
      <c r="J252" s="95">
        <v>410.01</v>
      </c>
      <c r="K252" s="96"/>
      <c r="L252" s="97"/>
      <c r="M252" s="103">
        <v>8760000</v>
      </c>
      <c r="N252" s="106" t="s">
        <v>16</v>
      </c>
      <c r="O252" s="99"/>
      <c r="P252" s="100" t="str">
        <f t="shared" si="39"/>
        <v>Penjualan Intouch</v>
      </c>
      <c r="Q252" s="91"/>
      <c r="X252" s="102"/>
    </row>
    <row r="253" spans="1:24" s="101" customFormat="1" hidden="1" x14ac:dyDescent="0.25">
      <c r="A253" s="60" t="str">
        <f t="shared" si="37"/>
        <v>6410,03</v>
      </c>
      <c r="B253" s="60">
        <f>COUNTIF($J$7:J253,J253)</f>
        <v>6</v>
      </c>
      <c r="C253" s="60" t="str">
        <f t="shared" si="38"/>
        <v>0</v>
      </c>
      <c r="D253" s="60">
        <f>COUNTIF($K$7:K253,K253)</f>
        <v>0</v>
      </c>
      <c r="E253" s="91"/>
      <c r="F253" s="92">
        <v>44568</v>
      </c>
      <c r="G253" s="72"/>
      <c r="H253" s="93" t="s">
        <v>43</v>
      </c>
      <c r="I253" s="94" t="s">
        <v>44</v>
      </c>
      <c r="J253" s="95">
        <v>410.03</v>
      </c>
      <c r="K253" s="96"/>
      <c r="L253" s="97"/>
      <c r="M253" s="98">
        <v>8727272</v>
      </c>
      <c r="N253" s="98"/>
      <c r="O253" s="99"/>
      <c r="P253" s="100" t="str">
        <f t="shared" si="39"/>
        <v>Penjualan Exam</v>
      </c>
      <c r="Q253" s="91"/>
      <c r="X253" s="102"/>
    </row>
    <row r="254" spans="1:24" s="101" customFormat="1" ht="30" hidden="1" x14ac:dyDescent="0.25">
      <c r="A254" s="60" t="str">
        <f t="shared" si="37"/>
        <v>7410,03</v>
      </c>
      <c r="B254" s="60">
        <f>COUNTIF($J$7:J254,J254)</f>
        <v>7</v>
      </c>
      <c r="C254" s="60" t="str">
        <f t="shared" si="38"/>
        <v>0</v>
      </c>
      <c r="D254" s="60">
        <f>COUNTIF($K$7:K254,K254)</f>
        <v>0</v>
      </c>
      <c r="E254" s="91"/>
      <c r="F254" s="92">
        <v>44568</v>
      </c>
      <c r="G254" s="72"/>
      <c r="H254" s="93" t="s">
        <v>45</v>
      </c>
      <c r="I254" s="94" t="s">
        <v>34</v>
      </c>
      <c r="J254" s="95">
        <v>410.03</v>
      </c>
      <c r="K254" s="96"/>
      <c r="L254" s="97"/>
      <c r="M254" s="98">
        <v>4320000</v>
      </c>
      <c r="N254" s="98"/>
      <c r="O254" s="99"/>
      <c r="P254" s="100" t="str">
        <f t="shared" si="39"/>
        <v>Penjualan Exam</v>
      </c>
      <c r="Q254" s="91"/>
      <c r="X254" s="102"/>
    </row>
    <row r="255" spans="1:24" s="101" customFormat="1" ht="30" hidden="1" x14ac:dyDescent="0.25">
      <c r="A255" s="60" t="str">
        <f t="shared" si="37"/>
        <v>8410,03</v>
      </c>
      <c r="B255" s="60">
        <f>COUNTIF($J$7:J255,J255)</f>
        <v>8</v>
      </c>
      <c r="C255" s="60" t="str">
        <f t="shared" si="38"/>
        <v>0</v>
      </c>
      <c r="D255" s="60">
        <f>COUNTIF($K$7:K255,K255)</f>
        <v>0</v>
      </c>
      <c r="E255" s="91"/>
      <c r="F255" s="92">
        <v>44568</v>
      </c>
      <c r="G255" s="72"/>
      <c r="H255" s="93" t="s">
        <v>46</v>
      </c>
      <c r="I255" s="94" t="s">
        <v>34</v>
      </c>
      <c r="J255" s="95">
        <v>410.03</v>
      </c>
      <c r="K255" s="96"/>
      <c r="L255" s="97"/>
      <c r="M255" s="98">
        <v>7200000</v>
      </c>
      <c r="N255" s="98"/>
      <c r="O255" s="99"/>
      <c r="P255" s="100" t="str">
        <f t="shared" si="39"/>
        <v>Penjualan Exam</v>
      </c>
      <c r="Q255" s="91"/>
      <c r="X255" s="102"/>
    </row>
    <row r="256" spans="1:24" s="101" customFormat="1" hidden="1" x14ac:dyDescent="0.25">
      <c r="A256" s="60" t="str">
        <f t="shared" si="37"/>
        <v>15410,01</v>
      </c>
      <c r="B256" s="60">
        <f>COUNTIF($J$7:J256,J256)</f>
        <v>15</v>
      </c>
      <c r="C256" s="60" t="str">
        <f t="shared" si="38"/>
        <v>0</v>
      </c>
      <c r="D256" s="60">
        <f>COUNTIF($K$7:K256,K256)</f>
        <v>0</v>
      </c>
      <c r="E256" s="91"/>
      <c r="F256" s="92">
        <v>44568</v>
      </c>
      <c r="G256" s="72"/>
      <c r="H256" s="93" t="s">
        <v>47</v>
      </c>
      <c r="I256" s="94" t="s">
        <v>48</v>
      </c>
      <c r="J256" s="95">
        <v>410.01</v>
      </c>
      <c r="K256" s="96"/>
      <c r="L256" s="97"/>
      <c r="M256" s="103">
        <v>1950000</v>
      </c>
      <c r="N256" s="103"/>
      <c r="O256" s="99"/>
      <c r="P256" s="100" t="str">
        <f t="shared" si="39"/>
        <v>Penjualan Intouch</v>
      </c>
      <c r="Q256" s="91"/>
      <c r="X256" s="102"/>
    </row>
    <row r="257" spans="1:24" s="101" customFormat="1" hidden="1" x14ac:dyDescent="0.25">
      <c r="A257" s="60" t="str">
        <f t="shared" si="37"/>
        <v>9410,03</v>
      </c>
      <c r="B257" s="60">
        <f>COUNTIF($J$7:J257,J257)</f>
        <v>9</v>
      </c>
      <c r="C257" s="60" t="str">
        <f t="shared" si="38"/>
        <v>0</v>
      </c>
      <c r="D257" s="60">
        <f>COUNTIF($K$7:K257,K257)</f>
        <v>0</v>
      </c>
      <c r="E257" s="91"/>
      <c r="F257" s="92">
        <v>44568</v>
      </c>
      <c r="G257" s="72"/>
      <c r="H257" s="93" t="s">
        <v>49</v>
      </c>
      <c r="I257" s="94" t="s">
        <v>18</v>
      </c>
      <c r="J257" s="95">
        <v>410.03</v>
      </c>
      <c r="K257" s="108"/>
      <c r="L257" s="97"/>
      <c r="M257" s="103">
        <v>9020000</v>
      </c>
      <c r="N257" s="103"/>
      <c r="O257" s="99"/>
      <c r="P257" s="100" t="str">
        <f t="shared" si="39"/>
        <v>Penjualan Exam</v>
      </c>
      <c r="Q257" s="91"/>
      <c r="X257" s="102"/>
    </row>
    <row r="258" spans="1:24" s="101" customFormat="1" hidden="1" x14ac:dyDescent="0.25">
      <c r="A258" s="60" t="str">
        <f t="shared" si="37"/>
        <v>16410,01</v>
      </c>
      <c r="B258" s="60">
        <f>COUNTIF($J$7:J258,J258)</f>
        <v>16</v>
      </c>
      <c r="C258" s="60" t="str">
        <f t="shared" si="38"/>
        <v>0</v>
      </c>
      <c r="D258" s="60">
        <f>COUNTIF($K$7:K258,K258)</f>
        <v>0</v>
      </c>
      <c r="E258" s="91"/>
      <c r="F258" s="92">
        <v>44571</v>
      </c>
      <c r="G258" s="72"/>
      <c r="H258" s="93" t="s">
        <v>50</v>
      </c>
      <c r="I258" s="94" t="s">
        <v>37</v>
      </c>
      <c r="J258" s="95">
        <v>410.01</v>
      </c>
      <c r="K258" s="108"/>
      <c r="L258" s="97"/>
      <c r="M258" s="103">
        <v>12390000</v>
      </c>
      <c r="N258" s="103"/>
      <c r="O258" s="99"/>
      <c r="P258" s="100" t="str">
        <f t="shared" si="39"/>
        <v>Penjualan Intouch</v>
      </c>
      <c r="Q258" s="91"/>
      <c r="X258" s="102"/>
    </row>
    <row r="259" spans="1:24" s="101" customFormat="1" hidden="1" x14ac:dyDescent="0.25">
      <c r="A259" s="60" t="str">
        <f t="shared" si="37"/>
        <v>10410,03</v>
      </c>
      <c r="B259" s="60">
        <f>COUNTIF($J$7:J259,J259)</f>
        <v>10</v>
      </c>
      <c r="C259" s="60" t="str">
        <f t="shared" si="38"/>
        <v>0</v>
      </c>
      <c r="D259" s="60">
        <f>COUNTIF($K$7:K259,K259)</f>
        <v>0</v>
      </c>
      <c r="E259" s="91"/>
      <c r="F259" s="92">
        <v>44571</v>
      </c>
      <c r="G259" s="72"/>
      <c r="H259" s="93" t="s">
        <v>51</v>
      </c>
      <c r="I259" s="94" t="s">
        <v>37</v>
      </c>
      <c r="J259" s="95">
        <v>410.03</v>
      </c>
      <c r="K259" s="108"/>
      <c r="L259" s="97"/>
      <c r="M259" s="98">
        <v>7875000</v>
      </c>
      <c r="N259" s="98"/>
      <c r="O259" s="99"/>
      <c r="P259" s="100" t="str">
        <f t="shared" si="39"/>
        <v>Penjualan Exam</v>
      </c>
      <c r="Q259" s="91"/>
      <c r="X259" s="102"/>
    </row>
    <row r="260" spans="1:24" s="101" customFormat="1" hidden="1" x14ac:dyDescent="0.25">
      <c r="A260" s="60" t="str">
        <f t="shared" si="37"/>
        <v>11410,03</v>
      </c>
      <c r="B260" s="60">
        <f>COUNTIF($J$7:J260,J260)</f>
        <v>11</v>
      </c>
      <c r="C260" s="60" t="str">
        <f t="shared" si="38"/>
        <v>0</v>
      </c>
      <c r="D260" s="60">
        <f>COUNTIF($K$7:K260,K260)</f>
        <v>0</v>
      </c>
      <c r="E260" s="91"/>
      <c r="F260" s="92">
        <v>44571</v>
      </c>
      <c r="G260" s="72"/>
      <c r="H260" s="93" t="s">
        <v>52</v>
      </c>
      <c r="I260" s="94" t="s">
        <v>53</v>
      </c>
      <c r="J260" s="95">
        <v>410.03</v>
      </c>
      <c r="K260" s="108"/>
      <c r="L260" s="97"/>
      <c r="M260" s="98">
        <v>3300000</v>
      </c>
      <c r="N260" s="98"/>
      <c r="O260" s="99"/>
      <c r="P260" s="100" t="str">
        <f t="shared" si="39"/>
        <v>Penjualan Exam</v>
      </c>
      <c r="Q260" s="91"/>
      <c r="X260" s="102"/>
    </row>
    <row r="261" spans="1:24" s="101" customFormat="1" ht="30" hidden="1" x14ac:dyDescent="0.25">
      <c r="A261" s="60" t="str">
        <f t="shared" si="37"/>
        <v>12410,03</v>
      </c>
      <c r="B261" s="60">
        <f>COUNTIF($J$7:J261,J261)</f>
        <v>12</v>
      </c>
      <c r="C261" s="60" t="str">
        <f t="shared" si="38"/>
        <v>0</v>
      </c>
      <c r="D261" s="60">
        <f>COUNTIF($K$7:K261,K261)</f>
        <v>0</v>
      </c>
      <c r="E261" s="91"/>
      <c r="F261" s="92">
        <v>44571</v>
      </c>
      <c r="G261" s="72"/>
      <c r="H261" s="93" t="s">
        <v>54</v>
      </c>
      <c r="I261" s="94" t="s">
        <v>34</v>
      </c>
      <c r="J261" s="95">
        <v>410.03</v>
      </c>
      <c r="K261" s="108"/>
      <c r="L261" s="97"/>
      <c r="M261" s="98">
        <v>10200000</v>
      </c>
      <c r="N261" s="98"/>
      <c r="O261" s="99"/>
      <c r="P261" s="100" t="str">
        <f t="shared" si="39"/>
        <v>Penjualan Exam</v>
      </c>
      <c r="Q261" s="91"/>
      <c r="X261" s="102"/>
    </row>
    <row r="262" spans="1:24" s="101" customFormat="1" ht="30" hidden="1" x14ac:dyDescent="0.25">
      <c r="A262" s="60" t="str">
        <f t="shared" si="37"/>
        <v>13410,03</v>
      </c>
      <c r="B262" s="60">
        <f>COUNTIF($J$7:J262,J262)</f>
        <v>13</v>
      </c>
      <c r="C262" s="60" t="str">
        <f t="shared" si="38"/>
        <v>0</v>
      </c>
      <c r="D262" s="60">
        <f>COUNTIF($K$7:K262,K262)</f>
        <v>0</v>
      </c>
      <c r="E262" s="91"/>
      <c r="F262" s="92">
        <v>44572</v>
      </c>
      <c r="G262" s="72"/>
      <c r="H262" s="93" t="s">
        <v>55</v>
      </c>
      <c r="I262" s="94" t="s">
        <v>34</v>
      </c>
      <c r="J262" s="95">
        <v>410.03</v>
      </c>
      <c r="K262" s="108"/>
      <c r="L262" s="97"/>
      <c r="M262" s="98">
        <v>720000</v>
      </c>
      <c r="N262" s="98"/>
      <c r="O262" s="99"/>
      <c r="P262" s="100" t="str">
        <f t="shared" si="39"/>
        <v>Penjualan Exam</v>
      </c>
      <c r="Q262" s="91"/>
      <c r="X262" s="102"/>
    </row>
    <row r="263" spans="1:24" s="101" customFormat="1" hidden="1" x14ac:dyDescent="0.25">
      <c r="A263" s="60" t="str">
        <f t="shared" ref="A263:A326" si="40">B263&amp;J263</f>
        <v>17410,01</v>
      </c>
      <c r="B263" s="60">
        <f>COUNTIF($J$7:J263,J263)</f>
        <v>17</v>
      </c>
      <c r="C263" s="60" t="str">
        <f t="shared" ref="C263:C326" si="41">D263&amp;K263</f>
        <v>0</v>
      </c>
      <c r="D263" s="60">
        <f>COUNTIF($K$7:K263,K263)</f>
        <v>0</v>
      </c>
      <c r="E263" s="91"/>
      <c r="F263" s="92">
        <v>44572</v>
      </c>
      <c r="G263" s="72"/>
      <c r="H263" s="93" t="s">
        <v>56</v>
      </c>
      <c r="I263" s="94" t="s">
        <v>48</v>
      </c>
      <c r="J263" s="95">
        <v>410.01</v>
      </c>
      <c r="K263" s="108"/>
      <c r="L263" s="97"/>
      <c r="M263" s="103">
        <v>1950000</v>
      </c>
      <c r="N263" s="103"/>
      <c r="O263" s="99"/>
      <c r="P263" s="100" t="str">
        <f t="shared" ref="P263:P326" si="42">IF(J263=0,"-",+VLOOKUP(J263,DAF_AKUN,2,FALSE))</f>
        <v>Penjualan Intouch</v>
      </c>
      <c r="Q263" s="91"/>
      <c r="X263" s="102"/>
    </row>
    <row r="264" spans="1:24" s="101" customFormat="1" hidden="1" x14ac:dyDescent="0.25">
      <c r="A264" s="60" t="str">
        <f t="shared" si="40"/>
        <v>14410,03</v>
      </c>
      <c r="B264" s="60">
        <f>COUNTIF($J$7:J264,J264)</f>
        <v>14</v>
      </c>
      <c r="C264" s="60" t="str">
        <f t="shared" si="41"/>
        <v>0</v>
      </c>
      <c r="D264" s="60">
        <f>COUNTIF($K$7:K264,K264)</f>
        <v>0</v>
      </c>
      <c r="E264" s="91"/>
      <c r="F264" s="92">
        <v>44573</v>
      </c>
      <c r="G264" s="72"/>
      <c r="H264" s="93" t="s">
        <v>57</v>
      </c>
      <c r="I264" s="94" t="s">
        <v>58</v>
      </c>
      <c r="J264" s="95">
        <v>410.03</v>
      </c>
      <c r="K264" s="108"/>
      <c r="L264" s="97"/>
      <c r="M264" s="98">
        <v>1750000</v>
      </c>
      <c r="N264" s="98"/>
      <c r="O264" s="99"/>
      <c r="P264" s="100" t="str">
        <f t="shared" si="42"/>
        <v>Penjualan Exam</v>
      </c>
      <c r="Q264" s="91"/>
      <c r="X264" s="102"/>
    </row>
    <row r="265" spans="1:24" s="101" customFormat="1" hidden="1" x14ac:dyDescent="0.25">
      <c r="A265" s="60" t="str">
        <f t="shared" si="40"/>
        <v>15410,03</v>
      </c>
      <c r="B265" s="60">
        <f>COUNTIF($J$7:J265,J265)</f>
        <v>15</v>
      </c>
      <c r="C265" s="60" t="str">
        <f t="shared" si="41"/>
        <v>0</v>
      </c>
      <c r="D265" s="60">
        <f>COUNTIF($K$7:K265,K265)</f>
        <v>0</v>
      </c>
      <c r="E265" s="91"/>
      <c r="F265" s="92">
        <v>44573</v>
      </c>
      <c r="G265" s="72"/>
      <c r="H265" s="93" t="s">
        <v>59</v>
      </c>
      <c r="I265" s="94" t="s">
        <v>32</v>
      </c>
      <c r="J265" s="95">
        <v>410.03</v>
      </c>
      <c r="K265" s="108"/>
      <c r="L265" s="97"/>
      <c r="M265" s="98">
        <v>12360000</v>
      </c>
      <c r="N265" s="98"/>
      <c r="O265" s="99"/>
      <c r="P265" s="100" t="str">
        <f t="shared" si="42"/>
        <v>Penjualan Exam</v>
      </c>
      <c r="Q265" s="91"/>
      <c r="X265" s="102"/>
    </row>
    <row r="266" spans="1:24" s="101" customFormat="1" hidden="1" x14ac:dyDescent="0.25">
      <c r="A266" s="60" t="str">
        <f t="shared" si="40"/>
        <v>18410,01</v>
      </c>
      <c r="B266" s="60">
        <f>COUNTIF($J$7:J266,J266)</f>
        <v>18</v>
      </c>
      <c r="C266" s="60" t="str">
        <f t="shared" si="41"/>
        <v>0</v>
      </c>
      <c r="D266" s="60">
        <f>COUNTIF($K$7:K266,K266)</f>
        <v>0</v>
      </c>
      <c r="E266" s="91"/>
      <c r="F266" s="92">
        <v>44573</v>
      </c>
      <c r="G266" s="72"/>
      <c r="H266" s="93" t="s">
        <v>60</v>
      </c>
      <c r="I266" s="94" t="s">
        <v>37</v>
      </c>
      <c r="J266" s="95">
        <v>410.01</v>
      </c>
      <c r="K266" s="108"/>
      <c r="L266" s="97"/>
      <c r="M266" s="103">
        <v>18210000</v>
      </c>
      <c r="N266" s="103"/>
      <c r="O266" s="99"/>
      <c r="P266" s="100" t="str">
        <f t="shared" si="42"/>
        <v>Penjualan Intouch</v>
      </c>
      <c r="Q266" s="91"/>
      <c r="X266" s="102"/>
    </row>
    <row r="267" spans="1:24" s="101" customFormat="1" hidden="1" x14ac:dyDescent="0.25">
      <c r="A267" s="60" t="str">
        <f t="shared" si="40"/>
        <v>19410,01</v>
      </c>
      <c r="B267" s="60">
        <f>COUNTIF($J$7:J267,J267)</f>
        <v>19</v>
      </c>
      <c r="C267" s="60" t="str">
        <f t="shared" si="41"/>
        <v>0</v>
      </c>
      <c r="D267" s="60">
        <f>COUNTIF($K$7:K267,K267)</f>
        <v>0</v>
      </c>
      <c r="E267" s="91"/>
      <c r="F267" s="92">
        <v>44573</v>
      </c>
      <c r="G267" s="72"/>
      <c r="H267" s="93" t="s">
        <v>61</v>
      </c>
      <c r="I267" s="94" t="s">
        <v>62</v>
      </c>
      <c r="J267" s="95">
        <v>410.01</v>
      </c>
      <c r="K267" s="108"/>
      <c r="L267" s="97"/>
      <c r="M267" s="103">
        <v>4800000</v>
      </c>
      <c r="N267" s="103"/>
      <c r="O267" s="99"/>
      <c r="P267" s="100" t="str">
        <f t="shared" si="42"/>
        <v>Penjualan Intouch</v>
      </c>
      <c r="Q267" s="91"/>
      <c r="X267" s="102"/>
    </row>
    <row r="268" spans="1:24" s="101" customFormat="1" ht="30" hidden="1" x14ac:dyDescent="0.25">
      <c r="A268" s="60" t="str">
        <f t="shared" si="40"/>
        <v>16410,03</v>
      </c>
      <c r="B268" s="60">
        <f>COUNTIF($J$7:J268,J268)</f>
        <v>16</v>
      </c>
      <c r="C268" s="60" t="str">
        <f t="shared" si="41"/>
        <v>0</v>
      </c>
      <c r="D268" s="60">
        <f>COUNTIF($K$7:K268,K268)</f>
        <v>0</v>
      </c>
      <c r="E268" s="91"/>
      <c r="F268" s="92">
        <v>44573</v>
      </c>
      <c r="G268" s="72"/>
      <c r="H268" s="93" t="s">
        <v>63</v>
      </c>
      <c r="I268" s="94" t="s">
        <v>34</v>
      </c>
      <c r="J268" s="95">
        <v>410.03</v>
      </c>
      <c r="K268" s="108"/>
      <c r="L268" s="97"/>
      <c r="M268" s="98">
        <v>960000</v>
      </c>
      <c r="N268" s="98"/>
      <c r="O268" s="99"/>
      <c r="P268" s="100" t="str">
        <f t="shared" si="42"/>
        <v>Penjualan Exam</v>
      </c>
      <c r="Q268" s="91"/>
      <c r="X268" s="102"/>
    </row>
    <row r="269" spans="1:24" s="101" customFormat="1" ht="30" hidden="1" x14ac:dyDescent="0.25">
      <c r="A269" s="60" t="str">
        <f t="shared" si="40"/>
        <v>20410,01</v>
      </c>
      <c r="B269" s="60">
        <f>COUNTIF($J$7:J269,J269)</f>
        <v>20</v>
      </c>
      <c r="C269" s="60" t="str">
        <f t="shared" si="41"/>
        <v>0</v>
      </c>
      <c r="D269" s="60">
        <f>COUNTIF($K$7:K269,K269)</f>
        <v>0</v>
      </c>
      <c r="E269" s="91"/>
      <c r="F269" s="92">
        <v>44573</v>
      </c>
      <c r="G269" s="72"/>
      <c r="H269" s="93" t="s">
        <v>64</v>
      </c>
      <c r="I269" s="94" t="s">
        <v>34</v>
      </c>
      <c r="J269" s="95">
        <v>410.01</v>
      </c>
      <c r="K269" s="108"/>
      <c r="L269" s="97"/>
      <c r="M269" s="103">
        <v>3849982</v>
      </c>
      <c r="N269" s="103"/>
      <c r="O269" s="99"/>
      <c r="P269" s="100" t="str">
        <f t="shared" si="42"/>
        <v>Penjualan Intouch</v>
      </c>
      <c r="Q269" s="91"/>
      <c r="X269" s="102"/>
    </row>
    <row r="270" spans="1:24" s="101" customFormat="1" ht="30" hidden="1" x14ac:dyDescent="0.25">
      <c r="A270" s="60" t="str">
        <f t="shared" si="40"/>
        <v>17410,03</v>
      </c>
      <c r="B270" s="60">
        <f>COUNTIF($J$7:J270,J270)</f>
        <v>17</v>
      </c>
      <c r="C270" s="60" t="str">
        <f t="shared" si="41"/>
        <v>0</v>
      </c>
      <c r="D270" s="60">
        <f>COUNTIF($K$7:K270,K270)</f>
        <v>0</v>
      </c>
      <c r="E270" s="91"/>
      <c r="F270" s="92">
        <v>44573</v>
      </c>
      <c r="G270" s="72"/>
      <c r="H270" s="93" t="s">
        <v>65</v>
      </c>
      <c r="I270" s="94" t="s">
        <v>34</v>
      </c>
      <c r="J270" s="95">
        <v>410.03</v>
      </c>
      <c r="K270" s="108"/>
      <c r="L270" s="97"/>
      <c r="M270" s="98">
        <v>6840000</v>
      </c>
      <c r="N270" s="98"/>
      <c r="O270" s="99"/>
      <c r="P270" s="100" t="str">
        <f t="shared" si="42"/>
        <v>Penjualan Exam</v>
      </c>
      <c r="Q270" s="91"/>
      <c r="X270" s="102"/>
    </row>
    <row r="271" spans="1:24" s="101" customFormat="1" hidden="1" x14ac:dyDescent="0.25">
      <c r="A271" s="60" t="str">
        <f t="shared" si="40"/>
        <v>21410,01</v>
      </c>
      <c r="B271" s="60">
        <f>COUNTIF($J$7:J271,J271)</f>
        <v>21</v>
      </c>
      <c r="C271" s="60" t="str">
        <f t="shared" si="41"/>
        <v>0</v>
      </c>
      <c r="D271" s="60">
        <f>COUNTIF($K$7:K271,K271)</f>
        <v>0</v>
      </c>
      <c r="E271" s="91"/>
      <c r="F271" s="92">
        <v>44573</v>
      </c>
      <c r="G271" s="72"/>
      <c r="H271" s="93" t="s">
        <v>66</v>
      </c>
      <c r="I271" s="94" t="s">
        <v>18</v>
      </c>
      <c r="J271" s="95">
        <v>410.01</v>
      </c>
      <c r="K271" s="108"/>
      <c r="L271" s="97"/>
      <c r="M271" s="103">
        <v>17925000</v>
      </c>
      <c r="N271" s="103"/>
      <c r="O271" s="99"/>
      <c r="P271" s="100" t="str">
        <f t="shared" si="42"/>
        <v>Penjualan Intouch</v>
      </c>
      <c r="Q271" s="91"/>
      <c r="X271" s="102"/>
    </row>
    <row r="272" spans="1:24" s="101" customFormat="1" hidden="1" x14ac:dyDescent="0.25">
      <c r="A272" s="60" t="str">
        <f t="shared" si="40"/>
        <v>22410,01</v>
      </c>
      <c r="B272" s="60">
        <f>COUNTIF($J$7:J272,J272)</f>
        <v>22</v>
      </c>
      <c r="C272" s="60" t="str">
        <f t="shared" si="41"/>
        <v>0</v>
      </c>
      <c r="D272" s="60">
        <f>COUNTIF($K$7:K272,K272)</f>
        <v>0</v>
      </c>
      <c r="E272" s="91"/>
      <c r="F272" s="92">
        <v>44573</v>
      </c>
      <c r="G272" s="72"/>
      <c r="H272" s="109" t="s">
        <v>67</v>
      </c>
      <c r="I272" s="94" t="s">
        <v>48</v>
      </c>
      <c r="J272" s="95">
        <v>410.01</v>
      </c>
      <c r="K272" s="108"/>
      <c r="L272" s="97"/>
      <c r="M272" s="103">
        <v>13125000</v>
      </c>
      <c r="N272" s="103"/>
      <c r="O272" s="99"/>
      <c r="P272" s="100" t="str">
        <f t="shared" si="42"/>
        <v>Penjualan Intouch</v>
      </c>
      <c r="Q272" s="91"/>
      <c r="X272" s="102"/>
    </row>
    <row r="273" spans="1:24" s="101" customFormat="1" hidden="1" x14ac:dyDescent="0.25">
      <c r="A273" s="60" t="str">
        <f t="shared" si="40"/>
        <v>23410,01</v>
      </c>
      <c r="B273" s="60">
        <f>COUNTIF($J$7:J273,J273)</f>
        <v>23</v>
      </c>
      <c r="C273" s="60" t="str">
        <f t="shared" si="41"/>
        <v>0</v>
      </c>
      <c r="D273" s="60">
        <f>COUNTIF($K$7:K273,K273)</f>
        <v>0</v>
      </c>
      <c r="E273" s="91"/>
      <c r="F273" s="92">
        <v>44573</v>
      </c>
      <c r="G273" s="72"/>
      <c r="H273" s="109" t="s">
        <v>68</v>
      </c>
      <c r="I273" s="110" t="s">
        <v>69</v>
      </c>
      <c r="J273" s="95">
        <v>410.01</v>
      </c>
      <c r="K273" s="108"/>
      <c r="L273" s="97"/>
      <c r="M273" s="103">
        <v>12232500</v>
      </c>
      <c r="N273" s="103"/>
      <c r="O273" s="99"/>
      <c r="P273" s="100" t="str">
        <f t="shared" si="42"/>
        <v>Penjualan Intouch</v>
      </c>
      <c r="Q273" s="91"/>
      <c r="X273" s="102"/>
    </row>
    <row r="274" spans="1:24" s="101" customFormat="1" hidden="1" x14ac:dyDescent="0.25">
      <c r="A274" s="60" t="str">
        <f t="shared" si="40"/>
        <v>18410,03</v>
      </c>
      <c r="B274" s="60">
        <f>COUNTIF($J$7:J274,J274)</f>
        <v>18</v>
      </c>
      <c r="C274" s="60" t="str">
        <f t="shared" si="41"/>
        <v>0</v>
      </c>
      <c r="D274" s="60">
        <f>COUNTIF($K$7:K274,K274)</f>
        <v>0</v>
      </c>
      <c r="E274" s="91"/>
      <c r="F274" s="92">
        <v>44573</v>
      </c>
      <c r="G274" s="72"/>
      <c r="H274" s="109" t="s">
        <v>70</v>
      </c>
      <c r="I274" s="110" t="s">
        <v>69</v>
      </c>
      <c r="J274" s="95">
        <v>410.03</v>
      </c>
      <c r="K274" s="108"/>
      <c r="L274" s="97"/>
      <c r="M274" s="98">
        <v>2460000</v>
      </c>
      <c r="N274" s="98"/>
      <c r="O274" s="99"/>
      <c r="P274" s="100" t="str">
        <f t="shared" si="42"/>
        <v>Penjualan Exam</v>
      </c>
      <c r="Q274" s="91"/>
      <c r="X274" s="102"/>
    </row>
    <row r="275" spans="1:24" s="101" customFormat="1" hidden="1" x14ac:dyDescent="0.25">
      <c r="A275" s="60" t="str">
        <f t="shared" si="40"/>
        <v>24410,01</v>
      </c>
      <c r="B275" s="60">
        <f>COUNTIF($J$7:J275,J275)</f>
        <v>24</v>
      </c>
      <c r="C275" s="60" t="str">
        <f t="shared" si="41"/>
        <v>0</v>
      </c>
      <c r="D275" s="60">
        <f>COUNTIF($K$7:K275,K275)</f>
        <v>0</v>
      </c>
      <c r="E275" s="91"/>
      <c r="F275" s="92">
        <v>44574</v>
      </c>
      <c r="G275" s="72"/>
      <c r="H275" s="93" t="s">
        <v>71</v>
      </c>
      <c r="I275" s="94" t="s">
        <v>72</v>
      </c>
      <c r="J275" s="95">
        <v>410.01</v>
      </c>
      <c r="K275" s="108"/>
      <c r="L275" s="97"/>
      <c r="M275" s="103">
        <v>49200000</v>
      </c>
      <c r="N275" s="103"/>
      <c r="O275" s="99"/>
      <c r="P275" s="100" t="str">
        <f t="shared" si="42"/>
        <v>Penjualan Intouch</v>
      </c>
      <c r="Q275" s="91"/>
      <c r="X275" s="102"/>
    </row>
    <row r="276" spans="1:24" s="101" customFormat="1" hidden="1" x14ac:dyDescent="0.25">
      <c r="A276" s="60" t="str">
        <f t="shared" si="40"/>
        <v>19410,03</v>
      </c>
      <c r="B276" s="60">
        <f>COUNTIF($J$7:J276,J276)</f>
        <v>19</v>
      </c>
      <c r="C276" s="60" t="str">
        <f t="shared" si="41"/>
        <v>0</v>
      </c>
      <c r="D276" s="60">
        <f>COUNTIF($K$7:K276,K276)</f>
        <v>0</v>
      </c>
      <c r="E276" s="91"/>
      <c r="F276" s="92">
        <v>44574</v>
      </c>
      <c r="G276" s="72"/>
      <c r="H276" s="93" t="s">
        <v>73</v>
      </c>
      <c r="I276" s="94" t="s">
        <v>18</v>
      </c>
      <c r="J276" s="95">
        <v>410.03</v>
      </c>
      <c r="K276" s="108"/>
      <c r="L276" s="97"/>
      <c r="M276" s="103">
        <v>41000000</v>
      </c>
      <c r="N276" s="103"/>
      <c r="O276" s="99"/>
      <c r="P276" s="100" t="str">
        <f t="shared" si="42"/>
        <v>Penjualan Exam</v>
      </c>
      <c r="Q276" s="91"/>
      <c r="X276" s="102"/>
    </row>
    <row r="277" spans="1:24" s="101" customFormat="1" ht="30" hidden="1" x14ac:dyDescent="0.25">
      <c r="A277" s="60" t="str">
        <f t="shared" si="40"/>
        <v>25410,01</v>
      </c>
      <c r="B277" s="60">
        <f>COUNTIF($J$7:J277,J277)</f>
        <v>25</v>
      </c>
      <c r="C277" s="60" t="str">
        <f t="shared" si="41"/>
        <v>0</v>
      </c>
      <c r="D277" s="60">
        <f>COUNTIF($K$7:K277,K277)</f>
        <v>0</v>
      </c>
      <c r="E277" s="91"/>
      <c r="F277" s="92">
        <v>44574</v>
      </c>
      <c r="G277" s="72"/>
      <c r="H277" s="93" t="s">
        <v>74</v>
      </c>
      <c r="I277" s="94" t="s">
        <v>34</v>
      </c>
      <c r="J277" s="95">
        <v>410.01</v>
      </c>
      <c r="K277" s="108"/>
      <c r="L277" s="97"/>
      <c r="M277" s="103">
        <v>6049972</v>
      </c>
      <c r="N277" s="103"/>
      <c r="O277" s="99"/>
      <c r="P277" s="100" t="str">
        <f t="shared" si="42"/>
        <v>Penjualan Intouch</v>
      </c>
      <c r="Q277" s="91"/>
      <c r="X277" s="102"/>
    </row>
    <row r="278" spans="1:24" s="101" customFormat="1" ht="30" hidden="1" x14ac:dyDescent="0.25">
      <c r="A278" s="60" t="str">
        <f t="shared" si="40"/>
        <v>20410,03</v>
      </c>
      <c r="B278" s="60">
        <f>COUNTIF($J$7:J278,J278)</f>
        <v>20</v>
      </c>
      <c r="C278" s="60" t="str">
        <f t="shared" si="41"/>
        <v>0</v>
      </c>
      <c r="D278" s="60">
        <f>COUNTIF($K$7:K278,K278)</f>
        <v>0</v>
      </c>
      <c r="E278" s="91"/>
      <c r="F278" s="92">
        <v>44574</v>
      </c>
      <c r="G278" s="72"/>
      <c r="H278" s="93" t="s">
        <v>75</v>
      </c>
      <c r="I278" s="94" t="s">
        <v>34</v>
      </c>
      <c r="J278" s="95">
        <v>410.03</v>
      </c>
      <c r="K278" s="108"/>
      <c r="L278" s="97"/>
      <c r="M278" s="98">
        <v>13200000</v>
      </c>
      <c r="N278" s="98"/>
      <c r="O278" s="99"/>
      <c r="P278" s="100" t="str">
        <f t="shared" si="42"/>
        <v>Penjualan Exam</v>
      </c>
      <c r="Q278" s="91"/>
      <c r="X278" s="102"/>
    </row>
    <row r="279" spans="1:24" s="101" customFormat="1" ht="30" hidden="1" x14ac:dyDescent="0.25">
      <c r="A279" s="60" t="str">
        <f t="shared" si="40"/>
        <v>21410,03</v>
      </c>
      <c r="B279" s="60">
        <f>COUNTIF($J$7:J279,J279)</f>
        <v>21</v>
      </c>
      <c r="C279" s="60" t="str">
        <f t="shared" si="41"/>
        <v>0</v>
      </c>
      <c r="D279" s="60">
        <f>COUNTIF($K$7:K279,K279)</f>
        <v>0</v>
      </c>
      <c r="E279" s="91"/>
      <c r="F279" s="92">
        <v>44575</v>
      </c>
      <c r="G279" s="72"/>
      <c r="H279" s="93" t="s">
        <v>76</v>
      </c>
      <c r="I279" s="94" t="s">
        <v>34</v>
      </c>
      <c r="J279" s="95">
        <v>410.03</v>
      </c>
      <c r="K279" s="108"/>
      <c r="L279" s="97"/>
      <c r="M279" s="98">
        <v>720000</v>
      </c>
      <c r="N279" s="98"/>
      <c r="O279" s="99"/>
      <c r="P279" s="100" t="str">
        <f t="shared" si="42"/>
        <v>Penjualan Exam</v>
      </c>
      <c r="Q279" s="91"/>
      <c r="X279" s="102"/>
    </row>
    <row r="280" spans="1:24" s="101" customFormat="1" hidden="1" x14ac:dyDescent="0.25">
      <c r="A280" s="60" t="str">
        <f t="shared" si="40"/>
        <v>26410,01</v>
      </c>
      <c r="B280" s="60">
        <f>COUNTIF($J$7:J280,J280)</f>
        <v>26</v>
      </c>
      <c r="C280" s="60" t="str">
        <f t="shared" si="41"/>
        <v>0</v>
      </c>
      <c r="D280" s="60">
        <f>COUNTIF($K$7:K280,K280)</f>
        <v>0</v>
      </c>
      <c r="E280" s="91"/>
      <c r="F280" s="92">
        <v>44575</v>
      </c>
      <c r="G280" s="72"/>
      <c r="H280" s="93" t="s">
        <v>77</v>
      </c>
      <c r="I280" s="94" t="s">
        <v>18</v>
      </c>
      <c r="J280" s="95">
        <v>410.01</v>
      </c>
      <c r="K280" s="108"/>
      <c r="L280" s="97"/>
      <c r="M280" s="103">
        <v>30577500</v>
      </c>
      <c r="N280" s="103"/>
      <c r="O280" s="99"/>
      <c r="P280" s="100" t="str">
        <f t="shared" si="42"/>
        <v>Penjualan Intouch</v>
      </c>
      <c r="Q280" s="91"/>
      <c r="X280" s="102"/>
    </row>
    <row r="281" spans="1:24" s="101" customFormat="1" hidden="1" x14ac:dyDescent="0.25">
      <c r="A281" s="60" t="str">
        <f t="shared" si="40"/>
        <v>27410,01</v>
      </c>
      <c r="B281" s="60">
        <f>COUNTIF($J$7:J281,J281)</f>
        <v>27</v>
      </c>
      <c r="C281" s="60" t="str">
        <f t="shared" si="41"/>
        <v>0</v>
      </c>
      <c r="D281" s="60">
        <f>COUNTIF($K$7:K281,K281)</f>
        <v>0</v>
      </c>
      <c r="E281" s="91"/>
      <c r="F281" s="92">
        <v>44575</v>
      </c>
      <c r="G281" s="72"/>
      <c r="H281" s="93" t="s">
        <v>78</v>
      </c>
      <c r="I281" s="94" t="s">
        <v>41</v>
      </c>
      <c r="J281" s="95">
        <v>410.01</v>
      </c>
      <c r="K281" s="108"/>
      <c r="L281" s="97"/>
      <c r="M281" s="103">
        <v>1575000</v>
      </c>
      <c r="N281" s="103"/>
      <c r="O281" s="99"/>
      <c r="P281" s="100" t="str">
        <f t="shared" si="42"/>
        <v>Penjualan Intouch</v>
      </c>
      <c r="Q281" s="91"/>
      <c r="X281" s="102"/>
    </row>
    <row r="282" spans="1:24" s="101" customFormat="1" hidden="1" x14ac:dyDescent="0.25">
      <c r="A282" s="60" t="str">
        <f t="shared" si="40"/>
        <v>28410,01</v>
      </c>
      <c r="B282" s="60">
        <f>COUNTIF($J$7:J282,J282)</f>
        <v>28</v>
      </c>
      <c r="C282" s="60" t="str">
        <f t="shared" si="41"/>
        <v>0</v>
      </c>
      <c r="D282" s="60">
        <f>COUNTIF($K$7:K282,K282)</f>
        <v>0</v>
      </c>
      <c r="E282" s="91"/>
      <c r="F282" s="92">
        <v>44575</v>
      </c>
      <c r="G282" s="72"/>
      <c r="H282" s="93" t="s">
        <v>79</v>
      </c>
      <c r="I282" s="94" t="s">
        <v>48</v>
      </c>
      <c r="J282" s="95">
        <v>410.01</v>
      </c>
      <c r="K282" s="108"/>
      <c r="L282" s="97"/>
      <c r="M282" s="103">
        <v>2400000</v>
      </c>
      <c r="N282" s="103"/>
      <c r="O282" s="99"/>
      <c r="P282" s="100" t="str">
        <f t="shared" si="42"/>
        <v>Penjualan Intouch</v>
      </c>
      <c r="Q282" s="91"/>
      <c r="X282" s="102"/>
    </row>
    <row r="283" spans="1:24" s="101" customFormat="1" hidden="1" x14ac:dyDescent="0.25">
      <c r="A283" s="60" t="str">
        <f t="shared" si="40"/>
        <v>22410,03</v>
      </c>
      <c r="B283" s="60">
        <f>COUNTIF($J$7:J283,J283)</f>
        <v>22</v>
      </c>
      <c r="C283" s="60" t="str">
        <f t="shared" si="41"/>
        <v>0</v>
      </c>
      <c r="D283" s="60">
        <f>COUNTIF($K$7:K283,K283)</f>
        <v>0</v>
      </c>
      <c r="E283" s="91"/>
      <c r="F283" s="92">
        <v>44578</v>
      </c>
      <c r="G283" s="72"/>
      <c r="H283" s="93" t="s">
        <v>80</v>
      </c>
      <c r="I283" s="94" t="s">
        <v>44</v>
      </c>
      <c r="J283" s="95">
        <v>410.03</v>
      </c>
      <c r="K283" s="108"/>
      <c r="L283" s="97"/>
      <c r="M283" s="98">
        <v>10472727</v>
      </c>
      <c r="N283" s="98"/>
      <c r="O283" s="99"/>
      <c r="P283" s="100" t="str">
        <f t="shared" si="42"/>
        <v>Penjualan Exam</v>
      </c>
      <c r="Q283" s="91"/>
      <c r="X283" s="102"/>
    </row>
    <row r="284" spans="1:24" s="101" customFormat="1" hidden="1" x14ac:dyDescent="0.25">
      <c r="A284" s="60" t="str">
        <f t="shared" si="40"/>
        <v>29410,01</v>
      </c>
      <c r="B284" s="60">
        <f>COUNTIF($J$7:J284,J284)</f>
        <v>29</v>
      </c>
      <c r="C284" s="60" t="str">
        <f t="shared" si="41"/>
        <v>0</v>
      </c>
      <c r="D284" s="60">
        <f>COUNTIF($K$7:K284,K284)</f>
        <v>0</v>
      </c>
      <c r="E284" s="91"/>
      <c r="F284" s="92">
        <v>44578</v>
      </c>
      <c r="G284" s="72"/>
      <c r="H284" s="93" t="s">
        <v>81</v>
      </c>
      <c r="I284" s="94" t="s">
        <v>20</v>
      </c>
      <c r="J284" s="95">
        <v>410.01</v>
      </c>
      <c r="K284" s="108"/>
      <c r="L284" s="97"/>
      <c r="M284" s="103">
        <v>17865000</v>
      </c>
      <c r="N284" s="103"/>
      <c r="O284" s="99"/>
      <c r="P284" s="100" t="str">
        <f t="shared" si="42"/>
        <v>Penjualan Intouch</v>
      </c>
      <c r="Q284" s="91"/>
      <c r="X284" s="102"/>
    </row>
    <row r="285" spans="1:24" s="101" customFormat="1" hidden="1" x14ac:dyDescent="0.25">
      <c r="A285" s="60" t="str">
        <f t="shared" si="40"/>
        <v>30410,01</v>
      </c>
      <c r="B285" s="60">
        <f>COUNTIF($J$7:J285,J285)</f>
        <v>30</v>
      </c>
      <c r="C285" s="60" t="str">
        <f t="shared" si="41"/>
        <v>0</v>
      </c>
      <c r="D285" s="60">
        <f>COUNTIF($K$7:K285,K285)</f>
        <v>0</v>
      </c>
      <c r="E285" s="91"/>
      <c r="F285" s="92">
        <v>44579</v>
      </c>
      <c r="G285" s="72"/>
      <c r="H285" s="93" t="s">
        <v>82</v>
      </c>
      <c r="I285" s="94" t="s">
        <v>18</v>
      </c>
      <c r="J285" s="95">
        <v>410.01</v>
      </c>
      <c r="K285" s="108"/>
      <c r="L285" s="97"/>
      <c r="M285" s="103">
        <v>57712500</v>
      </c>
      <c r="N285" s="103"/>
      <c r="O285" s="99"/>
      <c r="P285" s="100" t="str">
        <f t="shared" si="42"/>
        <v>Penjualan Intouch</v>
      </c>
      <c r="Q285" s="91"/>
      <c r="X285" s="102"/>
    </row>
    <row r="286" spans="1:24" s="101" customFormat="1" hidden="1" x14ac:dyDescent="0.25">
      <c r="A286" s="60" t="str">
        <f t="shared" si="40"/>
        <v>23410,03</v>
      </c>
      <c r="B286" s="60">
        <f>COUNTIF($J$7:J286,J286)</f>
        <v>23</v>
      </c>
      <c r="C286" s="60" t="str">
        <f t="shared" si="41"/>
        <v>0</v>
      </c>
      <c r="D286" s="60">
        <f>COUNTIF($K$7:K286,K286)</f>
        <v>0</v>
      </c>
      <c r="E286" s="91"/>
      <c r="F286" s="92">
        <v>44579</v>
      </c>
      <c r="G286" s="72"/>
      <c r="H286" s="93" t="s">
        <v>83</v>
      </c>
      <c r="I286" s="94" t="s">
        <v>20</v>
      </c>
      <c r="J286" s="95">
        <v>410.03</v>
      </c>
      <c r="K286" s="108"/>
      <c r="L286" s="97"/>
      <c r="M286" s="98">
        <v>1640000</v>
      </c>
      <c r="N286" s="98"/>
      <c r="O286" s="99"/>
      <c r="P286" s="100" t="str">
        <f t="shared" si="42"/>
        <v>Penjualan Exam</v>
      </c>
      <c r="Q286" s="91"/>
      <c r="X286" s="102"/>
    </row>
    <row r="287" spans="1:24" s="101" customFormat="1" hidden="1" x14ac:dyDescent="0.25">
      <c r="A287" s="60" t="str">
        <f t="shared" si="40"/>
        <v>24410,03</v>
      </c>
      <c r="B287" s="60">
        <f>COUNTIF($J$7:J287,J287)</f>
        <v>24</v>
      </c>
      <c r="C287" s="60" t="str">
        <f t="shared" si="41"/>
        <v>0</v>
      </c>
      <c r="D287" s="60">
        <f>COUNTIF($K$7:K287,K287)</f>
        <v>0</v>
      </c>
      <c r="E287" s="91"/>
      <c r="F287" s="92">
        <v>44579</v>
      </c>
      <c r="G287" s="72"/>
      <c r="H287" s="93" t="s">
        <v>84</v>
      </c>
      <c r="I287" s="94" t="s">
        <v>32</v>
      </c>
      <c r="J287" s="95">
        <v>410.03</v>
      </c>
      <c r="K287" s="108"/>
      <c r="L287" s="97"/>
      <c r="M287" s="98">
        <v>11760000</v>
      </c>
      <c r="N287" s="98"/>
      <c r="O287" s="99"/>
      <c r="P287" s="100" t="str">
        <f t="shared" si="42"/>
        <v>Penjualan Exam</v>
      </c>
      <c r="Q287" s="91"/>
      <c r="X287" s="102"/>
    </row>
    <row r="288" spans="1:24" s="101" customFormat="1" hidden="1" x14ac:dyDescent="0.25">
      <c r="A288" s="60" t="str">
        <f t="shared" si="40"/>
        <v>31410,01</v>
      </c>
      <c r="B288" s="60">
        <f>COUNTIF($J$7:J288,J288)</f>
        <v>31</v>
      </c>
      <c r="C288" s="60" t="str">
        <f t="shared" si="41"/>
        <v>0</v>
      </c>
      <c r="D288" s="60">
        <f>COUNTIF($K$7:K288,K288)</f>
        <v>0</v>
      </c>
      <c r="E288" s="91"/>
      <c r="F288" s="92">
        <v>44579</v>
      </c>
      <c r="G288" s="72"/>
      <c r="H288" s="93" t="s">
        <v>85</v>
      </c>
      <c r="I288" s="94" t="s">
        <v>32</v>
      </c>
      <c r="J288" s="95">
        <v>410.01</v>
      </c>
      <c r="K288" s="108"/>
      <c r="L288" s="97"/>
      <c r="M288" s="103">
        <v>6599970</v>
      </c>
      <c r="N288" s="103"/>
      <c r="O288" s="99"/>
      <c r="P288" s="100" t="str">
        <f t="shared" si="42"/>
        <v>Penjualan Intouch</v>
      </c>
      <c r="Q288" s="91"/>
      <c r="X288" s="102"/>
    </row>
    <row r="289" spans="1:24" s="101" customFormat="1" hidden="1" x14ac:dyDescent="0.25">
      <c r="A289" s="60" t="str">
        <f t="shared" si="40"/>
        <v>32410,01</v>
      </c>
      <c r="B289" s="60">
        <f>COUNTIF($J$7:J289,J289)</f>
        <v>32</v>
      </c>
      <c r="C289" s="60" t="str">
        <f t="shared" si="41"/>
        <v>0</v>
      </c>
      <c r="D289" s="60">
        <f>COUNTIF($K$7:K289,K289)</f>
        <v>0</v>
      </c>
      <c r="E289" s="91"/>
      <c r="F289" s="92">
        <v>44579</v>
      </c>
      <c r="G289" s="72"/>
      <c r="H289" s="93" t="s">
        <v>86</v>
      </c>
      <c r="I289" s="94" t="s">
        <v>41</v>
      </c>
      <c r="J289" s="95">
        <v>410.01</v>
      </c>
      <c r="K289" s="108"/>
      <c r="L289" s="97"/>
      <c r="M289" s="103">
        <v>1875000</v>
      </c>
      <c r="N289" s="103"/>
      <c r="O289" s="99"/>
      <c r="P289" s="100" t="str">
        <f t="shared" si="42"/>
        <v>Penjualan Intouch</v>
      </c>
      <c r="Q289" s="91"/>
      <c r="X289" s="102"/>
    </row>
    <row r="290" spans="1:24" s="101" customFormat="1" hidden="1" x14ac:dyDescent="0.25">
      <c r="A290" s="60" t="str">
        <f t="shared" si="40"/>
        <v>33410,01</v>
      </c>
      <c r="B290" s="60">
        <f>COUNTIF($J$7:J290,J290)</f>
        <v>33</v>
      </c>
      <c r="C290" s="60" t="str">
        <f t="shared" si="41"/>
        <v>0</v>
      </c>
      <c r="D290" s="60">
        <f>COUNTIF($K$7:K290,K290)</f>
        <v>0</v>
      </c>
      <c r="E290" s="91"/>
      <c r="F290" s="92">
        <v>44579</v>
      </c>
      <c r="G290" s="72"/>
      <c r="H290" s="93" t="s">
        <v>87</v>
      </c>
      <c r="I290" s="94" t="s">
        <v>37</v>
      </c>
      <c r="J290" s="95">
        <v>410.01</v>
      </c>
      <c r="K290" s="108"/>
      <c r="L290" s="97"/>
      <c r="M290" s="103">
        <v>9825000</v>
      </c>
      <c r="N290" s="103"/>
      <c r="O290" s="111"/>
      <c r="P290" s="100" t="str">
        <f t="shared" si="42"/>
        <v>Penjualan Intouch</v>
      </c>
      <c r="Q290" s="91"/>
      <c r="S290" s="112"/>
      <c r="T290" s="112"/>
      <c r="U290" s="113"/>
      <c r="V290" s="113"/>
      <c r="X290" s="102"/>
    </row>
    <row r="291" spans="1:24" s="101" customFormat="1" hidden="1" x14ac:dyDescent="0.25">
      <c r="A291" s="60" t="str">
        <f t="shared" si="40"/>
        <v>25410,03</v>
      </c>
      <c r="B291" s="60">
        <f>COUNTIF($J$7:J291,J291)</f>
        <v>25</v>
      </c>
      <c r="C291" s="60" t="str">
        <f t="shared" si="41"/>
        <v>0</v>
      </c>
      <c r="D291" s="60">
        <f>COUNTIF($K$7:K291,K291)</f>
        <v>0</v>
      </c>
      <c r="E291" s="91"/>
      <c r="F291" s="92">
        <v>44579</v>
      </c>
      <c r="G291" s="72"/>
      <c r="H291" s="93" t="s">
        <v>88</v>
      </c>
      <c r="I291" s="114" t="s">
        <v>34</v>
      </c>
      <c r="J291" s="95">
        <v>410.03</v>
      </c>
      <c r="K291" s="108"/>
      <c r="L291" s="97"/>
      <c r="M291" s="98">
        <v>7200000</v>
      </c>
      <c r="N291" s="98"/>
      <c r="O291" s="111"/>
      <c r="P291" s="100" t="str">
        <f t="shared" si="42"/>
        <v>Penjualan Exam</v>
      </c>
      <c r="Q291" s="91"/>
      <c r="S291" s="112"/>
      <c r="T291" s="112"/>
      <c r="U291" s="113"/>
      <c r="V291" s="113"/>
      <c r="X291" s="102"/>
    </row>
    <row r="292" spans="1:24" s="101" customFormat="1" hidden="1" x14ac:dyDescent="0.25">
      <c r="A292" s="60" t="str">
        <f t="shared" si="40"/>
        <v>26410,03</v>
      </c>
      <c r="B292" s="60">
        <f>COUNTIF($J$7:J292,J292)</f>
        <v>26</v>
      </c>
      <c r="C292" s="60" t="str">
        <f t="shared" si="41"/>
        <v>0</v>
      </c>
      <c r="D292" s="60">
        <f>COUNTIF($K$7:K292,K292)</f>
        <v>0</v>
      </c>
      <c r="E292" s="91"/>
      <c r="F292" s="92">
        <v>44579</v>
      </c>
      <c r="G292" s="72"/>
      <c r="H292" s="93" t="s">
        <v>89</v>
      </c>
      <c r="I292" s="114" t="s">
        <v>34</v>
      </c>
      <c r="J292" s="95">
        <v>410.03</v>
      </c>
      <c r="K292" s="108"/>
      <c r="L292" s="97"/>
      <c r="M292" s="98">
        <v>8640000</v>
      </c>
      <c r="N292" s="98"/>
      <c r="O292" s="111"/>
      <c r="P292" s="100" t="str">
        <f t="shared" si="42"/>
        <v>Penjualan Exam</v>
      </c>
      <c r="Q292" s="91"/>
      <c r="S292" s="112"/>
      <c r="T292" s="112"/>
      <c r="U292" s="113"/>
      <c r="V292" s="113"/>
      <c r="X292" s="102"/>
    </row>
    <row r="293" spans="1:24" s="101" customFormat="1" hidden="1" x14ac:dyDescent="0.25">
      <c r="A293" s="60" t="str">
        <f t="shared" si="40"/>
        <v>34410,01</v>
      </c>
      <c r="B293" s="60">
        <f>COUNTIF($J$7:J293,J293)</f>
        <v>34</v>
      </c>
      <c r="C293" s="60" t="str">
        <f t="shared" si="41"/>
        <v>0</v>
      </c>
      <c r="D293" s="60">
        <f>COUNTIF($K$7:K293,K293)</f>
        <v>0</v>
      </c>
      <c r="E293" s="91"/>
      <c r="F293" s="92">
        <v>44580</v>
      </c>
      <c r="G293" s="72"/>
      <c r="H293" s="93" t="s">
        <v>90</v>
      </c>
      <c r="I293" s="94" t="s">
        <v>18</v>
      </c>
      <c r="J293" s="95">
        <v>410.01</v>
      </c>
      <c r="K293" s="108"/>
      <c r="L293" s="97"/>
      <c r="M293" s="103">
        <v>19470000</v>
      </c>
      <c r="N293" s="103"/>
      <c r="O293" s="111"/>
      <c r="P293" s="100" t="str">
        <f t="shared" si="42"/>
        <v>Penjualan Intouch</v>
      </c>
      <c r="Q293" s="91"/>
      <c r="S293" s="112"/>
      <c r="T293" s="112"/>
      <c r="U293" s="113"/>
      <c r="V293" s="113"/>
      <c r="X293" s="102"/>
    </row>
    <row r="294" spans="1:24" s="101" customFormat="1" hidden="1" x14ac:dyDescent="0.25">
      <c r="A294" s="60" t="str">
        <f t="shared" si="40"/>
        <v>27410,03</v>
      </c>
      <c r="B294" s="60">
        <f>COUNTIF($J$7:J294,J294)</f>
        <v>27</v>
      </c>
      <c r="C294" s="60" t="str">
        <f t="shared" si="41"/>
        <v>0</v>
      </c>
      <c r="D294" s="60">
        <f>COUNTIF($K$7:K294,K294)</f>
        <v>0</v>
      </c>
      <c r="E294" s="91"/>
      <c r="F294" s="92">
        <v>44580</v>
      </c>
      <c r="G294" s="72"/>
      <c r="H294" s="93" t="s">
        <v>91</v>
      </c>
      <c r="I294" s="94" t="s">
        <v>18</v>
      </c>
      <c r="J294" s="95">
        <v>410.03</v>
      </c>
      <c r="K294" s="108"/>
      <c r="L294" s="97"/>
      <c r="M294" s="103">
        <v>5740000</v>
      </c>
      <c r="N294" s="103"/>
      <c r="O294" s="111"/>
      <c r="P294" s="100" t="str">
        <f t="shared" si="42"/>
        <v>Penjualan Exam</v>
      </c>
      <c r="Q294" s="91"/>
      <c r="S294" s="112"/>
      <c r="T294" s="112"/>
      <c r="U294" s="113"/>
      <c r="V294" s="113"/>
      <c r="X294" s="102"/>
    </row>
    <row r="295" spans="1:24" s="101" customFormat="1" hidden="1" x14ac:dyDescent="0.25">
      <c r="A295" s="60" t="str">
        <f t="shared" si="40"/>
        <v>35410,01</v>
      </c>
      <c r="B295" s="60">
        <f>COUNTIF($J$7:J295,J295)</f>
        <v>35</v>
      </c>
      <c r="C295" s="60" t="str">
        <f t="shared" si="41"/>
        <v>0</v>
      </c>
      <c r="D295" s="60">
        <f>COUNTIF($K$7:K295,K295)</f>
        <v>0</v>
      </c>
      <c r="E295" s="91"/>
      <c r="F295" s="92">
        <v>44580</v>
      </c>
      <c r="G295" s="72"/>
      <c r="H295" s="93" t="s">
        <v>92</v>
      </c>
      <c r="I295" s="94" t="s">
        <v>20</v>
      </c>
      <c r="J295" s="95">
        <v>410.01</v>
      </c>
      <c r="K295" s="108"/>
      <c r="L295" s="97"/>
      <c r="M295" s="103">
        <v>11265000</v>
      </c>
      <c r="N295" s="103"/>
      <c r="O295" s="111"/>
      <c r="P295" s="100" t="str">
        <f t="shared" si="42"/>
        <v>Penjualan Intouch</v>
      </c>
      <c r="Q295" s="91"/>
      <c r="S295" s="112"/>
      <c r="T295" s="112"/>
      <c r="U295" s="113"/>
      <c r="V295" s="113"/>
      <c r="X295" s="102"/>
    </row>
    <row r="296" spans="1:24" s="101" customFormat="1" hidden="1" x14ac:dyDescent="0.25">
      <c r="A296" s="60" t="str">
        <f t="shared" si="40"/>
        <v>36410,01</v>
      </c>
      <c r="B296" s="60">
        <f>COUNTIF($J$7:J296,J296)</f>
        <v>36</v>
      </c>
      <c r="C296" s="60" t="str">
        <f t="shared" si="41"/>
        <v>0</v>
      </c>
      <c r="D296" s="60">
        <f>COUNTIF($K$7:K296,K296)</f>
        <v>0</v>
      </c>
      <c r="E296" s="91"/>
      <c r="F296" s="92">
        <v>44580</v>
      </c>
      <c r="G296" s="72"/>
      <c r="H296" s="93" t="s">
        <v>93</v>
      </c>
      <c r="I296" s="94" t="s">
        <v>37</v>
      </c>
      <c r="J296" s="95">
        <v>410.01</v>
      </c>
      <c r="K296" s="108"/>
      <c r="L296" s="97"/>
      <c r="M296" s="103">
        <v>5445000</v>
      </c>
      <c r="N296" s="103"/>
      <c r="O296" s="111"/>
      <c r="P296" s="100" t="str">
        <f t="shared" si="42"/>
        <v>Penjualan Intouch</v>
      </c>
      <c r="Q296" s="91"/>
      <c r="S296" s="112"/>
      <c r="T296" s="112"/>
      <c r="U296" s="113"/>
      <c r="V296" s="113"/>
      <c r="X296" s="102"/>
    </row>
    <row r="297" spans="1:24" s="101" customFormat="1" hidden="1" x14ac:dyDescent="0.25">
      <c r="A297" s="60" t="str">
        <f t="shared" si="40"/>
        <v>28410,03</v>
      </c>
      <c r="B297" s="60">
        <f>COUNTIF($J$7:J297,J297)</f>
        <v>28</v>
      </c>
      <c r="C297" s="60" t="str">
        <f t="shared" si="41"/>
        <v>0</v>
      </c>
      <c r="D297" s="60">
        <f>COUNTIF($K$7:K297,K297)</f>
        <v>0</v>
      </c>
      <c r="E297" s="91"/>
      <c r="F297" s="92">
        <v>44580</v>
      </c>
      <c r="G297" s="72"/>
      <c r="H297" s="93" t="s">
        <v>94</v>
      </c>
      <c r="I297" s="94" t="s">
        <v>37</v>
      </c>
      <c r="J297" s="95">
        <v>410.03</v>
      </c>
      <c r="K297" s="108"/>
      <c r="L297" s="97"/>
      <c r="M297" s="103">
        <v>7000000</v>
      </c>
      <c r="N297" s="103"/>
      <c r="O297" s="111"/>
      <c r="P297" s="100" t="str">
        <f t="shared" si="42"/>
        <v>Penjualan Exam</v>
      </c>
      <c r="Q297" s="91"/>
      <c r="S297" s="112"/>
      <c r="T297" s="112"/>
      <c r="U297" s="113"/>
      <c r="V297" s="113"/>
      <c r="X297" s="102"/>
    </row>
    <row r="298" spans="1:24" s="101" customFormat="1" hidden="1" x14ac:dyDescent="0.25">
      <c r="A298" s="60" t="str">
        <f t="shared" si="40"/>
        <v>29410,03</v>
      </c>
      <c r="B298" s="60">
        <f>COUNTIF($J$7:J298,J298)</f>
        <v>29</v>
      </c>
      <c r="C298" s="60" t="str">
        <f t="shared" si="41"/>
        <v>0</v>
      </c>
      <c r="D298" s="60">
        <f>COUNTIF($K$7:K298,K298)</f>
        <v>0</v>
      </c>
      <c r="E298" s="91"/>
      <c r="F298" s="92">
        <v>44580</v>
      </c>
      <c r="G298" s="72"/>
      <c r="H298" s="93" t="s">
        <v>95</v>
      </c>
      <c r="I298" s="114" t="s">
        <v>34</v>
      </c>
      <c r="J298" s="95">
        <v>410.03</v>
      </c>
      <c r="K298" s="108"/>
      <c r="L298" s="97"/>
      <c r="M298" s="103">
        <v>10560000</v>
      </c>
      <c r="N298" s="103"/>
      <c r="O298" s="111"/>
      <c r="P298" s="100" t="str">
        <f t="shared" si="42"/>
        <v>Penjualan Exam</v>
      </c>
      <c r="Q298" s="91"/>
      <c r="S298" s="112"/>
      <c r="T298" s="112"/>
      <c r="U298" s="113"/>
      <c r="V298" s="113"/>
      <c r="X298" s="102"/>
    </row>
    <row r="299" spans="1:24" s="101" customFormat="1" hidden="1" x14ac:dyDescent="0.25">
      <c r="A299" s="60" t="str">
        <f t="shared" si="40"/>
        <v>30410,03</v>
      </c>
      <c r="B299" s="60">
        <f>COUNTIF($J$7:J299,J299)</f>
        <v>30</v>
      </c>
      <c r="C299" s="60" t="str">
        <f t="shared" si="41"/>
        <v>0</v>
      </c>
      <c r="D299" s="60">
        <f>COUNTIF($K$7:K299,K299)</f>
        <v>0</v>
      </c>
      <c r="E299" s="91"/>
      <c r="F299" s="92">
        <v>44580</v>
      </c>
      <c r="G299" s="72"/>
      <c r="H299" s="93" t="s">
        <v>96</v>
      </c>
      <c r="I299" s="114" t="s">
        <v>34</v>
      </c>
      <c r="J299" s="95">
        <v>410.03</v>
      </c>
      <c r="K299" s="108"/>
      <c r="L299" s="97"/>
      <c r="M299" s="103">
        <v>7200000</v>
      </c>
      <c r="N299" s="103"/>
      <c r="O299" s="111"/>
      <c r="P299" s="100" t="str">
        <f t="shared" si="42"/>
        <v>Penjualan Exam</v>
      </c>
      <c r="Q299" s="91"/>
      <c r="S299" s="112"/>
      <c r="T299" s="112"/>
      <c r="U299" s="113"/>
      <c r="V299" s="113"/>
      <c r="X299" s="102"/>
    </row>
    <row r="300" spans="1:24" s="101" customFormat="1" hidden="1" x14ac:dyDescent="0.25">
      <c r="A300" s="60" t="str">
        <f t="shared" si="40"/>
        <v>37410,01</v>
      </c>
      <c r="B300" s="60">
        <f>COUNTIF($J$7:J300,J300)</f>
        <v>37</v>
      </c>
      <c r="C300" s="60" t="str">
        <f t="shared" si="41"/>
        <v>0</v>
      </c>
      <c r="D300" s="60">
        <f>COUNTIF($K$7:K300,K300)</f>
        <v>0</v>
      </c>
      <c r="E300" s="91"/>
      <c r="F300" s="92">
        <v>44580</v>
      </c>
      <c r="G300" s="72"/>
      <c r="H300" s="93" t="s">
        <v>97</v>
      </c>
      <c r="I300" s="114" t="s">
        <v>34</v>
      </c>
      <c r="J300" s="95">
        <v>410.01</v>
      </c>
      <c r="K300" s="108"/>
      <c r="L300" s="97"/>
      <c r="M300" s="103">
        <v>5499975</v>
      </c>
      <c r="N300" s="103"/>
      <c r="O300" s="111"/>
      <c r="P300" s="100" t="str">
        <f t="shared" si="42"/>
        <v>Penjualan Intouch</v>
      </c>
      <c r="Q300" s="91"/>
      <c r="S300" s="112"/>
      <c r="T300" s="112"/>
      <c r="U300" s="113"/>
      <c r="V300" s="113"/>
      <c r="X300" s="102"/>
    </row>
    <row r="301" spans="1:24" s="101" customFormat="1" hidden="1" x14ac:dyDescent="0.25">
      <c r="A301" s="60" t="str">
        <f t="shared" si="40"/>
        <v>1410,02</v>
      </c>
      <c r="B301" s="60">
        <f>COUNTIF($J$7:J301,J301)</f>
        <v>1</v>
      </c>
      <c r="C301" s="60" t="str">
        <f t="shared" si="41"/>
        <v>0</v>
      </c>
      <c r="D301" s="60">
        <f>COUNTIF($K$7:K301,K301)</f>
        <v>0</v>
      </c>
      <c r="E301" s="91"/>
      <c r="F301" s="92">
        <v>44566</v>
      </c>
      <c r="G301" s="72"/>
      <c r="H301" s="93" t="s">
        <v>98</v>
      </c>
      <c r="I301" s="94" t="s">
        <v>99</v>
      </c>
      <c r="J301" s="115">
        <v>410.02</v>
      </c>
      <c r="K301" s="108"/>
      <c r="L301" s="97"/>
      <c r="M301" s="98">
        <v>3875000</v>
      </c>
      <c r="N301" s="106" t="s">
        <v>16</v>
      </c>
      <c r="O301" s="99"/>
      <c r="P301" s="100" t="str">
        <f t="shared" si="42"/>
        <v>Penjualan Condom</v>
      </c>
      <c r="Q301" s="91"/>
      <c r="S301" s="112"/>
      <c r="T301" s="112"/>
      <c r="U301" s="113"/>
      <c r="V301" s="113"/>
      <c r="X301" s="102"/>
    </row>
    <row r="302" spans="1:24" s="101" customFormat="1" hidden="1" x14ac:dyDescent="0.25">
      <c r="A302" s="60" t="str">
        <f t="shared" si="40"/>
        <v>38410,01</v>
      </c>
      <c r="B302" s="60">
        <f>COUNTIF($J$7:J302,J302)</f>
        <v>38</v>
      </c>
      <c r="C302" s="60" t="str">
        <f t="shared" si="41"/>
        <v>0</v>
      </c>
      <c r="D302" s="60">
        <f>COUNTIF($K$7:K302,K302)</f>
        <v>0</v>
      </c>
      <c r="E302" s="91"/>
      <c r="F302" s="92">
        <v>44581</v>
      </c>
      <c r="G302" s="72"/>
      <c r="H302" s="93" t="s">
        <v>100</v>
      </c>
      <c r="I302" s="94" t="s">
        <v>18</v>
      </c>
      <c r="J302" s="95">
        <v>410.01</v>
      </c>
      <c r="K302" s="108"/>
      <c r="L302" s="97"/>
      <c r="M302" s="103">
        <v>19717500</v>
      </c>
      <c r="N302" s="103"/>
      <c r="O302" s="111"/>
      <c r="P302" s="100" t="str">
        <f t="shared" si="42"/>
        <v>Penjualan Intouch</v>
      </c>
      <c r="Q302" s="91"/>
      <c r="S302" s="112"/>
      <c r="T302" s="112"/>
      <c r="U302" s="113"/>
      <c r="V302" s="113"/>
      <c r="X302" s="102"/>
    </row>
    <row r="303" spans="1:24" s="101" customFormat="1" hidden="1" x14ac:dyDescent="0.25">
      <c r="A303" s="60" t="str">
        <f t="shared" si="40"/>
        <v>31410,03</v>
      </c>
      <c r="B303" s="60">
        <f>COUNTIF($J$7:J303,J303)</f>
        <v>31</v>
      </c>
      <c r="C303" s="60" t="str">
        <f t="shared" si="41"/>
        <v>0</v>
      </c>
      <c r="D303" s="60">
        <f>COUNTIF($K$7:K303,K303)</f>
        <v>0</v>
      </c>
      <c r="E303" s="91"/>
      <c r="F303" s="92">
        <v>44585</v>
      </c>
      <c r="G303" s="72"/>
      <c r="H303" s="93" t="s">
        <v>101</v>
      </c>
      <c r="I303" s="94" t="s">
        <v>44</v>
      </c>
      <c r="J303" s="95">
        <v>410.03</v>
      </c>
      <c r="K303" s="108"/>
      <c r="L303" s="97"/>
      <c r="M303" s="98">
        <v>6109091</v>
      </c>
      <c r="N303" s="98"/>
      <c r="O303" s="111"/>
      <c r="P303" s="100" t="str">
        <f t="shared" si="42"/>
        <v>Penjualan Exam</v>
      </c>
      <c r="Q303" s="91"/>
      <c r="S303" s="112"/>
      <c r="T303" s="112"/>
      <c r="U303" s="113"/>
      <c r="V303" s="113"/>
      <c r="X303" s="102"/>
    </row>
    <row r="304" spans="1:24" s="101" customFormat="1" hidden="1" x14ac:dyDescent="0.25">
      <c r="A304" s="60" t="str">
        <f t="shared" si="40"/>
        <v>32410,03</v>
      </c>
      <c r="B304" s="60">
        <f>COUNTIF($J$7:J304,J304)</f>
        <v>32</v>
      </c>
      <c r="C304" s="60" t="str">
        <f t="shared" si="41"/>
        <v>0</v>
      </c>
      <c r="D304" s="60">
        <f>COUNTIF($K$7:K304,K304)</f>
        <v>0</v>
      </c>
      <c r="E304" s="91"/>
      <c r="F304" s="92">
        <v>44585</v>
      </c>
      <c r="G304" s="72"/>
      <c r="H304" s="93" t="s">
        <v>102</v>
      </c>
      <c r="I304" s="94" t="s">
        <v>18</v>
      </c>
      <c r="J304" s="95">
        <v>410.03</v>
      </c>
      <c r="K304" s="108"/>
      <c r="L304" s="97"/>
      <c r="M304" s="98">
        <v>41000000</v>
      </c>
      <c r="N304" s="98"/>
      <c r="O304" s="111"/>
      <c r="P304" s="100" t="str">
        <f t="shared" si="42"/>
        <v>Penjualan Exam</v>
      </c>
      <c r="Q304" s="91"/>
      <c r="S304" s="112"/>
      <c r="T304" s="112"/>
      <c r="U304" s="113"/>
      <c r="V304" s="113"/>
      <c r="X304" s="102"/>
    </row>
    <row r="305" spans="1:24" s="101" customFormat="1" hidden="1" x14ac:dyDescent="0.25">
      <c r="A305" s="60" t="str">
        <f t="shared" si="40"/>
        <v>39410,01</v>
      </c>
      <c r="B305" s="60">
        <f>COUNTIF($J$7:J305,J305)</f>
        <v>39</v>
      </c>
      <c r="C305" s="60" t="str">
        <f t="shared" si="41"/>
        <v>0</v>
      </c>
      <c r="D305" s="60">
        <f>COUNTIF($K$7:K305,K305)</f>
        <v>0</v>
      </c>
      <c r="E305" s="91"/>
      <c r="F305" s="92">
        <v>44585</v>
      </c>
      <c r="G305" s="72"/>
      <c r="H305" s="93" t="s">
        <v>103</v>
      </c>
      <c r="I305" s="94" t="s">
        <v>20</v>
      </c>
      <c r="J305" s="95">
        <v>410.01</v>
      </c>
      <c r="K305" s="108"/>
      <c r="L305" s="97"/>
      <c r="M305" s="103">
        <v>7080000</v>
      </c>
      <c r="N305" s="103"/>
      <c r="O305" s="111"/>
      <c r="P305" s="100" t="str">
        <f t="shared" si="42"/>
        <v>Penjualan Intouch</v>
      </c>
      <c r="Q305" s="91"/>
      <c r="S305" s="112"/>
      <c r="T305" s="112"/>
      <c r="U305" s="113"/>
      <c r="V305" s="113"/>
      <c r="X305" s="102"/>
    </row>
    <row r="306" spans="1:24" s="101" customFormat="1" hidden="1" x14ac:dyDescent="0.25">
      <c r="A306" s="60" t="str">
        <f t="shared" si="40"/>
        <v>33410,03</v>
      </c>
      <c r="B306" s="60">
        <f>COUNTIF($J$7:J306,J306)</f>
        <v>33</v>
      </c>
      <c r="C306" s="60" t="str">
        <f t="shared" si="41"/>
        <v>0</v>
      </c>
      <c r="D306" s="60">
        <f>COUNTIF($K$7:K306,K306)</f>
        <v>0</v>
      </c>
      <c r="E306" s="91"/>
      <c r="F306" s="92">
        <v>44585</v>
      </c>
      <c r="G306" s="72"/>
      <c r="H306" s="93" t="s">
        <v>104</v>
      </c>
      <c r="I306" s="94" t="s">
        <v>20</v>
      </c>
      <c r="J306" s="95">
        <v>410.03</v>
      </c>
      <c r="K306" s="108"/>
      <c r="L306" s="97"/>
      <c r="M306" s="98">
        <v>3280000</v>
      </c>
      <c r="N306" s="98"/>
      <c r="O306" s="111"/>
      <c r="P306" s="100" t="str">
        <f t="shared" si="42"/>
        <v>Penjualan Exam</v>
      </c>
      <c r="Q306" s="91"/>
      <c r="S306" s="112"/>
      <c r="T306" s="112"/>
      <c r="U306" s="113"/>
      <c r="V306" s="113"/>
      <c r="X306" s="102"/>
    </row>
    <row r="307" spans="1:24" s="101" customFormat="1" hidden="1" x14ac:dyDescent="0.25">
      <c r="A307" s="60" t="str">
        <f t="shared" si="40"/>
        <v>40410,01</v>
      </c>
      <c r="B307" s="60">
        <f>COUNTIF($J$7:J307,J307)</f>
        <v>40</v>
      </c>
      <c r="C307" s="60" t="str">
        <f t="shared" si="41"/>
        <v>0</v>
      </c>
      <c r="D307" s="60">
        <f>COUNTIF($K$7:K307,K307)</f>
        <v>0</v>
      </c>
      <c r="E307" s="91"/>
      <c r="F307" s="92">
        <v>44585</v>
      </c>
      <c r="G307" s="72"/>
      <c r="H307" s="93" t="s">
        <v>105</v>
      </c>
      <c r="I307" s="94" t="s">
        <v>20</v>
      </c>
      <c r="J307" s="95">
        <v>410.01</v>
      </c>
      <c r="K307" s="108"/>
      <c r="L307" s="97"/>
      <c r="M307" s="103">
        <v>10462500</v>
      </c>
      <c r="N307" s="103"/>
      <c r="O307" s="111"/>
      <c r="P307" s="100" t="str">
        <f t="shared" si="42"/>
        <v>Penjualan Intouch</v>
      </c>
      <c r="Q307" s="91"/>
      <c r="S307" s="112"/>
      <c r="T307" s="112"/>
      <c r="U307" s="113"/>
      <c r="V307" s="113"/>
      <c r="X307" s="102"/>
    </row>
    <row r="308" spans="1:24" s="101" customFormat="1" hidden="1" x14ac:dyDescent="0.25">
      <c r="A308" s="60" t="str">
        <f t="shared" si="40"/>
        <v>34410,03</v>
      </c>
      <c r="B308" s="60">
        <f>COUNTIF($J$7:J308,J308)</f>
        <v>34</v>
      </c>
      <c r="C308" s="60" t="str">
        <f t="shared" si="41"/>
        <v>0</v>
      </c>
      <c r="D308" s="60">
        <f>COUNTIF($K$7:K308,K308)</f>
        <v>0</v>
      </c>
      <c r="E308" s="91"/>
      <c r="F308" s="92">
        <v>44585</v>
      </c>
      <c r="G308" s="72"/>
      <c r="H308" s="93" t="s">
        <v>106</v>
      </c>
      <c r="I308" s="94" t="s">
        <v>107</v>
      </c>
      <c r="J308" s="95">
        <v>410.03</v>
      </c>
      <c r="K308" s="108"/>
      <c r="L308" s="97"/>
      <c r="M308" s="98">
        <v>38181818</v>
      </c>
      <c r="N308" s="98"/>
      <c r="O308" s="111"/>
      <c r="P308" s="100" t="str">
        <f t="shared" si="42"/>
        <v>Penjualan Exam</v>
      </c>
      <c r="Q308" s="91"/>
      <c r="S308" s="112"/>
      <c r="T308" s="112"/>
      <c r="U308" s="113"/>
      <c r="V308" s="113"/>
      <c r="X308" s="102"/>
    </row>
    <row r="309" spans="1:24" s="101" customFormat="1" ht="30" hidden="1" x14ac:dyDescent="0.25">
      <c r="A309" s="60" t="str">
        <f t="shared" si="40"/>
        <v>35410,03</v>
      </c>
      <c r="B309" s="60">
        <f>COUNTIF($J$7:J309,J309)</f>
        <v>35</v>
      </c>
      <c r="C309" s="60" t="str">
        <f t="shared" si="41"/>
        <v>0</v>
      </c>
      <c r="D309" s="60">
        <f>COUNTIF($K$7:K309,K309)</f>
        <v>0</v>
      </c>
      <c r="E309" s="91"/>
      <c r="F309" s="92">
        <v>44585</v>
      </c>
      <c r="G309" s="72"/>
      <c r="H309" s="93" t="s">
        <v>108</v>
      </c>
      <c r="I309" s="94" t="s">
        <v>34</v>
      </c>
      <c r="J309" s="95">
        <v>410.03</v>
      </c>
      <c r="K309" s="108"/>
      <c r="L309" s="97"/>
      <c r="M309" s="98">
        <v>1080000</v>
      </c>
      <c r="N309" s="98"/>
      <c r="O309" s="111"/>
      <c r="P309" s="100" t="str">
        <f t="shared" si="42"/>
        <v>Penjualan Exam</v>
      </c>
      <c r="Q309" s="91"/>
      <c r="S309" s="112"/>
      <c r="T309" s="112"/>
      <c r="U309" s="113"/>
      <c r="V309" s="113"/>
      <c r="X309" s="102"/>
    </row>
    <row r="310" spans="1:24" s="101" customFormat="1" ht="30" hidden="1" x14ac:dyDescent="0.25">
      <c r="A310" s="60" t="str">
        <f t="shared" si="40"/>
        <v>41410,01</v>
      </c>
      <c r="B310" s="60">
        <f>COUNTIF($J$7:J310,J310)</f>
        <v>41</v>
      </c>
      <c r="C310" s="60" t="str">
        <f t="shared" si="41"/>
        <v>0</v>
      </c>
      <c r="D310" s="60">
        <f>COUNTIF($K$7:K310,K310)</f>
        <v>0</v>
      </c>
      <c r="E310" s="91"/>
      <c r="F310" s="92">
        <v>44585</v>
      </c>
      <c r="G310" s="72"/>
      <c r="H310" s="93" t="s">
        <v>109</v>
      </c>
      <c r="I310" s="94" t="s">
        <v>34</v>
      </c>
      <c r="J310" s="95">
        <v>410.01</v>
      </c>
      <c r="K310" s="108"/>
      <c r="L310" s="97"/>
      <c r="M310" s="103">
        <v>2749987</v>
      </c>
      <c r="N310" s="103"/>
      <c r="O310" s="111"/>
      <c r="P310" s="100" t="str">
        <f t="shared" si="42"/>
        <v>Penjualan Intouch</v>
      </c>
      <c r="Q310" s="91"/>
      <c r="S310" s="112"/>
      <c r="T310" s="112"/>
      <c r="U310" s="113"/>
      <c r="V310" s="113"/>
      <c r="X310" s="102"/>
    </row>
    <row r="311" spans="1:24" s="101" customFormat="1" hidden="1" x14ac:dyDescent="0.25">
      <c r="A311" s="60" t="str">
        <f t="shared" si="40"/>
        <v>36410,03</v>
      </c>
      <c r="B311" s="60">
        <f>COUNTIF($J$7:J311,J311)</f>
        <v>36</v>
      </c>
      <c r="C311" s="60" t="str">
        <f t="shared" si="41"/>
        <v>0</v>
      </c>
      <c r="D311" s="60">
        <f>COUNTIF($K$7:K311,K311)</f>
        <v>0</v>
      </c>
      <c r="E311" s="91"/>
      <c r="F311" s="92">
        <v>44586</v>
      </c>
      <c r="G311" s="72"/>
      <c r="H311" s="93" t="s">
        <v>110</v>
      </c>
      <c r="I311" s="94" t="s">
        <v>18</v>
      </c>
      <c r="J311" s="95">
        <v>410.03</v>
      </c>
      <c r="K311" s="108"/>
      <c r="L311" s="97"/>
      <c r="M311" s="98">
        <v>16400000</v>
      </c>
      <c r="N311" s="98"/>
      <c r="O311" s="111"/>
      <c r="P311" s="100" t="str">
        <f t="shared" si="42"/>
        <v>Penjualan Exam</v>
      </c>
      <c r="Q311" s="91"/>
      <c r="S311" s="112"/>
      <c r="T311" s="112"/>
      <c r="U311" s="113"/>
      <c r="V311" s="113"/>
      <c r="X311" s="102"/>
    </row>
    <row r="312" spans="1:24" s="101" customFormat="1" hidden="1" x14ac:dyDescent="0.25">
      <c r="A312" s="60" t="str">
        <f t="shared" si="40"/>
        <v>42410,01</v>
      </c>
      <c r="B312" s="60">
        <f>COUNTIF($J$7:J312,J312)</f>
        <v>42</v>
      </c>
      <c r="C312" s="60" t="str">
        <f t="shared" si="41"/>
        <v>0</v>
      </c>
      <c r="D312" s="60">
        <f>COUNTIF($K$7:K312,K312)</f>
        <v>0</v>
      </c>
      <c r="E312" s="91"/>
      <c r="F312" s="92">
        <v>44586</v>
      </c>
      <c r="G312" s="72"/>
      <c r="H312" s="93" t="s">
        <v>111</v>
      </c>
      <c r="I312" s="94" t="s">
        <v>18</v>
      </c>
      <c r="J312" s="95">
        <v>410.01</v>
      </c>
      <c r="K312" s="108"/>
      <c r="L312" s="97"/>
      <c r="M312" s="98">
        <v>22695000</v>
      </c>
      <c r="N312" s="98"/>
      <c r="O312" s="111"/>
      <c r="P312" s="100" t="str">
        <f t="shared" si="42"/>
        <v>Penjualan Intouch</v>
      </c>
      <c r="Q312" s="91"/>
      <c r="S312" s="112"/>
      <c r="T312" s="112"/>
      <c r="U312" s="113"/>
      <c r="V312" s="113"/>
      <c r="X312" s="102"/>
    </row>
    <row r="313" spans="1:24" s="101" customFormat="1" hidden="1" x14ac:dyDescent="0.25">
      <c r="A313" s="60" t="str">
        <f t="shared" si="40"/>
        <v>37410,03</v>
      </c>
      <c r="B313" s="60">
        <f>COUNTIF($J$7:J313,J313)</f>
        <v>37</v>
      </c>
      <c r="C313" s="60" t="str">
        <f t="shared" si="41"/>
        <v>0</v>
      </c>
      <c r="D313" s="60">
        <f>COUNTIF($K$7:K313,K313)</f>
        <v>0</v>
      </c>
      <c r="E313" s="91"/>
      <c r="F313" s="92">
        <v>44586</v>
      </c>
      <c r="G313" s="72"/>
      <c r="H313" s="93" t="s">
        <v>112</v>
      </c>
      <c r="I313" s="94" t="s">
        <v>20</v>
      </c>
      <c r="J313" s="95">
        <v>410.03</v>
      </c>
      <c r="K313" s="108"/>
      <c r="L313" s="97"/>
      <c r="M313" s="98">
        <v>3750000</v>
      </c>
      <c r="N313" s="98"/>
      <c r="O313" s="111"/>
      <c r="P313" s="100" t="str">
        <f t="shared" si="42"/>
        <v>Penjualan Exam</v>
      </c>
      <c r="Q313" s="91"/>
      <c r="S313" s="112"/>
      <c r="T313" s="112"/>
      <c r="U313" s="113"/>
      <c r="V313" s="113"/>
      <c r="X313" s="102"/>
    </row>
    <row r="314" spans="1:24" s="101" customFormat="1" hidden="1" x14ac:dyDescent="0.25">
      <c r="A314" s="60" t="str">
        <f t="shared" si="40"/>
        <v>43410,01</v>
      </c>
      <c r="B314" s="60">
        <f>COUNTIF($J$7:J314,J314)</f>
        <v>43</v>
      </c>
      <c r="C314" s="60" t="str">
        <f t="shared" si="41"/>
        <v>0</v>
      </c>
      <c r="D314" s="60">
        <f>COUNTIF($K$7:K314,K314)</f>
        <v>0</v>
      </c>
      <c r="E314" s="91"/>
      <c r="F314" s="92">
        <v>44586</v>
      </c>
      <c r="G314" s="72"/>
      <c r="H314" s="93" t="s">
        <v>113</v>
      </c>
      <c r="I314" s="94" t="s">
        <v>26</v>
      </c>
      <c r="J314" s="95">
        <v>410.01</v>
      </c>
      <c r="K314" s="108"/>
      <c r="L314" s="97"/>
      <c r="M314" s="103">
        <v>19650000</v>
      </c>
      <c r="N314" s="103"/>
      <c r="O314" s="111"/>
      <c r="P314" s="100" t="str">
        <f t="shared" si="42"/>
        <v>Penjualan Intouch</v>
      </c>
      <c r="Q314" s="91"/>
      <c r="S314" s="112"/>
      <c r="T314" s="112"/>
      <c r="U314" s="113"/>
      <c r="V314" s="113"/>
      <c r="X314" s="102"/>
    </row>
    <row r="315" spans="1:24" s="101" customFormat="1" hidden="1" x14ac:dyDescent="0.25">
      <c r="A315" s="60" t="str">
        <f t="shared" si="40"/>
        <v>38410,03</v>
      </c>
      <c r="B315" s="60">
        <f>COUNTIF($J$7:J315,J315)</f>
        <v>38</v>
      </c>
      <c r="C315" s="60" t="str">
        <f t="shared" si="41"/>
        <v>0</v>
      </c>
      <c r="D315" s="60">
        <f>COUNTIF($K$7:K315,K315)</f>
        <v>0</v>
      </c>
      <c r="E315" s="91"/>
      <c r="F315" s="92">
        <v>44586</v>
      </c>
      <c r="G315" s="72"/>
      <c r="H315" s="93" t="s">
        <v>114</v>
      </c>
      <c r="I315" s="94" t="s">
        <v>32</v>
      </c>
      <c r="J315" s="95">
        <v>410.03</v>
      </c>
      <c r="K315" s="108"/>
      <c r="L315" s="97"/>
      <c r="M315" s="98">
        <v>23880000</v>
      </c>
      <c r="N315" s="98"/>
      <c r="O315" s="111"/>
      <c r="P315" s="100" t="str">
        <f t="shared" si="42"/>
        <v>Penjualan Exam</v>
      </c>
      <c r="Q315" s="91"/>
      <c r="S315" s="112"/>
      <c r="T315" s="112"/>
      <c r="U315" s="113"/>
      <c r="V315" s="113"/>
      <c r="X315" s="102"/>
    </row>
    <row r="316" spans="1:24" s="101" customFormat="1" hidden="1" x14ac:dyDescent="0.25">
      <c r="A316" s="60" t="str">
        <f t="shared" si="40"/>
        <v>44410,01</v>
      </c>
      <c r="B316" s="60">
        <f>COUNTIF($J$7:J316,J316)</f>
        <v>44</v>
      </c>
      <c r="C316" s="60" t="str">
        <f t="shared" si="41"/>
        <v>0</v>
      </c>
      <c r="D316" s="60">
        <f>COUNTIF($K$7:K316,K316)</f>
        <v>0</v>
      </c>
      <c r="E316" s="91"/>
      <c r="F316" s="92">
        <v>44586</v>
      </c>
      <c r="G316" s="72"/>
      <c r="H316" s="93" t="s">
        <v>115</v>
      </c>
      <c r="I316" s="94" t="s">
        <v>32</v>
      </c>
      <c r="J316" s="95">
        <v>410.01</v>
      </c>
      <c r="K316" s="108"/>
      <c r="L316" s="97"/>
      <c r="M316" s="103">
        <v>7699965</v>
      </c>
      <c r="N316" s="103"/>
      <c r="O316" s="111"/>
      <c r="P316" s="100" t="str">
        <f t="shared" si="42"/>
        <v>Penjualan Intouch</v>
      </c>
      <c r="Q316" s="91"/>
      <c r="S316" s="112"/>
      <c r="T316" s="112"/>
      <c r="U316" s="113"/>
      <c r="V316" s="113"/>
      <c r="X316" s="102"/>
    </row>
    <row r="317" spans="1:24" s="101" customFormat="1" hidden="1" x14ac:dyDescent="0.25">
      <c r="A317" s="60" t="str">
        <f t="shared" si="40"/>
        <v>45410,01</v>
      </c>
      <c r="B317" s="60">
        <f>COUNTIF($J$7:J317,J317)</f>
        <v>45</v>
      </c>
      <c r="C317" s="60" t="str">
        <f t="shared" si="41"/>
        <v>0</v>
      </c>
      <c r="D317" s="60">
        <f>COUNTIF($K$7:K317,K317)</f>
        <v>0</v>
      </c>
      <c r="E317" s="91"/>
      <c r="F317" s="92">
        <v>44586</v>
      </c>
      <c r="G317" s="72"/>
      <c r="H317" s="93" t="s">
        <v>116</v>
      </c>
      <c r="I317" s="94" t="s">
        <v>37</v>
      </c>
      <c r="J317" s="95">
        <v>410.01</v>
      </c>
      <c r="K317" s="108"/>
      <c r="L317" s="97"/>
      <c r="M317" s="103">
        <v>11640000</v>
      </c>
      <c r="N317" s="103"/>
      <c r="O317" s="111"/>
      <c r="P317" s="100" t="str">
        <f t="shared" si="42"/>
        <v>Penjualan Intouch</v>
      </c>
      <c r="Q317" s="91"/>
      <c r="S317" s="112"/>
      <c r="T317" s="112"/>
      <c r="U317" s="113"/>
      <c r="V317" s="113"/>
      <c r="X317" s="102"/>
    </row>
    <row r="318" spans="1:24" s="101" customFormat="1" hidden="1" x14ac:dyDescent="0.25">
      <c r="A318" s="60" t="str">
        <f t="shared" si="40"/>
        <v>39410,03</v>
      </c>
      <c r="B318" s="60">
        <f>COUNTIF($J$7:J318,J318)</f>
        <v>39</v>
      </c>
      <c r="C318" s="60" t="str">
        <f t="shared" si="41"/>
        <v>0</v>
      </c>
      <c r="D318" s="60">
        <f>COUNTIF($K$7:K318,K318)</f>
        <v>0</v>
      </c>
      <c r="E318" s="91"/>
      <c r="F318" s="92">
        <v>44586</v>
      </c>
      <c r="G318" s="72"/>
      <c r="H318" s="93" t="s">
        <v>117</v>
      </c>
      <c r="I318" s="94" t="s">
        <v>53</v>
      </c>
      <c r="J318" s="95">
        <v>410.03</v>
      </c>
      <c r="K318" s="108"/>
      <c r="L318" s="97"/>
      <c r="M318" s="98">
        <v>4400000</v>
      </c>
      <c r="N318" s="98"/>
      <c r="O318" s="111"/>
      <c r="P318" s="100" t="str">
        <f t="shared" si="42"/>
        <v>Penjualan Exam</v>
      </c>
      <c r="Q318" s="91"/>
      <c r="S318" s="112"/>
      <c r="T318" s="112"/>
      <c r="U318" s="113"/>
      <c r="V318" s="113"/>
      <c r="X318" s="102"/>
    </row>
    <row r="319" spans="1:24" s="101" customFormat="1" ht="30" hidden="1" x14ac:dyDescent="0.25">
      <c r="A319" s="60" t="str">
        <f t="shared" si="40"/>
        <v>46410,01</v>
      </c>
      <c r="B319" s="60">
        <f>COUNTIF($J$7:J319,J319)</f>
        <v>46</v>
      </c>
      <c r="C319" s="60" t="str">
        <f t="shared" si="41"/>
        <v>0</v>
      </c>
      <c r="D319" s="60">
        <f>COUNTIF($K$7:K319,K319)</f>
        <v>0</v>
      </c>
      <c r="E319" s="91"/>
      <c r="F319" s="92">
        <v>44586</v>
      </c>
      <c r="G319" s="72"/>
      <c r="H319" s="93" t="s">
        <v>118</v>
      </c>
      <c r="I319" s="94" t="s">
        <v>34</v>
      </c>
      <c r="J319" s="95">
        <v>410.01</v>
      </c>
      <c r="K319" s="108"/>
      <c r="L319" s="97"/>
      <c r="M319" s="103">
        <v>2199990</v>
      </c>
      <c r="N319" s="103"/>
      <c r="O319" s="111"/>
      <c r="P319" s="100" t="str">
        <f t="shared" si="42"/>
        <v>Penjualan Intouch</v>
      </c>
      <c r="Q319" s="91"/>
      <c r="S319" s="112"/>
      <c r="T319" s="112"/>
      <c r="U319" s="113"/>
      <c r="V319" s="113"/>
      <c r="X319" s="102"/>
    </row>
    <row r="320" spans="1:24" s="101" customFormat="1" ht="30" hidden="1" x14ac:dyDescent="0.25">
      <c r="A320" s="60" t="str">
        <f t="shared" si="40"/>
        <v>47410,01</v>
      </c>
      <c r="B320" s="60">
        <f>COUNTIF($J$7:J320,J320)</f>
        <v>47</v>
      </c>
      <c r="C320" s="60" t="str">
        <f t="shared" si="41"/>
        <v>0</v>
      </c>
      <c r="D320" s="60">
        <f>COUNTIF($K$7:K320,K320)</f>
        <v>0</v>
      </c>
      <c r="E320" s="91"/>
      <c r="F320" s="92">
        <v>44586</v>
      </c>
      <c r="G320" s="72"/>
      <c r="H320" s="93" t="s">
        <v>119</v>
      </c>
      <c r="I320" s="94" t="s">
        <v>34</v>
      </c>
      <c r="J320" s="95">
        <v>410.01</v>
      </c>
      <c r="K320" s="108"/>
      <c r="L320" s="97"/>
      <c r="M320" s="103">
        <v>3249987</v>
      </c>
      <c r="N320" s="103"/>
      <c r="O320" s="111"/>
      <c r="P320" s="100" t="str">
        <f t="shared" si="42"/>
        <v>Penjualan Intouch</v>
      </c>
      <c r="Q320" s="91"/>
      <c r="S320" s="112"/>
      <c r="T320" s="112"/>
      <c r="U320" s="113"/>
      <c r="V320" s="113"/>
      <c r="X320" s="102"/>
    </row>
    <row r="321" spans="1:24" s="101" customFormat="1" ht="30" hidden="1" x14ac:dyDescent="0.25">
      <c r="A321" s="60" t="str">
        <f t="shared" si="40"/>
        <v>40410,03</v>
      </c>
      <c r="B321" s="60">
        <f>COUNTIF($J$7:J321,J321)</f>
        <v>40</v>
      </c>
      <c r="C321" s="60" t="str">
        <f t="shared" si="41"/>
        <v>0</v>
      </c>
      <c r="D321" s="60">
        <f>COUNTIF($K$7:K321,K321)</f>
        <v>0</v>
      </c>
      <c r="E321" s="91"/>
      <c r="F321" s="92">
        <v>44586</v>
      </c>
      <c r="G321" s="72"/>
      <c r="H321" s="93" t="s">
        <v>120</v>
      </c>
      <c r="I321" s="94" t="s">
        <v>34</v>
      </c>
      <c r="J321" s="95">
        <v>410.03</v>
      </c>
      <c r="K321" s="108"/>
      <c r="L321" s="97"/>
      <c r="M321" s="98">
        <v>8400000</v>
      </c>
      <c r="N321" s="98"/>
      <c r="O321" s="111"/>
      <c r="P321" s="100" t="str">
        <f t="shared" si="42"/>
        <v>Penjualan Exam</v>
      </c>
      <c r="Q321" s="91"/>
      <c r="S321" s="112"/>
      <c r="T321" s="112"/>
      <c r="U321" s="113"/>
      <c r="V321" s="113"/>
      <c r="X321" s="102"/>
    </row>
    <row r="322" spans="1:24" s="101" customFormat="1" hidden="1" x14ac:dyDescent="0.25">
      <c r="A322" s="60" t="str">
        <f t="shared" si="40"/>
        <v>48410,01</v>
      </c>
      <c r="B322" s="60">
        <f>COUNTIF($J$7:J322,J322)</f>
        <v>48</v>
      </c>
      <c r="C322" s="60" t="str">
        <f t="shared" si="41"/>
        <v>0</v>
      </c>
      <c r="D322" s="60">
        <f>COUNTIF($K$7:K322,K322)</f>
        <v>0</v>
      </c>
      <c r="E322" s="91"/>
      <c r="F322" s="92">
        <v>44586</v>
      </c>
      <c r="G322" s="72"/>
      <c r="H322" s="93" t="s">
        <v>121</v>
      </c>
      <c r="I322" s="94" t="s">
        <v>122</v>
      </c>
      <c r="J322" s="95">
        <v>410.01</v>
      </c>
      <c r="K322" s="108"/>
      <c r="L322" s="97"/>
      <c r="M322" s="103">
        <v>2190000</v>
      </c>
      <c r="N322" s="103"/>
      <c r="O322" s="111"/>
      <c r="P322" s="100" t="str">
        <f t="shared" si="42"/>
        <v>Penjualan Intouch</v>
      </c>
      <c r="Q322" s="91"/>
      <c r="S322" s="112"/>
      <c r="T322" s="112"/>
      <c r="U322" s="113"/>
      <c r="V322" s="113"/>
      <c r="X322" s="102"/>
    </row>
    <row r="323" spans="1:24" s="101" customFormat="1" hidden="1" x14ac:dyDescent="0.25">
      <c r="A323" s="60" t="str">
        <f t="shared" si="40"/>
        <v>49410,01</v>
      </c>
      <c r="B323" s="60">
        <f>COUNTIF($J$7:J323,J323)</f>
        <v>49</v>
      </c>
      <c r="C323" s="60" t="str">
        <f t="shared" si="41"/>
        <v>0</v>
      </c>
      <c r="D323" s="60">
        <f>COUNTIF($K$7:K323,K323)</f>
        <v>0</v>
      </c>
      <c r="E323" s="91"/>
      <c r="F323" s="92">
        <v>44586</v>
      </c>
      <c r="G323" s="72"/>
      <c r="H323" s="93" t="s">
        <v>123</v>
      </c>
      <c r="I323" s="94" t="s">
        <v>124</v>
      </c>
      <c r="J323" s="95">
        <v>410.01</v>
      </c>
      <c r="K323" s="108"/>
      <c r="L323" s="97"/>
      <c r="M323" s="103">
        <v>8640000</v>
      </c>
      <c r="N323" s="103"/>
      <c r="O323" s="111"/>
      <c r="P323" s="100" t="str">
        <f t="shared" si="42"/>
        <v>Penjualan Intouch</v>
      </c>
      <c r="Q323" s="91"/>
      <c r="S323" s="112"/>
      <c r="T323" s="112"/>
      <c r="U323" s="113"/>
      <c r="V323" s="113"/>
      <c r="X323" s="102"/>
    </row>
    <row r="324" spans="1:24" s="101" customFormat="1" hidden="1" x14ac:dyDescent="0.25">
      <c r="A324" s="60" t="str">
        <f t="shared" si="40"/>
        <v>50410,01</v>
      </c>
      <c r="B324" s="60">
        <f>COUNTIF($J$7:J324,J324)</f>
        <v>50</v>
      </c>
      <c r="C324" s="60" t="str">
        <f t="shared" si="41"/>
        <v>0</v>
      </c>
      <c r="D324" s="60">
        <f>COUNTIF($K$7:K324,K324)</f>
        <v>0</v>
      </c>
      <c r="E324" s="91"/>
      <c r="F324" s="92">
        <v>44586</v>
      </c>
      <c r="G324" s="72"/>
      <c r="H324" s="93" t="s">
        <v>125</v>
      </c>
      <c r="I324" s="94" t="s">
        <v>48</v>
      </c>
      <c r="J324" s="95">
        <v>410.01</v>
      </c>
      <c r="K324" s="108"/>
      <c r="L324" s="97"/>
      <c r="M324" s="103">
        <v>1950000</v>
      </c>
      <c r="N324" s="103"/>
      <c r="O324" s="111"/>
      <c r="P324" s="100" t="str">
        <f t="shared" si="42"/>
        <v>Penjualan Intouch</v>
      </c>
      <c r="Q324" s="91"/>
      <c r="S324" s="112"/>
      <c r="T324" s="112"/>
      <c r="U324" s="113"/>
      <c r="V324" s="113"/>
      <c r="X324" s="102"/>
    </row>
    <row r="325" spans="1:24" s="101" customFormat="1" hidden="1" x14ac:dyDescent="0.25">
      <c r="A325" s="60" t="str">
        <f t="shared" si="40"/>
        <v>41410,03</v>
      </c>
      <c r="B325" s="60">
        <f>COUNTIF($J$7:J325,J325)</f>
        <v>41</v>
      </c>
      <c r="C325" s="60" t="str">
        <f t="shared" si="41"/>
        <v>0</v>
      </c>
      <c r="D325" s="60">
        <f>COUNTIF($K$7:K325,K325)</f>
        <v>0</v>
      </c>
      <c r="E325" s="91"/>
      <c r="F325" s="92">
        <v>44587</v>
      </c>
      <c r="G325" s="72"/>
      <c r="H325" s="93" t="s">
        <v>126</v>
      </c>
      <c r="I325" s="94" t="s">
        <v>37</v>
      </c>
      <c r="J325" s="95">
        <v>410.03</v>
      </c>
      <c r="K325" s="108"/>
      <c r="L325" s="97"/>
      <c r="M325" s="98">
        <v>17500000</v>
      </c>
      <c r="N325" s="98"/>
      <c r="O325" s="111"/>
      <c r="P325" s="100" t="str">
        <f t="shared" si="42"/>
        <v>Penjualan Exam</v>
      </c>
      <c r="Q325" s="91"/>
      <c r="S325" s="112"/>
      <c r="T325" s="112"/>
      <c r="U325" s="113"/>
      <c r="V325" s="113"/>
      <c r="X325" s="102"/>
    </row>
    <row r="326" spans="1:24" s="101" customFormat="1" ht="30" hidden="1" x14ac:dyDescent="0.25">
      <c r="A326" s="60" t="str">
        <f t="shared" si="40"/>
        <v>42410,03</v>
      </c>
      <c r="B326" s="60">
        <f>COUNTIF($J$7:J326,J326)</f>
        <v>42</v>
      </c>
      <c r="C326" s="60" t="str">
        <f t="shared" si="41"/>
        <v>0</v>
      </c>
      <c r="D326" s="60">
        <f>COUNTIF($K$7:K326,K326)</f>
        <v>0</v>
      </c>
      <c r="E326" s="91"/>
      <c r="F326" s="92">
        <v>44587</v>
      </c>
      <c r="G326" s="72"/>
      <c r="H326" s="93" t="s">
        <v>127</v>
      </c>
      <c r="I326" s="94" t="s">
        <v>34</v>
      </c>
      <c r="J326" s="95">
        <v>410.03</v>
      </c>
      <c r="K326" s="108"/>
      <c r="L326" s="97"/>
      <c r="M326" s="98">
        <v>23400000</v>
      </c>
      <c r="N326" s="98"/>
      <c r="O326" s="111"/>
      <c r="P326" s="100" t="str">
        <f t="shared" si="42"/>
        <v>Penjualan Exam</v>
      </c>
      <c r="Q326" s="91"/>
      <c r="S326" s="112"/>
      <c r="T326" s="112"/>
      <c r="U326" s="113"/>
      <c r="V326" s="113"/>
      <c r="X326" s="102"/>
    </row>
    <row r="327" spans="1:24" s="101" customFormat="1" ht="30" hidden="1" x14ac:dyDescent="0.25">
      <c r="A327" s="60" t="str">
        <f t="shared" ref="A327:A390" si="43">B327&amp;J327</f>
        <v>43410,03</v>
      </c>
      <c r="B327" s="60">
        <f>COUNTIF($J$7:J327,J327)</f>
        <v>43</v>
      </c>
      <c r="C327" s="60" t="str">
        <f t="shared" ref="C327:C390" si="44">D327&amp;K327</f>
        <v>0</v>
      </c>
      <c r="D327" s="60">
        <f>COUNTIF($K$7:K327,K327)</f>
        <v>0</v>
      </c>
      <c r="E327" s="91"/>
      <c r="F327" s="92">
        <v>44587</v>
      </c>
      <c r="G327" s="72"/>
      <c r="H327" s="93" t="s">
        <v>128</v>
      </c>
      <c r="I327" s="94" t="s">
        <v>34</v>
      </c>
      <c r="J327" s="95">
        <v>410.03</v>
      </c>
      <c r="K327" s="108"/>
      <c r="L327" s="97"/>
      <c r="M327" s="98">
        <v>6720000</v>
      </c>
      <c r="N327" s="98"/>
      <c r="O327" s="111"/>
      <c r="P327" s="100" t="str">
        <f t="shared" ref="P327:P390" si="45">IF(J327=0,"-",+VLOOKUP(J327,DAF_AKUN,2,FALSE))</f>
        <v>Penjualan Exam</v>
      </c>
      <c r="Q327" s="91"/>
      <c r="S327" s="112"/>
      <c r="T327" s="112"/>
      <c r="U327" s="113"/>
      <c r="V327" s="113"/>
      <c r="X327" s="102"/>
    </row>
    <row r="328" spans="1:24" s="101" customFormat="1" hidden="1" x14ac:dyDescent="0.25">
      <c r="A328" s="60" t="str">
        <f t="shared" si="43"/>
        <v>2410,02</v>
      </c>
      <c r="B328" s="60">
        <f>COUNTIF($J$7:J328,J328)</f>
        <v>2</v>
      </c>
      <c r="C328" s="60" t="str">
        <f t="shared" si="44"/>
        <v>0</v>
      </c>
      <c r="D328" s="60">
        <f>COUNTIF($K$7:K328,K328)</f>
        <v>0</v>
      </c>
      <c r="E328" s="91"/>
      <c r="F328" s="92">
        <v>44568</v>
      </c>
      <c r="G328" s="72"/>
      <c r="H328" s="93" t="s">
        <v>129</v>
      </c>
      <c r="I328" s="94" t="s">
        <v>99</v>
      </c>
      <c r="J328" s="115">
        <v>410.02</v>
      </c>
      <c r="K328" s="108"/>
      <c r="L328" s="97"/>
      <c r="M328" s="98">
        <v>3875000</v>
      </c>
      <c r="N328" s="98"/>
      <c r="O328" s="99"/>
      <c r="P328" s="100" t="str">
        <f t="shared" si="45"/>
        <v>Penjualan Condom</v>
      </c>
      <c r="Q328" s="91"/>
      <c r="S328" s="112"/>
      <c r="T328" s="112"/>
      <c r="U328" s="113"/>
      <c r="V328" s="113"/>
      <c r="X328" s="102"/>
    </row>
    <row r="329" spans="1:24" s="101" customFormat="1" hidden="1" x14ac:dyDescent="0.25">
      <c r="A329" s="60" t="str">
        <f t="shared" si="43"/>
        <v>51410,01</v>
      </c>
      <c r="B329" s="60">
        <f>COUNTIF($J$7:J329,J329)</f>
        <v>51</v>
      </c>
      <c r="C329" s="60" t="str">
        <f t="shared" si="44"/>
        <v>0</v>
      </c>
      <c r="D329" s="60">
        <f>COUNTIF($K$7:K329,K329)</f>
        <v>0</v>
      </c>
      <c r="E329" s="91"/>
      <c r="F329" s="92">
        <v>44588</v>
      </c>
      <c r="G329" s="72"/>
      <c r="H329" s="93" t="s">
        <v>130</v>
      </c>
      <c r="I329" s="94" t="s">
        <v>131</v>
      </c>
      <c r="J329" s="95">
        <v>410.01</v>
      </c>
      <c r="K329" s="108"/>
      <c r="L329" s="97"/>
      <c r="M329" s="103">
        <v>3780000</v>
      </c>
      <c r="N329" s="103"/>
      <c r="O329" s="111"/>
      <c r="P329" s="100" t="str">
        <f t="shared" si="45"/>
        <v>Penjualan Intouch</v>
      </c>
      <c r="Q329" s="91"/>
      <c r="S329" s="112"/>
      <c r="T329" s="112"/>
      <c r="U329" s="113"/>
      <c r="V329" s="113"/>
      <c r="X329" s="102"/>
    </row>
    <row r="330" spans="1:24" s="101" customFormat="1" ht="30" hidden="1" x14ac:dyDescent="0.25">
      <c r="A330" s="60" t="str">
        <f t="shared" si="43"/>
        <v>52410,01</v>
      </c>
      <c r="B330" s="60">
        <f>COUNTIF($J$7:J330,J330)</f>
        <v>52</v>
      </c>
      <c r="C330" s="60" t="str">
        <f t="shared" si="44"/>
        <v>0</v>
      </c>
      <c r="D330" s="60">
        <f>COUNTIF($K$7:K330,K330)</f>
        <v>0</v>
      </c>
      <c r="E330" s="91"/>
      <c r="F330" s="92">
        <v>44588</v>
      </c>
      <c r="G330" s="72"/>
      <c r="H330" s="93" t="s">
        <v>132</v>
      </c>
      <c r="I330" s="94" t="s">
        <v>34</v>
      </c>
      <c r="J330" s="95">
        <v>410.01</v>
      </c>
      <c r="K330" s="108"/>
      <c r="L330" s="97"/>
      <c r="M330" s="103">
        <v>549997</v>
      </c>
      <c r="N330" s="103"/>
      <c r="O330" s="111"/>
      <c r="P330" s="100" t="str">
        <f t="shared" si="45"/>
        <v>Penjualan Intouch</v>
      </c>
      <c r="Q330" s="91"/>
      <c r="S330" s="112"/>
      <c r="T330" s="112"/>
      <c r="U330" s="113"/>
      <c r="V330" s="113"/>
      <c r="X330" s="102"/>
    </row>
    <row r="331" spans="1:24" s="101" customFormat="1" ht="30" hidden="1" x14ac:dyDescent="0.25">
      <c r="A331" s="60" t="str">
        <f t="shared" si="43"/>
        <v>53410,01</v>
      </c>
      <c r="B331" s="60">
        <f>COUNTIF($J$7:J331,J331)</f>
        <v>53</v>
      </c>
      <c r="C331" s="60" t="str">
        <f t="shared" si="44"/>
        <v>0</v>
      </c>
      <c r="D331" s="60">
        <f>COUNTIF($K$7:K331,K331)</f>
        <v>0</v>
      </c>
      <c r="E331" s="91"/>
      <c r="F331" s="92">
        <v>44588</v>
      </c>
      <c r="G331" s="72"/>
      <c r="H331" s="93" t="s">
        <v>133</v>
      </c>
      <c r="I331" s="94" t="s">
        <v>34</v>
      </c>
      <c r="J331" s="95">
        <v>410.01</v>
      </c>
      <c r="K331" s="108"/>
      <c r="L331" s="97"/>
      <c r="M331" s="103">
        <v>2749987</v>
      </c>
      <c r="N331" s="103"/>
      <c r="O331" s="111"/>
      <c r="P331" s="100" t="str">
        <f t="shared" si="45"/>
        <v>Penjualan Intouch</v>
      </c>
      <c r="Q331" s="91"/>
      <c r="S331" s="112"/>
      <c r="T331" s="112"/>
      <c r="U331" s="113"/>
      <c r="V331" s="113"/>
      <c r="X331" s="102"/>
    </row>
    <row r="332" spans="1:24" s="101" customFormat="1" hidden="1" x14ac:dyDescent="0.25">
      <c r="A332" s="60" t="str">
        <f t="shared" si="43"/>
        <v>44410,03</v>
      </c>
      <c r="B332" s="60">
        <f>COUNTIF($J$7:J332,J332)</f>
        <v>44</v>
      </c>
      <c r="C332" s="60" t="str">
        <f t="shared" si="44"/>
        <v>0</v>
      </c>
      <c r="D332" s="60">
        <f>COUNTIF($K$7:K332,K332)</f>
        <v>0</v>
      </c>
      <c r="E332" s="91"/>
      <c r="F332" s="92">
        <v>44589</v>
      </c>
      <c r="G332" s="72"/>
      <c r="H332" s="93" t="s">
        <v>134</v>
      </c>
      <c r="I332" s="94" t="s">
        <v>58</v>
      </c>
      <c r="J332" s="95">
        <v>410.03</v>
      </c>
      <c r="K332" s="108"/>
      <c r="L332" s="97"/>
      <c r="M332" s="98">
        <v>1750000</v>
      </c>
      <c r="N332" s="98"/>
      <c r="O332" s="111"/>
      <c r="P332" s="100" t="str">
        <f t="shared" si="45"/>
        <v>Penjualan Exam</v>
      </c>
      <c r="Q332" s="91"/>
      <c r="S332" s="112"/>
      <c r="T332" s="112"/>
      <c r="U332" s="113"/>
      <c r="V332" s="113"/>
      <c r="X332" s="102"/>
    </row>
    <row r="333" spans="1:24" s="101" customFormat="1" hidden="1" x14ac:dyDescent="0.25">
      <c r="A333" s="60" t="str">
        <f t="shared" si="43"/>
        <v>54410,01</v>
      </c>
      <c r="B333" s="60">
        <f>COUNTIF($J$7:J333,J333)</f>
        <v>54</v>
      </c>
      <c r="C333" s="60" t="str">
        <f t="shared" si="44"/>
        <v>0</v>
      </c>
      <c r="D333" s="60">
        <f>COUNTIF($K$7:K333,K333)</f>
        <v>0</v>
      </c>
      <c r="E333" s="91"/>
      <c r="F333" s="92">
        <v>44589</v>
      </c>
      <c r="G333" s="72"/>
      <c r="H333" s="93" t="s">
        <v>135</v>
      </c>
      <c r="I333" s="94" t="s">
        <v>20</v>
      </c>
      <c r="J333" s="95">
        <v>410.01</v>
      </c>
      <c r="K333" s="108"/>
      <c r="L333" s="97"/>
      <c r="M333" s="103">
        <v>1770000</v>
      </c>
      <c r="N333" s="103"/>
      <c r="O333" s="111"/>
      <c r="P333" s="100" t="str">
        <f t="shared" si="45"/>
        <v>Penjualan Intouch</v>
      </c>
      <c r="Q333" s="91"/>
      <c r="S333" s="112"/>
      <c r="T333" s="112"/>
      <c r="U333" s="113"/>
      <c r="V333" s="113"/>
      <c r="X333" s="102"/>
    </row>
    <row r="334" spans="1:24" s="101" customFormat="1" hidden="1" x14ac:dyDescent="0.25">
      <c r="A334" s="60" t="str">
        <f t="shared" si="43"/>
        <v>55410,01</v>
      </c>
      <c r="B334" s="60">
        <f>COUNTIF($J$7:J334,J334)</f>
        <v>55</v>
      </c>
      <c r="C334" s="60" t="str">
        <f t="shared" si="44"/>
        <v>0</v>
      </c>
      <c r="D334" s="60">
        <f>COUNTIF($K$7:K334,K334)</f>
        <v>0</v>
      </c>
      <c r="E334" s="91"/>
      <c r="F334" s="92">
        <v>44589</v>
      </c>
      <c r="G334" s="72"/>
      <c r="H334" s="93" t="s">
        <v>136</v>
      </c>
      <c r="I334" s="94" t="s">
        <v>20</v>
      </c>
      <c r="J334" s="95">
        <v>410.01</v>
      </c>
      <c r="K334" s="108"/>
      <c r="L334" s="97"/>
      <c r="M334" s="103">
        <v>3540000</v>
      </c>
      <c r="N334" s="103"/>
      <c r="O334" s="111"/>
      <c r="P334" s="100" t="str">
        <f t="shared" si="45"/>
        <v>Penjualan Intouch</v>
      </c>
      <c r="Q334" s="91"/>
      <c r="S334" s="112"/>
      <c r="T334" s="112"/>
      <c r="U334" s="113"/>
      <c r="V334" s="113"/>
      <c r="X334" s="102"/>
    </row>
    <row r="335" spans="1:24" s="101" customFormat="1" hidden="1" x14ac:dyDescent="0.25">
      <c r="A335" s="60" t="str">
        <f t="shared" si="43"/>
        <v>56410,01</v>
      </c>
      <c r="B335" s="60">
        <f>COUNTIF($J$7:J335,J335)</f>
        <v>56</v>
      </c>
      <c r="C335" s="60" t="str">
        <f t="shared" si="44"/>
        <v>0</v>
      </c>
      <c r="D335" s="60">
        <f>COUNTIF($K$7:K335,K335)</f>
        <v>0</v>
      </c>
      <c r="E335" s="91"/>
      <c r="F335" s="92">
        <v>44589</v>
      </c>
      <c r="G335" s="72"/>
      <c r="H335" s="93" t="s">
        <v>137</v>
      </c>
      <c r="I335" s="94" t="s">
        <v>20</v>
      </c>
      <c r="J335" s="95">
        <v>410.01</v>
      </c>
      <c r="K335" s="108"/>
      <c r="L335" s="97"/>
      <c r="M335" s="103">
        <v>5377500</v>
      </c>
      <c r="N335" s="103"/>
      <c r="O335" s="111"/>
      <c r="P335" s="100" t="str">
        <f t="shared" si="45"/>
        <v>Penjualan Intouch</v>
      </c>
      <c r="Q335" s="91"/>
      <c r="S335" s="112"/>
      <c r="T335" s="112"/>
      <c r="U335" s="113"/>
      <c r="V335" s="113"/>
      <c r="X335" s="102"/>
    </row>
    <row r="336" spans="1:24" s="101" customFormat="1" ht="30" hidden="1" x14ac:dyDescent="0.25">
      <c r="A336" s="60" t="str">
        <f t="shared" si="43"/>
        <v>45410,03</v>
      </c>
      <c r="B336" s="60">
        <f>COUNTIF($J$7:J336,J336)</f>
        <v>45</v>
      </c>
      <c r="C336" s="60" t="str">
        <f t="shared" si="44"/>
        <v>0</v>
      </c>
      <c r="D336" s="60">
        <f>COUNTIF($K$7:K336,K336)</f>
        <v>0</v>
      </c>
      <c r="E336" s="91"/>
      <c r="F336" s="92">
        <v>44589</v>
      </c>
      <c r="G336" s="72"/>
      <c r="H336" s="93" t="s">
        <v>138</v>
      </c>
      <c r="I336" s="94" t="s">
        <v>34</v>
      </c>
      <c r="J336" s="95">
        <v>410.03</v>
      </c>
      <c r="K336" s="108"/>
      <c r="L336" s="97"/>
      <c r="M336" s="98">
        <v>480000</v>
      </c>
      <c r="N336" s="98"/>
      <c r="O336" s="111"/>
      <c r="P336" s="100" t="str">
        <f t="shared" si="45"/>
        <v>Penjualan Exam</v>
      </c>
      <c r="Q336" s="91"/>
      <c r="S336" s="112"/>
      <c r="T336" s="112"/>
      <c r="U336" s="113"/>
      <c r="V336" s="113"/>
      <c r="X336" s="102"/>
    </row>
    <row r="337" spans="1:24" s="101" customFormat="1" hidden="1" x14ac:dyDescent="0.25">
      <c r="A337" s="60" t="str">
        <f t="shared" si="43"/>
        <v>46410,03</v>
      </c>
      <c r="B337" s="60">
        <f>COUNTIF($J$7:J337,J337)</f>
        <v>46</v>
      </c>
      <c r="C337" s="60" t="str">
        <f t="shared" si="44"/>
        <v>0</v>
      </c>
      <c r="D337" s="60">
        <f>COUNTIF($K$7:K337,K337)</f>
        <v>0</v>
      </c>
      <c r="E337" s="91"/>
      <c r="F337" s="92">
        <v>44592</v>
      </c>
      <c r="G337" s="72"/>
      <c r="H337" s="93" t="s">
        <v>139</v>
      </c>
      <c r="I337" s="94" t="s">
        <v>44</v>
      </c>
      <c r="J337" s="95">
        <v>410.03</v>
      </c>
      <c r="K337" s="108"/>
      <c r="L337" s="97"/>
      <c r="M337" s="98">
        <v>8727272</v>
      </c>
      <c r="N337" s="98"/>
      <c r="O337" s="111"/>
      <c r="P337" s="100" t="str">
        <f t="shared" si="45"/>
        <v>Penjualan Exam</v>
      </c>
      <c r="Q337" s="91"/>
      <c r="S337" s="112"/>
      <c r="T337" s="112"/>
      <c r="U337" s="113"/>
      <c r="V337" s="113"/>
      <c r="X337" s="102"/>
    </row>
    <row r="338" spans="1:24" s="101" customFormat="1" hidden="1" x14ac:dyDescent="0.25">
      <c r="A338" s="60" t="str">
        <f t="shared" si="43"/>
        <v>47410,03</v>
      </c>
      <c r="B338" s="60">
        <f>COUNTIF($J$7:J338,J338)</f>
        <v>47</v>
      </c>
      <c r="C338" s="60" t="str">
        <f t="shared" si="44"/>
        <v>0</v>
      </c>
      <c r="D338" s="60">
        <f>COUNTIF($K$7:K338,K338)</f>
        <v>0</v>
      </c>
      <c r="E338" s="91"/>
      <c r="F338" s="92">
        <v>44592</v>
      </c>
      <c r="G338" s="72"/>
      <c r="H338" s="93" t="s">
        <v>140</v>
      </c>
      <c r="I338" s="94" t="s">
        <v>32</v>
      </c>
      <c r="J338" s="95">
        <v>410.03</v>
      </c>
      <c r="K338" s="108"/>
      <c r="L338" s="97"/>
      <c r="M338" s="98">
        <v>8400000</v>
      </c>
      <c r="N338" s="98"/>
      <c r="O338" s="111"/>
      <c r="P338" s="100" t="str">
        <f t="shared" si="45"/>
        <v>Penjualan Exam</v>
      </c>
      <c r="Q338" s="91"/>
      <c r="S338" s="112"/>
      <c r="T338" s="112"/>
      <c r="U338" s="113"/>
      <c r="V338" s="113"/>
      <c r="X338" s="102"/>
    </row>
    <row r="339" spans="1:24" s="101" customFormat="1" hidden="1" x14ac:dyDescent="0.25">
      <c r="A339" s="60" t="str">
        <f t="shared" si="43"/>
        <v>57410,01</v>
      </c>
      <c r="B339" s="60">
        <f>COUNTIF($J$7:J339,J339)</f>
        <v>57</v>
      </c>
      <c r="C339" s="60" t="str">
        <f t="shared" si="44"/>
        <v>0</v>
      </c>
      <c r="D339" s="60">
        <f>COUNTIF($K$7:K339,K339)</f>
        <v>0</v>
      </c>
      <c r="E339" s="91"/>
      <c r="F339" s="92">
        <v>44592</v>
      </c>
      <c r="G339" s="72"/>
      <c r="H339" s="93" t="s">
        <v>141</v>
      </c>
      <c r="I339" s="94" t="s">
        <v>41</v>
      </c>
      <c r="J339" s="95">
        <v>410.01</v>
      </c>
      <c r="K339" s="108"/>
      <c r="L339" s="97"/>
      <c r="M339" s="98">
        <v>4080000</v>
      </c>
      <c r="N339" s="98"/>
      <c r="O339" s="111"/>
      <c r="P339" s="100" t="str">
        <f t="shared" si="45"/>
        <v>Penjualan Intouch</v>
      </c>
      <c r="Q339" s="91"/>
      <c r="S339" s="112"/>
      <c r="T339" s="112"/>
      <c r="U339" s="113"/>
      <c r="V339" s="113"/>
      <c r="X339" s="102"/>
    </row>
    <row r="340" spans="1:24" s="101" customFormat="1" hidden="1" x14ac:dyDescent="0.25">
      <c r="A340" s="60" t="str">
        <f t="shared" si="43"/>
        <v>58410,01</v>
      </c>
      <c r="B340" s="60">
        <f>COUNTIF($J$7:J340,J340)</f>
        <v>58</v>
      </c>
      <c r="C340" s="60" t="str">
        <f t="shared" si="44"/>
        <v>0</v>
      </c>
      <c r="D340" s="60">
        <f>COUNTIF($K$7:K340,K340)</f>
        <v>0</v>
      </c>
      <c r="E340" s="91"/>
      <c r="F340" s="92">
        <v>44592</v>
      </c>
      <c r="G340" s="72"/>
      <c r="H340" s="93" t="s">
        <v>142</v>
      </c>
      <c r="I340" s="94" t="s">
        <v>41</v>
      </c>
      <c r="J340" s="95">
        <v>410.01</v>
      </c>
      <c r="K340" s="108"/>
      <c r="L340" s="97"/>
      <c r="M340" s="98">
        <v>42330000</v>
      </c>
      <c r="N340" s="98"/>
      <c r="O340" s="111"/>
      <c r="P340" s="100" t="str">
        <f t="shared" si="45"/>
        <v>Penjualan Intouch</v>
      </c>
      <c r="Q340" s="91"/>
      <c r="S340" s="112"/>
      <c r="T340" s="112"/>
      <c r="U340" s="113"/>
      <c r="V340" s="113"/>
      <c r="X340" s="102"/>
    </row>
    <row r="341" spans="1:24" s="101" customFormat="1" hidden="1" x14ac:dyDescent="0.25">
      <c r="A341" s="60" t="str">
        <f t="shared" si="43"/>
        <v>59410,01</v>
      </c>
      <c r="B341" s="60">
        <f>COUNTIF($J$7:J341,J341)</f>
        <v>59</v>
      </c>
      <c r="C341" s="60" t="str">
        <f t="shared" si="44"/>
        <v>0</v>
      </c>
      <c r="D341" s="60">
        <f>COUNTIF($K$7:K341,K341)</f>
        <v>0</v>
      </c>
      <c r="E341" s="91"/>
      <c r="F341" s="92">
        <v>44592</v>
      </c>
      <c r="G341" s="72"/>
      <c r="H341" s="93" t="s">
        <v>143</v>
      </c>
      <c r="I341" s="94" t="s">
        <v>37</v>
      </c>
      <c r="J341" s="95">
        <v>410.01</v>
      </c>
      <c r="K341" s="108"/>
      <c r="L341" s="97"/>
      <c r="M341" s="98">
        <v>1815000</v>
      </c>
      <c r="N341" s="98"/>
      <c r="O341" s="111"/>
      <c r="P341" s="100" t="str">
        <f t="shared" si="45"/>
        <v>Penjualan Intouch</v>
      </c>
      <c r="Q341" s="91"/>
      <c r="S341" s="112"/>
      <c r="T341" s="112"/>
      <c r="U341" s="113"/>
      <c r="V341" s="113"/>
      <c r="X341" s="102"/>
    </row>
    <row r="342" spans="1:24" s="101" customFormat="1" hidden="1" x14ac:dyDescent="0.25">
      <c r="A342" s="60" t="str">
        <f t="shared" si="43"/>
        <v>60410,01</v>
      </c>
      <c r="B342" s="60">
        <f>COUNTIF($J$7:J342,J342)</f>
        <v>60</v>
      </c>
      <c r="C342" s="60" t="str">
        <f t="shared" si="44"/>
        <v>0</v>
      </c>
      <c r="D342" s="60">
        <f>COUNTIF($K$7:K342,K342)</f>
        <v>0</v>
      </c>
      <c r="E342" s="91"/>
      <c r="F342" s="92">
        <v>44592</v>
      </c>
      <c r="G342" s="72"/>
      <c r="H342" s="93" t="s">
        <v>144</v>
      </c>
      <c r="I342" s="94" t="s">
        <v>37</v>
      </c>
      <c r="J342" s="95">
        <v>410.01</v>
      </c>
      <c r="K342" s="108"/>
      <c r="L342" s="97"/>
      <c r="M342" s="98">
        <v>21840000</v>
      </c>
      <c r="N342" s="98"/>
      <c r="O342" s="111"/>
      <c r="P342" s="100" t="str">
        <f t="shared" si="45"/>
        <v>Penjualan Intouch</v>
      </c>
      <c r="Q342" s="91"/>
      <c r="S342" s="112"/>
      <c r="T342" s="112"/>
      <c r="U342" s="113"/>
      <c r="V342" s="113"/>
      <c r="X342" s="102"/>
    </row>
    <row r="343" spans="1:24" s="101" customFormat="1" hidden="1" x14ac:dyDescent="0.25">
      <c r="A343" s="60" t="str">
        <f t="shared" si="43"/>
        <v>61410,01</v>
      </c>
      <c r="B343" s="60">
        <f>COUNTIF($J$7:J343,J343)</f>
        <v>61</v>
      </c>
      <c r="C343" s="60" t="str">
        <f t="shared" si="44"/>
        <v>0</v>
      </c>
      <c r="D343" s="60">
        <f>COUNTIF($K$7:K343,K343)</f>
        <v>0</v>
      </c>
      <c r="E343" s="91"/>
      <c r="F343" s="92">
        <v>44592</v>
      </c>
      <c r="G343" s="72"/>
      <c r="H343" s="93" t="s">
        <v>145</v>
      </c>
      <c r="I343" s="94" t="s">
        <v>48</v>
      </c>
      <c r="J343" s="95">
        <v>410.01</v>
      </c>
      <c r="K343" s="108"/>
      <c r="L343" s="97"/>
      <c r="M343" s="98">
        <v>1950000</v>
      </c>
      <c r="N343" s="98"/>
      <c r="O343" s="111"/>
      <c r="P343" s="100" t="str">
        <f t="shared" si="45"/>
        <v>Penjualan Intouch</v>
      </c>
      <c r="Q343" s="91"/>
      <c r="S343" s="112"/>
      <c r="T343" s="112"/>
      <c r="U343" s="113"/>
      <c r="V343" s="113"/>
      <c r="X343" s="102"/>
    </row>
    <row r="344" spans="1:24" s="101" customFormat="1" hidden="1" x14ac:dyDescent="0.25">
      <c r="A344" s="60" t="str">
        <f t="shared" si="43"/>
        <v>62410,01</v>
      </c>
      <c r="B344" s="60">
        <f>COUNTIF($J$7:J344,J344)</f>
        <v>62</v>
      </c>
      <c r="C344" s="60" t="str">
        <f t="shared" si="44"/>
        <v>0</v>
      </c>
      <c r="D344" s="60">
        <f>COUNTIF($K$7:K344,K344)</f>
        <v>0</v>
      </c>
      <c r="E344" s="91"/>
      <c r="F344" s="92">
        <v>44592</v>
      </c>
      <c r="G344" s="72"/>
      <c r="H344" s="93" t="s">
        <v>146</v>
      </c>
      <c r="I344" s="94" t="s">
        <v>48</v>
      </c>
      <c r="J344" s="95">
        <v>410.01</v>
      </c>
      <c r="K344" s="108"/>
      <c r="L344" s="97"/>
      <c r="M344" s="98">
        <v>3900000</v>
      </c>
      <c r="N344" s="98"/>
      <c r="O344" s="111"/>
      <c r="P344" s="100" t="str">
        <f t="shared" si="45"/>
        <v>Penjualan Intouch</v>
      </c>
      <c r="Q344" s="91"/>
      <c r="S344" s="112"/>
      <c r="T344" s="112"/>
      <c r="U344" s="113"/>
      <c r="V344" s="113"/>
      <c r="X344" s="102"/>
    </row>
    <row r="345" spans="1:24" s="101" customFormat="1" hidden="1" x14ac:dyDescent="0.25">
      <c r="A345" s="60" t="str">
        <f t="shared" si="43"/>
        <v>3410,02</v>
      </c>
      <c r="B345" s="60">
        <f>COUNTIF($J$7:J345,J345)</f>
        <v>3</v>
      </c>
      <c r="C345" s="60" t="str">
        <f t="shared" si="44"/>
        <v>0</v>
      </c>
      <c r="D345" s="60">
        <f>COUNTIF($K$7:K345,K345)</f>
        <v>0</v>
      </c>
      <c r="E345" s="91"/>
      <c r="F345" s="92">
        <v>44581</v>
      </c>
      <c r="G345" s="72"/>
      <c r="H345" s="93" t="s">
        <v>147</v>
      </c>
      <c r="I345" s="94" t="s">
        <v>99</v>
      </c>
      <c r="J345" s="115">
        <v>410.02</v>
      </c>
      <c r="K345" s="108"/>
      <c r="L345" s="97"/>
      <c r="M345" s="98">
        <v>3875000</v>
      </c>
      <c r="N345" s="98"/>
      <c r="O345" s="111"/>
      <c r="P345" s="100" t="str">
        <f t="shared" si="45"/>
        <v>Penjualan Condom</v>
      </c>
      <c r="Q345" s="91"/>
      <c r="S345" s="112"/>
      <c r="T345" s="112"/>
      <c r="U345" s="113"/>
      <c r="V345" s="113"/>
      <c r="X345" s="102"/>
    </row>
    <row r="346" spans="1:24" s="101" customFormat="1" hidden="1" x14ac:dyDescent="0.25">
      <c r="A346" s="60" t="str">
        <f t="shared" si="43"/>
        <v>4410,02</v>
      </c>
      <c r="B346" s="60">
        <f>COUNTIF($J$7:J346,J346)</f>
        <v>4</v>
      </c>
      <c r="C346" s="60" t="str">
        <f t="shared" si="44"/>
        <v>0</v>
      </c>
      <c r="D346" s="60">
        <f>COUNTIF($K$7:K346,K346)</f>
        <v>0</v>
      </c>
      <c r="E346" s="91"/>
      <c r="F346" s="92">
        <v>44587</v>
      </c>
      <c r="G346" s="72"/>
      <c r="H346" s="93" t="s">
        <v>148</v>
      </c>
      <c r="I346" s="94" t="s">
        <v>99</v>
      </c>
      <c r="J346" s="115">
        <v>410.02</v>
      </c>
      <c r="K346" s="108"/>
      <c r="L346" s="97"/>
      <c r="M346" s="98">
        <v>3875000</v>
      </c>
      <c r="N346" s="98"/>
      <c r="O346" s="111"/>
      <c r="P346" s="100" t="str">
        <f t="shared" si="45"/>
        <v>Penjualan Condom</v>
      </c>
      <c r="Q346" s="91"/>
      <c r="S346" s="112"/>
      <c r="T346" s="112"/>
      <c r="U346" s="113"/>
      <c r="V346" s="113"/>
      <c r="X346" s="102"/>
    </row>
    <row r="347" spans="1:24" s="101" customFormat="1" ht="30" hidden="1" x14ac:dyDescent="0.25">
      <c r="A347" s="60" t="str">
        <f t="shared" si="43"/>
        <v>1116,01</v>
      </c>
      <c r="B347" s="60">
        <f>COUNTIF($J$7:J347,J347)</f>
        <v>1</v>
      </c>
      <c r="C347" s="60" t="str">
        <f t="shared" si="44"/>
        <v>0</v>
      </c>
      <c r="D347" s="60">
        <f>COUNTIF($K$7:K347,K347)</f>
        <v>0</v>
      </c>
      <c r="E347" s="91"/>
      <c r="F347" s="92">
        <v>44564</v>
      </c>
      <c r="G347" s="116" t="s">
        <v>149</v>
      </c>
      <c r="H347" s="93" t="s">
        <v>150</v>
      </c>
      <c r="I347" s="94" t="s">
        <v>151</v>
      </c>
      <c r="J347" s="117">
        <v>116.01</v>
      </c>
      <c r="K347" s="108"/>
      <c r="L347" s="97">
        <f>14294*62248</f>
        <v>889772912</v>
      </c>
      <c r="M347" s="117"/>
      <c r="N347" s="77" t="s">
        <v>16</v>
      </c>
      <c r="O347" s="111"/>
      <c r="P347" s="100" t="str">
        <f t="shared" si="45"/>
        <v>Persediaan Intouch</v>
      </c>
      <c r="Q347" s="91"/>
      <c r="S347" s="112"/>
      <c r="T347" s="112"/>
      <c r="U347" s="113"/>
      <c r="V347" s="113"/>
      <c r="X347" s="102"/>
    </row>
    <row r="348" spans="1:24" s="101" customFormat="1" ht="30" hidden="1" x14ac:dyDescent="0.25">
      <c r="A348" s="60" t="str">
        <f t="shared" si="43"/>
        <v>1117,01</v>
      </c>
      <c r="B348" s="60">
        <f>COUNTIF($J$7:J348,J348)</f>
        <v>1</v>
      </c>
      <c r="C348" s="60" t="str">
        <f t="shared" si="44"/>
        <v>0</v>
      </c>
      <c r="D348" s="60">
        <f>COUNTIF($K$7:K348,K348)</f>
        <v>0</v>
      </c>
      <c r="E348" s="91"/>
      <c r="F348" s="92">
        <v>44564</v>
      </c>
      <c r="G348" s="116" t="s">
        <v>149</v>
      </c>
      <c r="H348" s="93" t="s">
        <v>150</v>
      </c>
      <c r="I348" s="94" t="s">
        <v>152</v>
      </c>
      <c r="J348" s="117">
        <v>117.01</v>
      </c>
      <c r="K348" s="108"/>
      <c r="L348" s="118">
        <v>88978000</v>
      </c>
      <c r="M348" s="117"/>
      <c r="N348" s="77" t="s">
        <v>16</v>
      </c>
      <c r="O348" s="111" t="s">
        <v>153</v>
      </c>
      <c r="P348" s="100" t="str">
        <f t="shared" si="45"/>
        <v>Pajak Dibayar Di Muka - PPN Masukan</v>
      </c>
      <c r="Q348" s="91"/>
      <c r="S348" s="112"/>
      <c r="T348" s="112"/>
      <c r="U348" s="113"/>
      <c r="V348" s="113"/>
      <c r="X348" s="102"/>
    </row>
    <row r="349" spans="1:24" s="101" customFormat="1" ht="30" hidden="1" x14ac:dyDescent="0.25">
      <c r="A349" s="60" t="str">
        <f t="shared" si="43"/>
        <v>1117,02</v>
      </c>
      <c r="B349" s="60">
        <f>COUNTIF($J$7:J349,J349)</f>
        <v>1</v>
      </c>
      <c r="C349" s="60" t="str">
        <f t="shared" si="44"/>
        <v>0</v>
      </c>
      <c r="D349" s="60">
        <f>COUNTIF($K$7:K349,K349)</f>
        <v>0</v>
      </c>
      <c r="E349" s="91"/>
      <c r="F349" s="92">
        <v>44564</v>
      </c>
      <c r="G349" s="116" t="s">
        <v>149</v>
      </c>
      <c r="H349" s="93" t="s">
        <v>150</v>
      </c>
      <c r="I349" s="94" t="s">
        <v>154</v>
      </c>
      <c r="J349" s="117">
        <v>117.02</v>
      </c>
      <c r="K349" s="108"/>
      <c r="L349" s="97">
        <v>66733000</v>
      </c>
      <c r="M349" s="117"/>
      <c r="N349" s="77" t="s">
        <v>16</v>
      </c>
      <c r="O349" s="111"/>
      <c r="P349" s="100" t="str">
        <f t="shared" si="45"/>
        <v>Pajak Dibayar Di Muka - PPh 22</v>
      </c>
      <c r="Q349" s="91"/>
      <c r="S349" s="112"/>
      <c r="T349" s="112"/>
      <c r="U349" s="113"/>
      <c r="V349" s="113"/>
      <c r="X349" s="102"/>
    </row>
    <row r="350" spans="1:24" s="101" customFormat="1" ht="30" hidden="1" x14ac:dyDescent="0.25">
      <c r="A350" s="60" t="str">
        <f t="shared" si="43"/>
        <v>114211,01</v>
      </c>
      <c r="B350" s="60">
        <f>COUNTIF($J$7:J350,J350)</f>
        <v>114</v>
      </c>
      <c r="C350" s="60" t="str">
        <f t="shared" si="44"/>
        <v>0</v>
      </c>
      <c r="D350" s="60">
        <f>COUNTIF($K$7:K350,K350)</f>
        <v>0</v>
      </c>
      <c r="E350" s="91"/>
      <c r="F350" s="92">
        <v>44564</v>
      </c>
      <c r="G350" s="116" t="s">
        <v>149</v>
      </c>
      <c r="H350" s="93" t="s">
        <v>150</v>
      </c>
      <c r="I350" s="94" t="s">
        <v>152</v>
      </c>
      <c r="J350" s="117">
        <v>211.01</v>
      </c>
      <c r="K350" s="108"/>
      <c r="L350" s="97"/>
      <c r="M350" s="117">
        <v>88978000</v>
      </c>
      <c r="N350" s="77" t="s">
        <v>16</v>
      </c>
      <c r="O350" s="111"/>
      <c r="P350" s="100" t="str">
        <f t="shared" si="45"/>
        <v>Hutang Pajak PPN</v>
      </c>
      <c r="Q350" s="91"/>
      <c r="S350" s="112"/>
      <c r="T350" s="112"/>
      <c r="U350" s="113"/>
      <c r="V350" s="113"/>
      <c r="X350" s="102"/>
    </row>
    <row r="351" spans="1:24" s="101" customFormat="1" ht="30" hidden="1" x14ac:dyDescent="0.25">
      <c r="A351" s="60" t="str">
        <f t="shared" si="43"/>
        <v>1211,03</v>
      </c>
      <c r="B351" s="60">
        <f>COUNTIF($J$7:J351,J351)</f>
        <v>1</v>
      </c>
      <c r="C351" s="60" t="str">
        <f t="shared" si="44"/>
        <v>0</v>
      </c>
      <c r="D351" s="60">
        <f>COUNTIF($K$7:K351,K351)</f>
        <v>0</v>
      </c>
      <c r="E351" s="91"/>
      <c r="F351" s="92">
        <v>44564</v>
      </c>
      <c r="G351" s="116" t="s">
        <v>149</v>
      </c>
      <c r="H351" s="93" t="s">
        <v>150</v>
      </c>
      <c r="I351" s="94" t="s">
        <v>154</v>
      </c>
      <c r="J351" s="117">
        <v>211.03</v>
      </c>
      <c r="K351" s="108"/>
      <c r="L351" s="97"/>
      <c r="M351" s="117">
        <v>66733000</v>
      </c>
      <c r="N351" s="77" t="s">
        <v>16</v>
      </c>
      <c r="O351" s="111"/>
      <c r="P351" s="100" t="str">
        <f t="shared" si="45"/>
        <v>Hutang PPh 22</v>
      </c>
      <c r="Q351" s="91"/>
      <c r="S351" s="112"/>
      <c r="T351" s="112"/>
      <c r="U351" s="113"/>
      <c r="V351" s="113"/>
      <c r="X351" s="102"/>
    </row>
    <row r="352" spans="1:24" s="101" customFormat="1" ht="30" hidden="1" x14ac:dyDescent="0.25">
      <c r="A352" s="60" t="str">
        <f t="shared" si="43"/>
        <v>1210,01</v>
      </c>
      <c r="B352" s="60">
        <f>COUNTIF($J$7:J352,J352)</f>
        <v>1</v>
      </c>
      <c r="C352" s="60" t="str">
        <f t="shared" si="44"/>
        <v>1210,01,47</v>
      </c>
      <c r="D352" s="60">
        <f>COUNTIF($K$7:K352,K352)</f>
        <v>1</v>
      </c>
      <c r="E352" s="91"/>
      <c r="F352" s="92">
        <v>44564</v>
      </c>
      <c r="G352" s="116" t="s">
        <v>149</v>
      </c>
      <c r="H352" s="93" t="s">
        <v>150</v>
      </c>
      <c r="I352" s="94" t="s">
        <v>151</v>
      </c>
      <c r="J352" s="119">
        <v>210.01</v>
      </c>
      <c r="K352" s="120" t="s">
        <v>155</v>
      </c>
      <c r="L352" s="97"/>
      <c r="M352" s="121">
        <f>L347</f>
        <v>889772912</v>
      </c>
      <c r="N352" s="122" t="s">
        <v>16</v>
      </c>
      <c r="O352" s="111"/>
      <c r="P352" s="100" t="str">
        <f t="shared" si="45"/>
        <v>Hutang Usaha</v>
      </c>
      <c r="Q352" s="91"/>
      <c r="S352" s="112"/>
      <c r="T352" s="112"/>
      <c r="U352" s="113"/>
      <c r="V352" s="113"/>
      <c r="X352" s="102"/>
    </row>
    <row r="353" spans="1:24" s="101" customFormat="1" ht="30" hidden="1" x14ac:dyDescent="0.25">
      <c r="A353" s="60" t="str">
        <f t="shared" si="43"/>
        <v>1116,02</v>
      </c>
      <c r="B353" s="60">
        <f>COUNTIF($J$7:J353,J353)</f>
        <v>1</v>
      </c>
      <c r="C353" s="60" t="str">
        <f t="shared" si="44"/>
        <v>0</v>
      </c>
      <c r="D353" s="60">
        <f>COUNTIF($K$7:K353,K353)</f>
        <v>0</v>
      </c>
      <c r="E353" s="91"/>
      <c r="F353" s="92">
        <v>44587</v>
      </c>
      <c r="G353" s="116" t="s">
        <v>149</v>
      </c>
      <c r="H353" s="93" t="s">
        <v>150</v>
      </c>
      <c r="I353" s="94" t="s">
        <v>156</v>
      </c>
      <c r="J353" s="117">
        <v>116.02</v>
      </c>
      <c r="K353" s="108"/>
      <c r="L353" s="97">
        <f>14344*4502.4</f>
        <v>64582425.599999994</v>
      </c>
      <c r="M353" s="117"/>
      <c r="N353" s="117"/>
      <c r="O353" s="111"/>
      <c r="P353" s="100" t="str">
        <f t="shared" si="45"/>
        <v>Persediaan Exam</v>
      </c>
      <c r="Q353" s="91"/>
      <c r="S353" s="112"/>
      <c r="T353" s="112"/>
      <c r="U353" s="113"/>
      <c r="V353" s="113"/>
      <c r="X353" s="102"/>
    </row>
    <row r="354" spans="1:24" s="101" customFormat="1" ht="30" hidden="1" x14ac:dyDescent="0.25">
      <c r="A354" s="60" t="str">
        <f t="shared" si="43"/>
        <v>2117,01</v>
      </c>
      <c r="B354" s="60">
        <f>COUNTIF($J$7:J354,J354)</f>
        <v>2</v>
      </c>
      <c r="C354" s="60" t="str">
        <f t="shared" si="44"/>
        <v>0</v>
      </c>
      <c r="D354" s="60">
        <f>COUNTIF($K$7:K354,K354)</f>
        <v>0</v>
      </c>
      <c r="E354" s="91"/>
      <c r="F354" s="92">
        <v>44587</v>
      </c>
      <c r="G354" s="116" t="s">
        <v>149</v>
      </c>
      <c r="H354" s="93" t="s">
        <v>150</v>
      </c>
      <c r="I354" s="94" t="s">
        <v>156</v>
      </c>
      <c r="J354" s="117">
        <v>117.01</v>
      </c>
      <c r="K354" s="108"/>
      <c r="L354" s="118">
        <v>7105000</v>
      </c>
      <c r="M354" s="117"/>
      <c r="N354" s="117"/>
      <c r="O354" s="111" t="s">
        <v>153</v>
      </c>
      <c r="P354" s="100" t="str">
        <f t="shared" si="45"/>
        <v>Pajak Dibayar Di Muka - PPN Masukan</v>
      </c>
      <c r="Q354" s="91"/>
      <c r="S354" s="112"/>
      <c r="T354" s="112"/>
      <c r="U354" s="113"/>
      <c r="V354" s="113"/>
      <c r="X354" s="102"/>
    </row>
    <row r="355" spans="1:24" s="101" customFormat="1" ht="30" hidden="1" x14ac:dyDescent="0.25">
      <c r="A355" s="60" t="str">
        <f t="shared" si="43"/>
        <v>2117,02</v>
      </c>
      <c r="B355" s="60">
        <f>COUNTIF($J$7:J355,J355)</f>
        <v>2</v>
      </c>
      <c r="C355" s="60" t="str">
        <f t="shared" si="44"/>
        <v>0</v>
      </c>
      <c r="D355" s="60">
        <f>COUNTIF($K$7:K355,K355)</f>
        <v>0</v>
      </c>
      <c r="E355" s="91"/>
      <c r="F355" s="92">
        <v>44587</v>
      </c>
      <c r="G355" s="116" t="s">
        <v>149</v>
      </c>
      <c r="H355" s="93" t="s">
        <v>150</v>
      </c>
      <c r="I355" s="94" t="s">
        <v>156</v>
      </c>
      <c r="J355" s="117">
        <v>117.02</v>
      </c>
      <c r="K355" s="108"/>
      <c r="L355" s="97">
        <v>5329000</v>
      </c>
      <c r="M355" s="117"/>
      <c r="N355" s="117"/>
      <c r="O355" s="111"/>
      <c r="P355" s="100" t="str">
        <f t="shared" si="45"/>
        <v>Pajak Dibayar Di Muka - PPh 22</v>
      </c>
      <c r="Q355" s="91"/>
      <c r="S355" s="112"/>
      <c r="T355" s="112"/>
      <c r="U355" s="113"/>
      <c r="V355" s="113"/>
      <c r="X355" s="102"/>
    </row>
    <row r="356" spans="1:24" s="101" customFormat="1" ht="30" hidden="1" x14ac:dyDescent="0.25">
      <c r="A356" s="60" t="str">
        <f t="shared" si="43"/>
        <v>1610,25</v>
      </c>
      <c r="B356" s="60">
        <f>COUNTIF($J$7:J356,J356)</f>
        <v>1</v>
      </c>
      <c r="C356" s="60" t="str">
        <f t="shared" si="44"/>
        <v>0</v>
      </c>
      <c r="D356" s="60">
        <f>COUNTIF($K$7:K356,K356)</f>
        <v>0</v>
      </c>
      <c r="E356" s="91"/>
      <c r="F356" s="92">
        <v>44587</v>
      </c>
      <c r="G356" s="116" t="s">
        <v>149</v>
      </c>
      <c r="H356" s="93" t="s">
        <v>150</v>
      </c>
      <c r="I356" s="94" t="s">
        <v>157</v>
      </c>
      <c r="J356" s="123">
        <v>610.25</v>
      </c>
      <c r="K356" s="108"/>
      <c r="L356" s="97">
        <v>6459000</v>
      </c>
      <c r="M356" s="117"/>
      <c r="N356" s="117"/>
      <c r="O356" s="111"/>
      <c r="P356" s="100" t="str">
        <f t="shared" si="45"/>
        <v>Biaya Pajak Lainnya</v>
      </c>
      <c r="Q356" s="91"/>
      <c r="S356" s="112"/>
      <c r="T356" s="112"/>
      <c r="U356" s="113"/>
      <c r="V356" s="113"/>
      <c r="X356" s="102"/>
    </row>
    <row r="357" spans="1:24" s="101" customFormat="1" ht="30" hidden="1" x14ac:dyDescent="0.25">
      <c r="A357" s="60" t="str">
        <f t="shared" si="43"/>
        <v>115211,01</v>
      </c>
      <c r="B357" s="60">
        <f>COUNTIF($J$7:J357,J357)</f>
        <v>115</v>
      </c>
      <c r="C357" s="60" t="str">
        <f t="shared" si="44"/>
        <v>0</v>
      </c>
      <c r="D357" s="60">
        <f>COUNTIF($K$7:K357,K357)</f>
        <v>0</v>
      </c>
      <c r="E357" s="91"/>
      <c r="F357" s="92">
        <v>44587</v>
      </c>
      <c r="G357" s="116" t="s">
        <v>149</v>
      </c>
      <c r="H357" s="93" t="s">
        <v>150</v>
      </c>
      <c r="I357" s="94" t="s">
        <v>156</v>
      </c>
      <c r="J357" s="117">
        <v>211.01</v>
      </c>
      <c r="K357" s="108"/>
      <c r="L357" s="97"/>
      <c r="M357" s="117">
        <v>7105000</v>
      </c>
      <c r="N357" s="117"/>
      <c r="O357" s="111"/>
      <c r="P357" s="100" t="str">
        <f t="shared" si="45"/>
        <v>Hutang Pajak PPN</v>
      </c>
      <c r="Q357" s="91"/>
      <c r="S357" s="112"/>
      <c r="T357" s="112"/>
      <c r="U357" s="113"/>
      <c r="V357" s="113"/>
      <c r="X357" s="102"/>
    </row>
    <row r="358" spans="1:24" s="101" customFormat="1" ht="30" hidden="1" x14ac:dyDescent="0.25">
      <c r="A358" s="60" t="str">
        <f t="shared" si="43"/>
        <v>2211,03</v>
      </c>
      <c r="B358" s="60">
        <f>COUNTIF($J$7:J358,J358)</f>
        <v>2</v>
      </c>
      <c r="C358" s="60" t="str">
        <f t="shared" si="44"/>
        <v>0</v>
      </c>
      <c r="D358" s="60">
        <f>COUNTIF($K$7:K358,K358)</f>
        <v>0</v>
      </c>
      <c r="E358" s="91"/>
      <c r="F358" s="92">
        <v>44587</v>
      </c>
      <c r="G358" s="116" t="s">
        <v>149</v>
      </c>
      <c r="H358" s="93" t="s">
        <v>150</v>
      </c>
      <c r="I358" s="94" t="s">
        <v>156</v>
      </c>
      <c r="J358" s="117">
        <v>211.03</v>
      </c>
      <c r="K358" s="108"/>
      <c r="L358" s="97"/>
      <c r="M358" s="117">
        <v>5329000</v>
      </c>
      <c r="N358" s="117"/>
      <c r="O358" s="111"/>
      <c r="P358" s="100" t="str">
        <f t="shared" si="45"/>
        <v>Hutang PPh 22</v>
      </c>
      <c r="Q358" s="91"/>
      <c r="S358" s="112"/>
      <c r="T358" s="112"/>
      <c r="U358" s="113"/>
      <c r="V358" s="113"/>
      <c r="X358" s="102"/>
    </row>
    <row r="359" spans="1:24" s="101" customFormat="1" ht="30" hidden="1" x14ac:dyDescent="0.25">
      <c r="A359" s="60" t="str">
        <f t="shared" si="43"/>
        <v>1211,2</v>
      </c>
      <c r="B359" s="60">
        <f>COUNTIF($J$7:J359,J359)</f>
        <v>1</v>
      </c>
      <c r="C359" s="60" t="str">
        <f t="shared" si="44"/>
        <v>0</v>
      </c>
      <c r="D359" s="60">
        <f>COUNTIF($K$7:K359,K359)</f>
        <v>0</v>
      </c>
      <c r="E359" s="91"/>
      <c r="F359" s="92">
        <v>44587</v>
      </c>
      <c r="G359" s="116" t="s">
        <v>149</v>
      </c>
      <c r="H359" s="93" t="s">
        <v>150</v>
      </c>
      <c r="I359" s="94" t="s">
        <v>157</v>
      </c>
      <c r="J359" s="117">
        <v>211.2</v>
      </c>
      <c r="K359" s="108"/>
      <c r="L359" s="97"/>
      <c r="M359" s="117">
        <v>6459000</v>
      </c>
      <c r="N359" s="117"/>
      <c r="O359" s="111"/>
      <c r="P359" s="100" t="str">
        <f t="shared" si="45"/>
        <v>Hutang Pajak Lainnya</v>
      </c>
      <c r="Q359" s="91"/>
      <c r="S359" s="112"/>
      <c r="T359" s="112"/>
      <c r="U359" s="113"/>
      <c r="V359" s="113"/>
      <c r="X359" s="102"/>
    </row>
    <row r="360" spans="1:24" s="101" customFormat="1" ht="28.5" hidden="1" x14ac:dyDescent="0.25">
      <c r="A360" s="60" t="str">
        <f t="shared" si="43"/>
        <v>2210,01</v>
      </c>
      <c r="B360" s="60">
        <f>COUNTIF($J$7:J360,J360)</f>
        <v>2</v>
      </c>
      <c r="C360" s="60" t="str">
        <f t="shared" si="44"/>
        <v>1210,01,48</v>
      </c>
      <c r="D360" s="60">
        <f>COUNTIF($K$7:K360,K360)</f>
        <v>1</v>
      </c>
      <c r="E360" s="91"/>
      <c r="F360" s="92">
        <v>44587</v>
      </c>
      <c r="G360" s="116" t="s">
        <v>149</v>
      </c>
      <c r="H360" s="93" t="s">
        <v>150</v>
      </c>
      <c r="I360" s="124" t="s">
        <v>156</v>
      </c>
      <c r="J360" s="119">
        <v>210.01</v>
      </c>
      <c r="K360" s="120" t="s">
        <v>158</v>
      </c>
      <c r="L360" s="97"/>
      <c r="M360" s="121">
        <f>L353</f>
        <v>64582425.599999994</v>
      </c>
      <c r="N360" s="121"/>
      <c r="O360" s="111"/>
      <c r="P360" s="100" t="str">
        <f t="shared" si="45"/>
        <v>Hutang Usaha</v>
      </c>
      <c r="Q360" s="91"/>
      <c r="S360" s="112"/>
      <c r="T360" s="112"/>
      <c r="U360" s="113"/>
      <c r="V360" s="113"/>
      <c r="X360" s="102"/>
    </row>
    <row r="361" spans="1:24" s="101" customFormat="1" hidden="1" x14ac:dyDescent="0.25">
      <c r="A361" s="60" t="str">
        <f t="shared" si="43"/>
        <v>1610,18</v>
      </c>
      <c r="B361" s="60">
        <f>COUNTIF($J$7:J361,J361)</f>
        <v>1</v>
      </c>
      <c r="C361" s="60" t="str">
        <f t="shared" si="44"/>
        <v>0</v>
      </c>
      <c r="D361" s="60">
        <f>COUNTIF($K$7:K361,K361)</f>
        <v>0</v>
      </c>
      <c r="E361" s="91"/>
      <c r="F361" s="92">
        <v>44564</v>
      </c>
      <c r="G361" s="116" t="s">
        <v>149</v>
      </c>
      <c r="H361" s="93" t="s">
        <v>150</v>
      </c>
      <c r="I361" s="125" t="s">
        <v>159</v>
      </c>
      <c r="J361" s="123">
        <v>610.17999999999995</v>
      </c>
      <c r="K361" s="108"/>
      <c r="L361" s="97">
        <v>1950000</v>
      </c>
      <c r="M361" s="117"/>
      <c r="N361" s="77" t="s">
        <v>16</v>
      </c>
      <c r="O361" s="111"/>
      <c r="P361" s="100" t="str">
        <f t="shared" si="45"/>
        <v>Biaya Profesional</v>
      </c>
      <c r="Q361" s="91"/>
      <c r="S361" s="112"/>
      <c r="T361" s="112"/>
      <c r="U361" s="113"/>
      <c r="V361" s="113"/>
      <c r="X361" s="102"/>
    </row>
    <row r="362" spans="1:24" s="101" customFormat="1" hidden="1" x14ac:dyDescent="0.25">
      <c r="A362" s="60" t="str">
        <f t="shared" si="43"/>
        <v>1220,03</v>
      </c>
      <c r="B362" s="60">
        <f>COUNTIF($J$7:J362,J362)</f>
        <v>1</v>
      </c>
      <c r="C362" s="60" t="str">
        <f t="shared" si="44"/>
        <v>0</v>
      </c>
      <c r="D362" s="60">
        <f>COUNTIF($K$7:K362,K362)</f>
        <v>0</v>
      </c>
      <c r="E362" s="91"/>
      <c r="F362" s="92">
        <v>44564</v>
      </c>
      <c r="G362" s="116" t="s">
        <v>149</v>
      </c>
      <c r="H362" s="93" t="s">
        <v>150</v>
      </c>
      <c r="I362" s="125" t="s">
        <v>159</v>
      </c>
      <c r="J362" s="119">
        <v>220.03</v>
      </c>
      <c r="K362" s="108"/>
      <c r="L362" s="97"/>
      <c r="M362" s="117">
        <v>1911000</v>
      </c>
      <c r="N362" s="77" t="s">
        <v>16</v>
      </c>
      <c r="O362" s="111"/>
      <c r="P362" s="100" t="str">
        <f t="shared" si="45"/>
        <v>Hutang BIaya</v>
      </c>
      <c r="Q362" s="91"/>
      <c r="S362" s="112"/>
      <c r="T362" s="112"/>
      <c r="U362" s="113"/>
      <c r="V362" s="113"/>
      <c r="X362" s="102"/>
    </row>
    <row r="363" spans="1:24" s="101" customFormat="1" hidden="1" x14ac:dyDescent="0.25">
      <c r="A363" s="60" t="str">
        <f t="shared" si="43"/>
        <v>1211,04</v>
      </c>
      <c r="B363" s="60">
        <f>COUNTIF($J$7:J363,J363)</f>
        <v>1</v>
      </c>
      <c r="C363" s="60" t="str">
        <f t="shared" si="44"/>
        <v>0</v>
      </c>
      <c r="D363" s="60">
        <f>COUNTIF($K$7:K363,K363)</f>
        <v>0</v>
      </c>
      <c r="E363" s="91"/>
      <c r="F363" s="92">
        <v>44564</v>
      </c>
      <c r="G363" s="116" t="s">
        <v>149</v>
      </c>
      <c r="H363" s="93" t="s">
        <v>150</v>
      </c>
      <c r="I363" s="125" t="s">
        <v>160</v>
      </c>
      <c r="J363" s="117">
        <v>211.04</v>
      </c>
      <c r="K363" s="108"/>
      <c r="L363" s="97"/>
      <c r="M363" s="117">
        <v>39000</v>
      </c>
      <c r="N363" s="77" t="s">
        <v>16</v>
      </c>
      <c r="O363" s="111"/>
      <c r="P363" s="100" t="str">
        <f t="shared" si="45"/>
        <v>Hutang PPh 23</v>
      </c>
      <c r="Q363" s="91"/>
      <c r="S363" s="112"/>
      <c r="T363" s="112"/>
      <c r="U363" s="113"/>
      <c r="V363" s="113"/>
      <c r="X363" s="102"/>
    </row>
    <row r="364" spans="1:24" s="101" customFormat="1" ht="30" hidden="1" x14ac:dyDescent="0.25">
      <c r="A364" s="60" t="str">
        <f t="shared" si="43"/>
        <v>1610,1</v>
      </c>
      <c r="B364" s="60">
        <f>COUNTIF($J$7:J364,J364)</f>
        <v>1</v>
      </c>
      <c r="C364" s="60" t="str">
        <f t="shared" si="44"/>
        <v>0</v>
      </c>
      <c r="D364" s="60">
        <f>COUNTIF($K$7:K364,K364)</f>
        <v>0</v>
      </c>
      <c r="E364" s="91"/>
      <c r="F364" s="92">
        <v>44568</v>
      </c>
      <c r="G364" s="116" t="s">
        <v>149</v>
      </c>
      <c r="H364" s="93" t="s">
        <v>150</v>
      </c>
      <c r="I364" s="126" t="s">
        <v>161</v>
      </c>
      <c r="J364" s="91">
        <v>610.1</v>
      </c>
      <c r="K364" s="108"/>
      <c r="L364" s="97">
        <f>5825100+87450</f>
        <v>5912550</v>
      </c>
      <c r="M364" s="117"/>
      <c r="N364" s="117"/>
      <c r="O364" s="111"/>
      <c r="P364" s="100" t="str">
        <f t="shared" si="45"/>
        <v>Biaya Rumah Tangga Kantor</v>
      </c>
      <c r="Q364" s="91"/>
      <c r="S364" s="112"/>
      <c r="T364" s="112"/>
      <c r="U364" s="113"/>
      <c r="V364" s="113"/>
      <c r="X364" s="102"/>
    </row>
    <row r="365" spans="1:24" s="101" customFormat="1" ht="30" hidden="1" x14ac:dyDescent="0.25">
      <c r="A365" s="60" t="str">
        <f t="shared" si="43"/>
        <v>1211,02</v>
      </c>
      <c r="B365" s="60">
        <f>COUNTIF($J$7:J365,J365)</f>
        <v>1</v>
      </c>
      <c r="C365" s="60" t="str">
        <f t="shared" si="44"/>
        <v>0</v>
      </c>
      <c r="D365" s="60">
        <f>COUNTIF($K$7:K365,K365)</f>
        <v>0</v>
      </c>
      <c r="E365" s="91"/>
      <c r="F365" s="92">
        <v>44568</v>
      </c>
      <c r="G365" s="116" t="s">
        <v>149</v>
      </c>
      <c r="H365" s="93" t="s">
        <v>150</v>
      </c>
      <c r="I365" s="126" t="s">
        <v>162</v>
      </c>
      <c r="J365" s="117">
        <v>211.02</v>
      </c>
      <c r="K365" s="108"/>
      <c r="L365" s="97"/>
      <c r="M365" s="117">
        <v>87450</v>
      </c>
      <c r="N365" s="117"/>
      <c r="O365" s="127" t="s">
        <v>163</v>
      </c>
      <c r="P365" s="100" t="str">
        <f t="shared" si="45"/>
        <v>Hutang PPh 21</v>
      </c>
      <c r="Q365" s="91"/>
      <c r="S365" s="112"/>
      <c r="T365" s="112"/>
      <c r="U365" s="113"/>
      <c r="V365" s="113"/>
      <c r="X365" s="102"/>
    </row>
    <row r="366" spans="1:24" s="101" customFormat="1" ht="30" hidden="1" x14ac:dyDescent="0.25">
      <c r="A366" s="60" t="str">
        <f t="shared" si="43"/>
        <v>2220,03</v>
      </c>
      <c r="B366" s="60">
        <f>COUNTIF($J$7:J366,J366)</f>
        <v>2</v>
      </c>
      <c r="C366" s="60" t="str">
        <f t="shared" si="44"/>
        <v>0</v>
      </c>
      <c r="D366" s="60">
        <f>COUNTIF($K$7:K366,K366)</f>
        <v>0</v>
      </c>
      <c r="E366" s="91"/>
      <c r="F366" s="92">
        <v>44568</v>
      </c>
      <c r="G366" s="116" t="s">
        <v>149</v>
      </c>
      <c r="H366" s="93" t="s">
        <v>150</v>
      </c>
      <c r="I366" s="126" t="s">
        <v>164</v>
      </c>
      <c r="J366" s="119">
        <v>220.03</v>
      </c>
      <c r="K366" s="108"/>
      <c r="L366" s="97"/>
      <c r="M366" s="117">
        <v>5825100</v>
      </c>
      <c r="N366" s="117"/>
      <c r="O366" s="111"/>
      <c r="P366" s="100" t="str">
        <f t="shared" si="45"/>
        <v>Hutang BIaya</v>
      </c>
      <c r="Q366" s="91"/>
      <c r="S366" s="112"/>
      <c r="T366" s="112"/>
      <c r="U366" s="113"/>
      <c r="V366" s="113"/>
      <c r="X366" s="102"/>
    </row>
    <row r="367" spans="1:24" s="101" customFormat="1" ht="30" hidden="1" x14ac:dyDescent="0.25">
      <c r="A367" s="60" t="str">
        <f t="shared" si="43"/>
        <v>1610,31</v>
      </c>
      <c r="B367" s="60">
        <f>COUNTIF($J$7:J367,J367)</f>
        <v>1</v>
      </c>
      <c r="C367" s="60" t="str">
        <f t="shared" si="44"/>
        <v>0</v>
      </c>
      <c r="D367" s="60">
        <f>COUNTIF($K$7:K367,K367)</f>
        <v>0</v>
      </c>
      <c r="E367" s="91"/>
      <c r="F367" s="92">
        <v>44562</v>
      </c>
      <c r="G367" s="116" t="s">
        <v>149</v>
      </c>
      <c r="H367" s="93" t="s">
        <v>150</v>
      </c>
      <c r="I367" s="126" t="s">
        <v>165</v>
      </c>
      <c r="J367" s="128">
        <v>610.30999999999995</v>
      </c>
      <c r="K367" s="108"/>
      <c r="L367" s="129">
        <v>650000</v>
      </c>
      <c r="M367" s="117"/>
      <c r="N367" s="117"/>
      <c r="O367" s="111"/>
      <c r="P367" s="100" t="str">
        <f t="shared" si="45"/>
        <v>Biaya Instalasi &amp; System</v>
      </c>
      <c r="Q367" s="91"/>
      <c r="S367" s="112"/>
      <c r="T367" s="112"/>
      <c r="U367" s="113"/>
      <c r="V367" s="113"/>
      <c r="X367" s="102"/>
    </row>
    <row r="368" spans="1:24" s="101" customFormat="1" ht="30" hidden="1" x14ac:dyDescent="0.25">
      <c r="A368" s="60" t="str">
        <f t="shared" si="43"/>
        <v>2211,02</v>
      </c>
      <c r="B368" s="60">
        <f>COUNTIF($J$7:J368,J368)</f>
        <v>2</v>
      </c>
      <c r="C368" s="60" t="str">
        <f t="shared" si="44"/>
        <v>0</v>
      </c>
      <c r="D368" s="60">
        <f>COUNTIF($K$7:K368,K368)</f>
        <v>0</v>
      </c>
      <c r="E368" s="91"/>
      <c r="F368" s="92">
        <v>44562</v>
      </c>
      <c r="G368" s="116" t="s">
        <v>149</v>
      </c>
      <c r="H368" s="93" t="s">
        <v>150</v>
      </c>
      <c r="I368" s="126" t="s">
        <v>166</v>
      </c>
      <c r="J368" s="117">
        <v>211.02</v>
      </c>
      <c r="K368" s="108"/>
      <c r="L368" s="97"/>
      <c r="M368" s="117">
        <f>L367-M369</f>
        <v>16250</v>
      </c>
      <c r="N368" s="117"/>
      <c r="O368" s="127" t="s">
        <v>163</v>
      </c>
      <c r="P368" s="100" t="str">
        <f t="shared" si="45"/>
        <v>Hutang PPh 21</v>
      </c>
      <c r="Q368" s="91"/>
      <c r="S368" s="112"/>
      <c r="T368" s="112"/>
      <c r="U368" s="113"/>
      <c r="V368" s="113"/>
      <c r="X368" s="102"/>
    </row>
    <row r="369" spans="1:24" s="101" customFormat="1" ht="30" hidden="1" x14ac:dyDescent="0.25">
      <c r="A369" s="60" t="str">
        <f t="shared" si="43"/>
        <v>3220,03</v>
      </c>
      <c r="B369" s="60">
        <f>COUNTIF($J$7:J369,J369)</f>
        <v>3</v>
      </c>
      <c r="C369" s="60" t="str">
        <f t="shared" si="44"/>
        <v>0</v>
      </c>
      <c r="D369" s="60">
        <f>COUNTIF($K$7:K369,K369)</f>
        <v>0</v>
      </c>
      <c r="E369" s="91"/>
      <c r="F369" s="92">
        <v>44562</v>
      </c>
      <c r="G369" s="116" t="s">
        <v>149</v>
      </c>
      <c r="H369" s="93" t="s">
        <v>150</v>
      </c>
      <c r="I369" s="126" t="s">
        <v>165</v>
      </c>
      <c r="J369" s="119">
        <v>220.03</v>
      </c>
      <c r="K369" s="108"/>
      <c r="L369" s="97"/>
      <c r="M369" s="117">
        <v>633750</v>
      </c>
      <c r="N369" s="117"/>
      <c r="O369" s="111"/>
      <c r="P369" s="100" t="str">
        <f t="shared" si="45"/>
        <v>Hutang BIaya</v>
      </c>
      <c r="Q369" s="91"/>
      <c r="S369" s="112"/>
      <c r="T369" s="112"/>
      <c r="U369" s="113"/>
      <c r="V369" s="113"/>
      <c r="X369" s="102"/>
    </row>
    <row r="370" spans="1:24" s="101" customFormat="1" hidden="1" x14ac:dyDescent="0.25">
      <c r="A370" s="60" t="str">
        <f t="shared" si="43"/>
        <v>1512,02</v>
      </c>
      <c r="B370" s="60">
        <f>COUNTIF($J$7:J370,J370)</f>
        <v>1</v>
      </c>
      <c r="C370" s="60" t="str">
        <f t="shared" si="44"/>
        <v>0</v>
      </c>
      <c r="D370" s="60">
        <f>COUNTIF($K$7:K370,K370)</f>
        <v>0</v>
      </c>
      <c r="E370" s="91"/>
      <c r="F370" s="92">
        <v>44572</v>
      </c>
      <c r="G370" s="116" t="s">
        <v>149</v>
      </c>
      <c r="H370" s="93" t="s">
        <v>150</v>
      </c>
      <c r="I370" s="126" t="s">
        <v>167</v>
      </c>
      <c r="J370" s="128">
        <v>512.02</v>
      </c>
      <c r="K370" s="108"/>
      <c r="L370" s="97">
        <v>8483897.4545454532</v>
      </c>
      <c r="M370" s="117"/>
      <c r="N370" s="117"/>
      <c r="O370" s="111"/>
      <c r="P370" s="100" t="str">
        <f t="shared" si="45"/>
        <v>Beban Komisi</v>
      </c>
      <c r="Q370" s="91"/>
      <c r="S370" s="112"/>
      <c r="T370" s="112"/>
      <c r="U370" s="113"/>
      <c r="V370" s="113"/>
      <c r="X370" s="102"/>
    </row>
    <row r="371" spans="1:24" s="101" customFormat="1" ht="30" hidden="1" x14ac:dyDescent="0.25">
      <c r="A371" s="60" t="str">
        <f t="shared" si="43"/>
        <v>3211,02</v>
      </c>
      <c r="B371" s="60">
        <f>COUNTIF($J$7:J371,J371)</f>
        <v>3</v>
      </c>
      <c r="C371" s="60" t="str">
        <f t="shared" si="44"/>
        <v>0</v>
      </c>
      <c r="D371" s="60">
        <f>COUNTIF($K$7:K371,K371)</f>
        <v>0</v>
      </c>
      <c r="E371" s="91"/>
      <c r="F371" s="92">
        <v>44572</v>
      </c>
      <c r="G371" s="116" t="s">
        <v>149</v>
      </c>
      <c r="H371" s="93" t="s">
        <v>150</v>
      </c>
      <c r="I371" s="126" t="s">
        <v>168</v>
      </c>
      <c r="J371" s="117">
        <v>211.02</v>
      </c>
      <c r="K371" s="108"/>
      <c r="L371" s="97"/>
      <c r="M371" s="117">
        <v>212097</v>
      </c>
      <c r="N371" s="117"/>
      <c r="O371" s="127" t="s">
        <v>163</v>
      </c>
      <c r="P371" s="100" t="str">
        <f t="shared" si="45"/>
        <v>Hutang PPh 21</v>
      </c>
      <c r="Q371" s="91"/>
      <c r="S371" s="112"/>
      <c r="T371" s="112"/>
      <c r="U371" s="113"/>
      <c r="V371" s="113"/>
      <c r="X371" s="102"/>
    </row>
    <row r="372" spans="1:24" s="101" customFormat="1" hidden="1" x14ac:dyDescent="0.25">
      <c r="A372" s="60" t="str">
        <f t="shared" si="43"/>
        <v>4220,03</v>
      </c>
      <c r="B372" s="60">
        <f>COUNTIF($J$7:J372,J372)</f>
        <v>4</v>
      </c>
      <c r="C372" s="60" t="str">
        <f t="shared" si="44"/>
        <v>0</v>
      </c>
      <c r="D372" s="60">
        <f>COUNTIF($K$7:K372,K372)</f>
        <v>0</v>
      </c>
      <c r="E372" s="91"/>
      <c r="F372" s="92">
        <v>44572</v>
      </c>
      <c r="G372" s="116" t="s">
        <v>149</v>
      </c>
      <c r="H372" s="93" t="s">
        <v>150</v>
      </c>
      <c r="I372" s="126" t="s">
        <v>169</v>
      </c>
      <c r="J372" s="119">
        <v>220.03</v>
      </c>
      <c r="K372" s="108"/>
      <c r="L372" s="97"/>
      <c r="M372" s="117">
        <f>L370-M371</f>
        <v>8271800.4545454532</v>
      </c>
      <c r="N372" s="117"/>
      <c r="O372" s="111"/>
      <c r="P372" s="100" t="str">
        <f t="shared" si="45"/>
        <v>Hutang BIaya</v>
      </c>
      <c r="Q372" s="91"/>
      <c r="S372" s="112"/>
      <c r="T372" s="112"/>
      <c r="U372" s="113"/>
      <c r="V372" s="113"/>
      <c r="X372" s="102"/>
    </row>
    <row r="373" spans="1:24" s="101" customFormat="1" hidden="1" x14ac:dyDescent="0.25">
      <c r="A373" s="60" t="str">
        <f t="shared" si="43"/>
        <v>2512,02</v>
      </c>
      <c r="B373" s="60">
        <f>COUNTIF($J$7:J373,J373)</f>
        <v>2</v>
      </c>
      <c r="C373" s="60" t="str">
        <f t="shared" si="44"/>
        <v>0</v>
      </c>
      <c r="D373" s="60">
        <f>COUNTIF($K$7:K373,K373)</f>
        <v>0</v>
      </c>
      <c r="E373" s="91"/>
      <c r="F373" s="92">
        <v>44572</v>
      </c>
      <c r="G373" s="116" t="s">
        <v>149</v>
      </c>
      <c r="H373" s="93" t="s">
        <v>150</v>
      </c>
      <c r="I373" s="126" t="s">
        <v>170</v>
      </c>
      <c r="J373" s="128">
        <v>512.02</v>
      </c>
      <c r="K373" s="108"/>
      <c r="L373" s="97">
        <v>27578389.09090909</v>
      </c>
      <c r="M373" s="117"/>
      <c r="N373" s="117"/>
      <c r="O373" s="111"/>
      <c r="P373" s="100" t="str">
        <f t="shared" si="45"/>
        <v>Beban Komisi</v>
      </c>
      <c r="Q373" s="91"/>
      <c r="S373" s="112"/>
      <c r="T373" s="112"/>
      <c r="U373" s="113"/>
      <c r="V373" s="113"/>
      <c r="X373" s="102"/>
    </row>
    <row r="374" spans="1:24" s="101" customFormat="1" hidden="1" x14ac:dyDescent="0.25">
      <c r="A374" s="60" t="str">
        <f t="shared" si="43"/>
        <v>4211,02</v>
      </c>
      <c r="B374" s="60">
        <f>COUNTIF($J$7:J374,J374)</f>
        <v>4</v>
      </c>
      <c r="C374" s="60" t="str">
        <f t="shared" si="44"/>
        <v>0</v>
      </c>
      <c r="D374" s="60">
        <f>COUNTIF($K$7:K374,K374)</f>
        <v>0</v>
      </c>
      <c r="E374" s="91"/>
      <c r="F374" s="92">
        <v>44572</v>
      </c>
      <c r="G374" s="116" t="s">
        <v>149</v>
      </c>
      <c r="H374" s="93" t="s">
        <v>150</v>
      </c>
      <c r="I374" s="126" t="s">
        <v>170</v>
      </c>
      <c r="J374" s="117">
        <v>211.02</v>
      </c>
      <c r="K374" s="108"/>
      <c r="L374" s="130"/>
      <c r="M374" s="117">
        <v>689459.72727272729</v>
      </c>
      <c r="N374" s="117"/>
      <c r="O374" s="127" t="s">
        <v>163</v>
      </c>
      <c r="P374" s="100" t="str">
        <f t="shared" si="45"/>
        <v>Hutang PPh 21</v>
      </c>
      <c r="Q374" s="91"/>
      <c r="S374" s="112"/>
      <c r="T374" s="112"/>
      <c r="U374" s="113"/>
      <c r="V374" s="113"/>
      <c r="X374" s="102"/>
    </row>
    <row r="375" spans="1:24" s="101" customFormat="1" hidden="1" x14ac:dyDescent="0.25">
      <c r="A375" s="60" t="str">
        <f t="shared" si="43"/>
        <v>5220,03</v>
      </c>
      <c r="B375" s="60">
        <f>COUNTIF($J$7:J375,J375)</f>
        <v>5</v>
      </c>
      <c r="C375" s="60" t="str">
        <f t="shared" si="44"/>
        <v>0</v>
      </c>
      <c r="D375" s="60">
        <f>COUNTIF($K$7:K375,K375)</f>
        <v>0</v>
      </c>
      <c r="E375" s="91"/>
      <c r="F375" s="92">
        <v>44572</v>
      </c>
      <c r="G375" s="116" t="s">
        <v>149</v>
      </c>
      <c r="H375" s="93" t="s">
        <v>150</v>
      </c>
      <c r="I375" s="126" t="s">
        <v>170</v>
      </c>
      <c r="J375" s="119">
        <v>220.03</v>
      </c>
      <c r="K375" s="108"/>
      <c r="L375" s="130"/>
      <c r="M375" s="117">
        <v>26888929.363636363</v>
      </c>
      <c r="N375" s="117"/>
      <c r="O375" s="111"/>
      <c r="P375" s="100" t="str">
        <f t="shared" si="45"/>
        <v>Hutang BIaya</v>
      </c>
      <c r="Q375" s="91"/>
      <c r="S375" s="112"/>
      <c r="T375" s="112"/>
      <c r="U375" s="113"/>
      <c r="V375" s="113"/>
      <c r="X375" s="102"/>
    </row>
    <row r="376" spans="1:24" s="101" customFormat="1" hidden="1" x14ac:dyDescent="0.25">
      <c r="A376" s="60" t="str">
        <f t="shared" si="43"/>
        <v>3512,02</v>
      </c>
      <c r="B376" s="60">
        <f>COUNTIF($J$7:J376,J376)</f>
        <v>3</v>
      </c>
      <c r="C376" s="60" t="str">
        <f t="shared" si="44"/>
        <v>0</v>
      </c>
      <c r="D376" s="60">
        <f>COUNTIF($K$7:K376,K376)</f>
        <v>0</v>
      </c>
      <c r="E376" s="91"/>
      <c r="F376" s="92">
        <v>44572</v>
      </c>
      <c r="G376" s="116" t="s">
        <v>149</v>
      </c>
      <c r="H376" s="93" t="s">
        <v>150</v>
      </c>
      <c r="I376" s="126" t="s">
        <v>171</v>
      </c>
      <c r="J376" s="128">
        <v>512.02</v>
      </c>
      <c r="K376" s="108"/>
      <c r="L376" s="97">
        <v>27578389.09090909</v>
      </c>
      <c r="M376" s="117"/>
      <c r="N376" s="117"/>
      <c r="O376" s="111"/>
      <c r="P376" s="100" t="str">
        <f t="shared" si="45"/>
        <v>Beban Komisi</v>
      </c>
      <c r="Q376" s="91"/>
      <c r="S376" s="112"/>
      <c r="T376" s="112"/>
      <c r="U376" s="113"/>
      <c r="V376" s="113"/>
      <c r="X376" s="102"/>
    </row>
    <row r="377" spans="1:24" s="101" customFormat="1" hidden="1" x14ac:dyDescent="0.25">
      <c r="A377" s="60" t="str">
        <f t="shared" si="43"/>
        <v>5211,02</v>
      </c>
      <c r="B377" s="60">
        <f>COUNTIF($J$7:J377,J377)</f>
        <v>5</v>
      </c>
      <c r="C377" s="60" t="str">
        <f t="shared" si="44"/>
        <v>0</v>
      </c>
      <c r="D377" s="60">
        <f>COUNTIF($K$7:K377,K377)</f>
        <v>0</v>
      </c>
      <c r="E377" s="91"/>
      <c r="F377" s="92">
        <v>44572</v>
      </c>
      <c r="G377" s="116" t="s">
        <v>149</v>
      </c>
      <c r="H377" s="93" t="s">
        <v>150</v>
      </c>
      <c r="I377" s="126" t="s">
        <v>171</v>
      </c>
      <c r="J377" s="117">
        <v>211.02</v>
      </c>
      <c r="K377" s="108"/>
      <c r="L377" s="130"/>
      <c r="M377" s="117">
        <v>689459.72727272729</v>
      </c>
      <c r="N377" s="117"/>
      <c r="O377" s="127" t="s">
        <v>163</v>
      </c>
      <c r="P377" s="100" t="str">
        <f t="shared" si="45"/>
        <v>Hutang PPh 21</v>
      </c>
      <c r="Q377" s="91"/>
      <c r="S377" s="112"/>
      <c r="T377" s="112"/>
      <c r="U377" s="113"/>
      <c r="V377" s="113"/>
      <c r="X377" s="102"/>
    </row>
    <row r="378" spans="1:24" s="101" customFormat="1" ht="13.15" hidden="1" customHeight="1" x14ac:dyDescent="0.25">
      <c r="A378" s="60" t="str">
        <f t="shared" si="43"/>
        <v>6220,03</v>
      </c>
      <c r="B378" s="60">
        <f>COUNTIF($J$7:J378,J378)</f>
        <v>6</v>
      </c>
      <c r="C378" s="60" t="str">
        <f t="shared" si="44"/>
        <v>0</v>
      </c>
      <c r="D378" s="60">
        <f>COUNTIF($K$7:K378,K378)</f>
        <v>0</v>
      </c>
      <c r="E378" s="91"/>
      <c r="F378" s="92">
        <v>44572</v>
      </c>
      <c r="G378" s="116" t="s">
        <v>149</v>
      </c>
      <c r="H378" s="93" t="s">
        <v>150</v>
      </c>
      <c r="I378" s="126" t="s">
        <v>171</v>
      </c>
      <c r="J378" s="119">
        <v>220.03</v>
      </c>
      <c r="K378" s="108"/>
      <c r="L378" s="130"/>
      <c r="M378" s="117">
        <v>26888929.363636363</v>
      </c>
      <c r="N378" s="117"/>
      <c r="O378" s="111"/>
      <c r="P378" s="100" t="str">
        <f t="shared" si="45"/>
        <v>Hutang BIaya</v>
      </c>
      <c r="Q378" s="91"/>
      <c r="S378" s="112"/>
      <c r="T378" s="112"/>
      <c r="U378" s="113"/>
      <c r="V378" s="113"/>
      <c r="X378" s="102"/>
    </row>
    <row r="379" spans="1:24" s="101" customFormat="1" hidden="1" x14ac:dyDescent="0.25">
      <c r="A379" s="60" t="str">
        <f t="shared" si="43"/>
        <v>4512,02</v>
      </c>
      <c r="B379" s="60">
        <f>COUNTIF($J$7:J379,J379)</f>
        <v>4</v>
      </c>
      <c r="C379" s="60" t="str">
        <f t="shared" si="44"/>
        <v>0</v>
      </c>
      <c r="D379" s="60">
        <f>COUNTIF($K$7:K379,K379)</f>
        <v>0</v>
      </c>
      <c r="E379" s="91"/>
      <c r="F379" s="92">
        <v>44572</v>
      </c>
      <c r="G379" s="116" t="s">
        <v>149</v>
      </c>
      <c r="H379" s="93" t="s">
        <v>150</v>
      </c>
      <c r="I379" s="126" t="s">
        <v>172</v>
      </c>
      <c r="J379" s="128">
        <v>512.02</v>
      </c>
      <c r="K379" s="108"/>
      <c r="L379" s="131">
        <v>3500000</v>
      </c>
      <c r="M379" s="117"/>
      <c r="N379" s="117"/>
      <c r="O379" s="111"/>
      <c r="P379" s="100" t="str">
        <f t="shared" si="45"/>
        <v>Beban Komisi</v>
      </c>
      <c r="Q379" s="91"/>
      <c r="S379" s="112"/>
      <c r="T379" s="112"/>
      <c r="U379" s="113"/>
      <c r="V379" s="113"/>
      <c r="X379" s="102"/>
    </row>
    <row r="380" spans="1:24" s="101" customFormat="1" hidden="1" x14ac:dyDescent="0.25">
      <c r="A380" s="60" t="str">
        <f t="shared" si="43"/>
        <v>6211,02</v>
      </c>
      <c r="B380" s="60">
        <f>COUNTIF($J$7:J380,J380)</f>
        <v>6</v>
      </c>
      <c r="C380" s="60" t="str">
        <f t="shared" si="44"/>
        <v>0</v>
      </c>
      <c r="D380" s="60">
        <f>COUNTIF($K$7:K380,K380)</f>
        <v>0</v>
      </c>
      <c r="E380" s="91"/>
      <c r="F380" s="92">
        <v>44572</v>
      </c>
      <c r="G380" s="116" t="s">
        <v>149</v>
      </c>
      <c r="H380" s="93" t="s">
        <v>150</v>
      </c>
      <c r="I380" s="126" t="s">
        <v>172</v>
      </c>
      <c r="J380" s="117">
        <v>211.02</v>
      </c>
      <c r="K380" s="108"/>
      <c r="L380" s="91"/>
      <c r="M380" s="132">
        <f>+L379*2.5%</f>
        <v>87500</v>
      </c>
      <c r="N380" s="132"/>
      <c r="O380" s="127" t="s">
        <v>163</v>
      </c>
      <c r="P380" s="100" t="str">
        <f t="shared" si="45"/>
        <v>Hutang PPh 21</v>
      </c>
      <c r="Q380" s="91"/>
      <c r="S380" s="112"/>
      <c r="T380" s="112"/>
      <c r="U380" s="113"/>
      <c r="V380" s="113"/>
      <c r="X380" s="102"/>
    </row>
    <row r="381" spans="1:24" s="101" customFormat="1" hidden="1" x14ac:dyDescent="0.25">
      <c r="A381" s="60" t="str">
        <f t="shared" si="43"/>
        <v>7220,03</v>
      </c>
      <c r="B381" s="60">
        <f>COUNTIF($J$7:J381,J381)</f>
        <v>7</v>
      </c>
      <c r="C381" s="60" t="str">
        <f t="shared" si="44"/>
        <v>0</v>
      </c>
      <c r="D381" s="60">
        <f>COUNTIF($K$7:K381,K381)</f>
        <v>0</v>
      </c>
      <c r="E381" s="91"/>
      <c r="F381" s="92">
        <v>44572</v>
      </c>
      <c r="G381" s="116" t="s">
        <v>149</v>
      </c>
      <c r="H381" s="93" t="s">
        <v>150</v>
      </c>
      <c r="I381" s="126" t="s">
        <v>172</v>
      </c>
      <c r="J381" s="119">
        <v>220.03</v>
      </c>
      <c r="K381" s="108"/>
      <c r="L381" s="91"/>
      <c r="M381" s="132">
        <f>+L379-M380</f>
        <v>3412500</v>
      </c>
      <c r="N381" s="132"/>
      <c r="O381" s="111"/>
      <c r="P381" s="100" t="str">
        <f t="shared" si="45"/>
        <v>Hutang BIaya</v>
      </c>
      <c r="Q381" s="91"/>
      <c r="S381" s="112"/>
      <c r="T381" s="112"/>
      <c r="U381" s="113"/>
      <c r="V381" s="113"/>
      <c r="X381" s="102"/>
    </row>
    <row r="382" spans="1:24" s="101" customFormat="1" ht="30" hidden="1" x14ac:dyDescent="0.25">
      <c r="A382" s="60" t="str">
        <f t="shared" si="43"/>
        <v>1610,12</v>
      </c>
      <c r="B382" s="60">
        <f>COUNTIF($J$7:J382,J382)</f>
        <v>1</v>
      </c>
      <c r="C382" s="60" t="str">
        <f t="shared" si="44"/>
        <v>0</v>
      </c>
      <c r="D382" s="60">
        <f>COUNTIF($K$7:K382,K382)</f>
        <v>0</v>
      </c>
      <c r="E382" s="91"/>
      <c r="F382" s="92">
        <v>44572</v>
      </c>
      <c r="G382" s="116" t="s">
        <v>149</v>
      </c>
      <c r="H382" s="93" t="s">
        <v>150</v>
      </c>
      <c r="I382" s="126" t="s">
        <v>173</v>
      </c>
      <c r="J382" s="123">
        <v>610.12</v>
      </c>
      <c r="K382" s="108"/>
      <c r="L382" s="130">
        <v>1593750</v>
      </c>
      <c r="M382" s="117"/>
      <c r="N382" s="117"/>
      <c r="O382" s="111"/>
      <c r="P382" s="100" t="str">
        <f t="shared" si="45"/>
        <v>Biaya Pemeliharaan Bangunan</v>
      </c>
      <c r="Q382" s="91"/>
      <c r="S382" s="112"/>
      <c r="T382" s="112"/>
      <c r="U382" s="113"/>
      <c r="V382" s="113"/>
      <c r="X382" s="102"/>
    </row>
    <row r="383" spans="1:24" s="101" customFormat="1" ht="30" hidden="1" x14ac:dyDescent="0.25">
      <c r="A383" s="60" t="str">
        <f t="shared" si="43"/>
        <v>3117,01</v>
      </c>
      <c r="B383" s="60">
        <f>COUNTIF($J$7:J383,J383)</f>
        <v>3</v>
      </c>
      <c r="C383" s="60" t="str">
        <f t="shared" si="44"/>
        <v>0</v>
      </c>
      <c r="D383" s="60">
        <f>COUNTIF($K$7:K383,K383)</f>
        <v>0</v>
      </c>
      <c r="E383" s="91"/>
      <c r="F383" s="92">
        <v>44572</v>
      </c>
      <c r="G383" s="116" t="s">
        <v>149</v>
      </c>
      <c r="H383" s="93" t="s">
        <v>150</v>
      </c>
      <c r="I383" s="126" t="s">
        <v>173</v>
      </c>
      <c r="J383" s="117">
        <v>117.01</v>
      </c>
      <c r="K383" s="108"/>
      <c r="L383" s="133">
        <v>159375</v>
      </c>
      <c r="M383" s="117"/>
      <c r="N383" s="117"/>
      <c r="O383" s="111" t="s">
        <v>153</v>
      </c>
      <c r="P383" s="100" t="str">
        <f t="shared" si="45"/>
        <v>Pajak Dibayar Di Muka - PPN Masukan</v>
      </c>
      <c r="Q383" s="91"/>
      <c r="S383" s="112"/>
      <c r="T383" s="112"/>
      <c r="U383" s="113"/>
      <c r="V383" s="113"/>
      <c r="X383" s="102"/>
    </row>
    <row r="384" spans="1:24" s="101" customFormat="1" ht="30" hidden="1" x14ac:dyDescent="0.25">
      <c r="A384" s="60" t="str">
        <f t="shared" si="43"/>
        <v>8220,03</v>
      </c>
      <c r="B384" s="60">
        <f>COUNTIF($J$7:J384,J384)</f>
        <v>8</v>
      </c>
      <c r="C384" s="60" t="str">
        <f t="shared" si="44"/>
        <v>0</v>
      </c>
      <c r="D384" s="60">
        <f>COUNTIF($K$7:K384,K384)</f>
        <v>0</v>
      </c>
      <c r="E384" s="91"/>
      <c r="F384" s="92">
        <v>44572</v>
      </c>
      <c r="G384" s="116" t="s">
        <v>149</v>
      </c>
      <c r="H384" s="93" t="s">
        <v>150</v>
      </c>
      <c r="I384" s="126" t="s">
        <v>173</v>
      </c>
      <c r="J384" s="119">
        <v>220.03</v>
      </c>
      <c r="K384" s="108"/>
      <c r="L384" s="130"/>
      <c r="M384" s="117">
        <f>L383+L382</f>
        <v>1753125</v>
      </c>
      <c r="N384" s="117"/>
      <c r="O384" s="111"/>
      <c r="P384" s="100" t="str">
        <f t="shared" si="45"/>
        <v>Hutang BIaya</v>
      </c>
      <c r="Q384" s="91"/>
      <c r="S384" s="112"/>
      <c r="T384" s="112"/>
      <c r="U384" s="113"/>
      <c r="V384" s="113"/>
      <c r="X384" s="102"/>
    </row>
    <row r="385" spans="1:24" s="101" customFormat="1" hidden="1" x14ac:dyDescent="0.25">
      <c r="A385" s="60" t="str">
        <f t="shared" si="43"/>
        <v>5512,02</v>
      </c>
      <c r="B385" s="60">
        <f>COUNTIF($J$7:J385,J385)</f>
        <v>5</v>
      </c>
      <c r="C385" s="60" t="str">
        <f t="shared" si="44"/>
        <v>0</v>
      </c>
      <c r="D385" s="60">
        <f>COUNTIF($K$7:K385,K385)</f>
        <v>0</v>
      </c>
      <c r="E385" s="91"/>
      <c r="F385" s="92">
        <v>44580</v>
      </c>
      <c r="G385" s="116" t="s">
        <v>149</v>
      </c>
      <c r="H385" s="93" t="s">
        <v>150</v>
      </c>
      <c r="I385" s="126" t="s">
        <v>174</v>
      </c>
      <c r="J385" s="128">
        <v>512.02</v>
      </c>
      <c r="K385" s="108"/>
      <c r="L385" s="130">
        <v>30182727.27272727</v>
      </c>
      <c r="M385" s="117"/>
      <c r="N385" s="117"/>
      <c r="O385" s="111"/>
      <c r="P385" s="100" t="str">
        <f t="shared" si="45"/>
        <v>Beban Komisi</v>
      </c>
      <c r="Q385" s="91"/>
      <c r="S385" s="112"/>
      <c r="T385" s="112"/>
      <c r="U385" s="113"/>
      <c r="V385" s="113"/>
      <c r="X385" s="102"/>
    </row>
    <row r="386" spans="1:24" s="101" customFormat="1" hidden="1" x14ac:dyDescent="0.25">
      <c r="A386" s="60" t="str">
        <f t="shared" si="43"/>
        <v>2211,04</v>
      </c>
      <c r="B386" s="60">
        <f>COUNTIF($J$7:J386,J386)</f>
        <v>2</v>
      </c>
      <c r="C386" s="60" t="str">
        <f t="shared" si="44"/>
        <v>0</v>
      </c>
      <c r="D386" s="60">
        <f>COUNTIF($K$7:K386,K386)</f>
        <v>0</v>
      </c>
      <c r="E386" s="91"/>
      <c r="F386" s="92">
        <v>44580</v>
      </c>
      <c r="G386" s="116" t="s">
        <v>149</v>
      </c>
      <c r="H386" s="93" t="s">
        <v>150</v>
      </c>
      <c r="I386" s="126" t="s">
        <v>174</v>
      </c>
      <c r="J386" s="117">
        <v>211.04</v>
      </c>
      <c r="K386" s="108"/>
      <c r="L386" s="130"/>
      <c r="M386" s="117">
        <v>603654.54545454541</v>
      </c>
      <c r="N386" s="117"/>
      <c r="O386" s="111" t="s">
        <v>175</v>
      </c>
      <c r="P386" s="100" t="str">
        <f t="shared" si="45"/>
        <v>Hutang PPh 23</v>
      </c>
      <c r="Q386" s="91"/>
      <c r="S386" s="112"/>
      <c r="T386" s="112"/>
      <c r="U386" s="113"/>
      <c r="V386" s="113"/>
      <c r="X386" s="102"/>
    </row>
    <row r="387" spans="1:24" s="101" customFormat="1" hidden="1" x14ac:dyDescent="0.25">
      <c r="A387" s="60" t="str">
        <f t="shared" si="43"/>
        <v>9220,03</v>
      </c>
      <c r="B387" s="60">
        <f>COUNTIF($J$7:J387,J387)</f>
        <v>9</v>
      </c>
      <c r="C387" s="60" t="str">
        <f t="shared" si="44"/>
        <v>0</v>
      </c>
      <c r="D387" s="60">
        <f>COUNTIF($K$7:K387,K387)</f>
        <v>0</v>
      </c>
      <c r="E387" s="91"/>
      <c r="F387" s="92">
        <v>44580</v>
      </c>
      <c r="G387" s="116" t="s">
        <v>149</v>
      </c>
      <c r="H387" s="93" t="s">
        <v>150</v>
      </c>
      <c r="I387" s="126" t="s">
        <v>174</v>
      </c>
      <c r="J387" s="119">
        <v>220.03</v>
      </c>
      <c r="K387" s="108"/>
      <c r="L387" s="130"/>
      <c r="M387" s="117">
        <v>29579072.727272723</v>
      </c>
      <c r="N387" s="117"/>
      <c r="O387" s="111"/>
      <c r="P387" s="100" t="str">
        <f t="shared" si="45"/>
        <v>Hutang BIaya</v>
      </c>
      <c r="Q387" s="91"/>
      <c r="S387" s="112"/>
      <c r="T387" s="112"/>
      <c r="U387" s="113"/>
      <c r="V387" s="113"/>
      <c r="X387" s="102"/>
    </row>
    <row r="388" spans="1:24" s="101" customFormat="1" hidden="1" x14ac:dyDescent="0.25">
      <c r="A388" s="60" t="str">
        <f t="shared" si="43"/>
        <v>6512,02</v>
      </c>
      <c r="B388" s="60">
        <f>COUNTIF($J$7:J388,J388)</f>
        <v>6</v>
      </c>
      <c r="C388" s="60" t="str">
        <f t="shared" si="44"/>
        <v>0</v>
      </c>
      <c r="D388" s="60">
        <f>COUNTIF($K$7:K388,K388)</f>
        <v>0</v>
      </c>
      <c r="E388" s="91"/>
      <c r="F388" s="92">
        <v>44580</v>
      </c>
      <c r="G388" s="116" t="s">
        <v>149</v>
      </c>
      <c r="H388" s="93" t="s">
        <v>150</v>
      </c>
      <c r="I388" s="126" t="s">
        <v>174</v>
      </c>
      <c r="J388" s="128">
        <v>512.02</v>
      </c>
      <c r="K388" s="108"/>
      <c r="L388" s="130">
        <v>22145454.545454543</v>
      </c>
      <c r="M388" s="117"/>
      <c r="N388" s="117"/>
      <c r="O388" s="111"/>
      <c r="P388" s="100" t="str">
        <f t="shared" si="45"/>
        <v>Beban Komisi</v>
      </c>
      <c r="Q388" s="91"/>
      <c r="S388" s="112"/>
      <c r="T388" s="112"/>
      <c r="U388" s="113"/>
      <c r="V388" s="113"/>
      <c r="X388" s="102"/>
    </row>
    <row r="389" spans="1:24" s="101" customFormat="1" hidden="1" x14ac:dyDescent="0.25">
      <c r="A389" s="60" t="str">
        <f t="shared" si="43"/>
        <v>3211,04</v>
      </c>
      <c r="B389" s="60">
        <f>COUNTIF($J$7:J389,J389)</f>
        <v>3</v>
      </c>
      <c r="C389" s="60" t="str">
        <f t="shared" si="44"/>
        <v>0</v>
      </c>
      <c r="D389" s="60">
        <f>COUNTIF($K$7:K389,K389)</f>
        <v>0</v>
      </c>
      <c r="E389" s="91"/>
      <c r="F389" s="92">
        <v>44580</v>
      </c>
      <c r="G389" s="116" t="s">
        <v>149</v>
      </c>
      <c r="H389" s="93" t="s">
        <v>150</v>
      </c>
      <c r="I389" s="126" t="s">
        <v>174</v>
      </c>
      <c r="J389" s="117">
        <v>211.04</v>
      </c>
      <c r="K389" s="108"/>
      <c r="L389" s="130"/>
      <c r="M389" s="117">
        <v>442909.09090909088</v>
      </c>
      <c r="N389" s="117"/>
      <c r="O389" s="111" t="s">
        <v>175</v>
      </c>
      <c r="P389" s="100" t="str">
        <f t="shared" si="45"/>
        <v>Hutang PPh 23</v>
      </c>
      <c r="Q389" s="91"/>
      <c r="S389" s="112"/>
      <c r="T389" s="112"/>
      <c r="U389" s="113"/>
      <c r="V389" s="113"/>
      <c r="X389" s="102"/>
    </row>
    <row r="390" spans="1:24" s="101" customFormat="1" hidden="1" x14ac:dyDescent="0.25">
      <c r="A390" s="60" t="str">
        <f t="shared" si="43"/>
        <v>10220,03</v>
      </c>
      <c r="B390" s="60">
        <f>COUNTIF($J$7:J390,J390)</f>
        <v>10</v>
      </c>
      <c r="C390" s="60" t="str">
        <f t="shared" si="44"/>
        <v>0</v>
      </c>
      <c r="D390" s="60">
        <f>COUNTIF($K$7:K390,K390)</f>
        <v>0</v>
      </c>
      <c r="E390" s="91"/>
      <c r="F390" s="92">
        <v>44580</v>
      </c>
      <c r="G390" s="116" t="s">
        <v>149</v>
      </c>
      <c r="H390" s="93" t="s">
        <v>150</v>
      </c>
      <c r="I390" s="126" t="s">
        <v>174</v>
      </c>
      <c r="J390" s="119">
        <v>220.03</v>
      </c>
      <c r="K390" s="108"/>
      <c r="L390" s="130"/>
      <c r="M390" s="117">
        <v>21702545.454545453</v>
      </c>
      <c r="N390" s="117"/>
      <c r="O390" s="111"/>
      <c r="P390" s="100" t="str">
        <f t="shared" si="45"/>
        <v>Hutang BIaya</v>
      </c>
      <c r="Q390" s="91"/>
      <c r="S390" s="112"/>
      <c r="T390" s="112"/>
      <c r="U390" s="113"/>
      <c r="V390" s="113"/>
      <c r="X390" s="102"/>
    </row>
    <row r="391" spans="1:24" s="101" customFormat="1" hidden="1" x14ac:dyDescent="0.25">
      <c r="A391" s="60" t="str">
        <f t="shared" ref="A391:A454" si="46">B391&amp;J391</f>
        <v>2610,31</v>
      </c>
      <c r="B391" s="60">
        <f>COUNTIF($J$7:J391,J391)</f>
        <v>2</v>
      </c>
      <c r="C391" s="60" t="str">
        <f t="shared" ref="C391:C454" si="47">D391&amp;K391</f>
        <v>0</v>
      </c>
      <c r="D391" s="60">
        <f>COUNTIF($K$7:K391,K391)</f>
        <v>0</v>
      </c>
      <c r="E391" s="91"/>
      <c r="F391" s="92">
        <v>44585</v>
      </c>
      <c r="G391" s="116"/>
      <c r="H391" s="93" t="s">
        <v>150</v>
      </c>
      <c r="I391" s="126" t="s">
        <v>176</v>
      </c>
      <c r="J391" s="123">
        <v>610.30999999999995</v>
      </c>
      <c r="K391" s="108"/>
      <c r="L391" s="130">
        <v>120000</v>
      </c>
      <c r="M391" s="117"/>
      <c r="N391" s="117"/>
      <c r="O391" s="111"/>
      <c r="P391" s="100" t="str">
        <f t="shared" ref="P391:P454" si="48">IF(J391=0,"-",+VLOOKUP(J391,DAF_AKUN,2,FALSE))</f>
        <v>Biaya Instalasi &amp; System</v>
      </c>
      <c r="Q391" s="91"/>
      <c r="S391" s="112"/>
      <c r="T391" s="112"/>
      <c r="U391" s="113"/>
      <c r="V391" s="113"/>
      <c r="X391" s="102"/>
    </row>
    <row r="392" spans="1:24" s="101" customFormat="1" hidden="1" x14ac:dyDescent="0.25">
      <c r="A392" s="60" t="str">
        <f t="shared" si="46"/>
        <v>4117,01</v>
      </c>
      <c r="B392" s="60">
        <f>COUNTIF($J$7:J392,J392)</f>
        <v>4</v>
      </c>
      <c r="C392" s="60" t="str">
        <f t="shared" si="47"/>
        <v>0</v>
      </c>
      <c r="D392" s="60">
        <f>COUNTIF($K$7:K392,K392)</f>
        <v>0</v>
      </c>
      <c r="E392" s="91"/>
      <c r="F392" s="92">
        <v>44585</v>
      </c>
      <c r="G392" s="116"/>
      <c r="H392" s="93" t="s">
        <v>150</v>
      </c>
      <c r="I392" s="126" t="s">
        <v>176</v>
      </c>
      <c r="J392" s="117">
        <v>117.01</v>
      </c>
      <c r="K392" s="108"/>
      <c r="L392" s="134">
        <v>12000</v>
      </c>
      <c r="M392" s="91"/>
      <c r="N392" s="91"/>
      <c r="O392" s="111" t="s">
        <v>153</v>
      </c>
      <c r="P392" s="100" t="str">
        <f t="shared" si="48"/>
        <v>Pajak Dibayar Di Muka - PPN Masukan</v>
      </c>
      <c r="Q392" s="91"/>
      <c r="S392" s="112"/>
      <c r="T392" s="112"/>
      <c r="U392" s="113"/>
      <c r="V392" s="113"/>
      <c r="X392" s="102"/>
    </row>
    <row r="393" spans="1:24" s="101" customFormat="1" hidden="1" x14ac:dyDescent="0.25">
      <c r="A393" s="60" t="str">
        <f t="shared" si="46"/>
        <v>11220,03</v>
      </c>
      <c r="B393" s="60">
        <f>COUNTIF($J$7:J393,J393)</f>
        <v>11</v>
      </c>
      <c r="C393" s="60" t="str">
        <f t="shared" si="47"/>
        <v>0</v>
      </c>
      <c r="D393" s="60">
        <f>COUNTIF($K$7:K393,K393)</f>
        <v>0</v>
      </c>
      <c r="E393" s="91"/>
      <c r="F393" s="92">
        <v>44585</v>
      </c>
      <c r="G393" s="116"/>
      <c r="H393" s="93" t="s">
        <v>150</v>
      </c>
      <c r="I393" s="126" t="s">
        <v>176</v>
      </c>
      <c r="J393" s="119">
        <v>220.03</v>
      </c>
      <c r="K393" s="108"/>
      <c r="L393" s="130"/>
      <c r="M393" s="117">
        <v>132000</v>
      </c>
      <c r="N393" s="117"/>
      <c r="O393" s="111"/>
      <c r="P393" s="100" t="str">
        <f t="shared" si="48"/>
        <v>Hutang BIaya</v>
      </c>
      <c r="Q393" s="91"/>
      <c r="S393" s="112"/>
      <c r="T393" s="112"/>
      <c r="U393" s="113"/>
      <c r="V393" s="113"/>
      <c r="X393" s="102"/>
    </row>
    <row r="394" spans="1:24" s="101" customFormat="1" hidden="1" x14ac:dyDescent="0.25">
      <c r="A394" s="60" t="str">
        <f t="shared" si="46"/>
        <v>1117,04</v>
      </c>
      <c r="B394" s="60">
        <f>COUNTIF($J$7:J394,J394)</f>
        <v>1</v>
      </c>
      <c r="C394" s="60" t="str">
        <f t="shared" si="47"/>
        <v>0</v>
      </c>
      <c r="D394" s="60">
        <f>COUNTIF($K$7:K394,K394)</f>
        <v>0</v>
      </c>
      <c r="E394" s="91"/>
      <c r="F394" s="92">
        <v>44571</v>
      </c>
      <c r="G394" s="116"/>
      <c r="H394" s="93" t="s">
        <v>150</v>
      </c>
      <c r="I394" s="126" t="s">
        <v>177</v>
      </c>
      <c r="J394" s="117">
        <v>117.04</v>
      </c>
      <c r="K394" s="108"/>
      <c r="L394" s="130">
        <v>18433780</v>
      </c>
      <c r="M394" s="117"/>
      <c r="N394" s="117"/>
      <c r="O394" s="111"/>
      <c r="P394" s="100" t="str">
        <f t="shared" si="48"/>
        <v>Pajak Dibayar Di Muka - PPh 25</v>
      </c>
      <c r="Q394" s="91"/>
      <c r="S394" s="112"/>
      <c r="T394" s="112"/>
      <c r="U394" s="113"/>
      <c r="V394" s="113"/>
      <c r="X394" s="102"/>
    </row>
    <row r="395" spans="1:24" s="101" customFormat="1" hidden="1" x14ac:dyDescent="0.25">
      <c r="A395" s="60" t="str">
        <f t="shared" si="46"/>
        <v>1211,05</v>
      </c>
      <c r="B395" s="60">
        <f>COUNTIF($J$7:J395,J395)</f>
        <v>1</v>
      </c>
      <c r="C395" s="60" t="str">
        <f t="shared" si="47"/>
        <v>0</v>
      </c>
      <c r="D395" s="60">
        <f>COUNTIF($K$7:K395,K395)</f>
        <v>0</v>
      </c>
      <c r="E395" s="91"/>
      <c r="F395" s="92">
        <v>44571</v>
      </c>
      <c r="G395" s="116"/>
      <c r="H395" s="93" t="s">
        <v>150</v>
      </c>
      <c r="I395" s="126" t="s">
        <v>177</v>
      </c>
      <c r="J395" s="117">
        <v>211.05</v>
      </c>
      <c r="K395" s="108"/>
      <c r="L395" s="130"/>
      <c r="M395" s="130">
        <v>18433780</v>
      </c>
      <c r="N395" s="130"/>
      <c r="O395" s="111"/>
      <c r="P395" s="100" t="str">
        <f t="shared" si="48"/>
        <v>Hutang PPh 25</v>
      </c>
      <c r="Q395" s="91"/>
      <c r="S395" s="112"/>
      <c r="T395" s="112"/>
      <c r="U395" s="113"/>
      <c r="V395" s="113"/>
      <c r="X395" s="102"/>
    </row>
    <row r="396" spans="1:24" s="101" customFormat="1" ht="30" hidden="1" x14ac:dyDescent="0.25">
      <c r="A396" s="60" t="str">
        <f t="shared" si="46"/>
        <v>3610,31</v>
      </c>
      <c r="B396" s="60">
        <f>COUNTIF($J$7:J396,J396)</f>
        <v>3</v>
      </c>
      <c r="C396" s="60" t="str">
        <f t="shared" si="47"/>
        <v>0</v>
      </c>
      <c r="D396" s="60">
        <f>COUNTIF($K$7:K396,K396)</f>
        <v>0</v>
      </c>
      <c r="E396" s="91"/>
      <c r="F396" s="92">
        <v>44592</v>
      </c>
      <c r="G396" s="116"/>
      <c r="H396" s="93" t="s">
        <v>150</v>
      </c>
      <c r="I396" s="126" t="s">
        <v>178</v>
      </c>
      <c r="J396" s="123">
        <v>610.30999999999995</v>
      </c>
      <c r="K396" s="108"/>
      <c r="L396" s="135">
        <v>650000</v>
      </c>
      <c r="M396" s="117"/>
      <c r="N396" s="117"/>
      <c r="O396" s="111"/>
      <c r="P396" s="100" t="str">
        <f t="shared" si="48"/>
        <v>Biaya Instalasi &amp; System</v>
      </c>
      <c r="Q396" s="91"/>
      <c r="S396" s="112"/>
      <c r="T396" s="112"/>
      <c r="U396" s="113"/>
      <c r="V396" s="113"/>
      <c r="X396" s="102"/>
    </row>
    <row r="397" spans="1:24" s="101" customFormat="1" ht="30" hidden="1" x14ac:dyDescent="0.25">
      <c r="A397" s="60" t="str">
        <f t="shared" si="46"/>
        <v>7211,02</v>
      </c>
      <c r="B397" s="60">
        <f>COUNTIF($J$7:J397,J397)</f>
        <v>7</v>
      </c>
      <c r="C397" s="60" t="str">
        <f t="shared" si="47"/>
        <v>0</v>
      </c>
      <c r="D397" s="60">
        <f>COUNTIF($K$7:K397,K397)</f>
        <v>0</v>
      </c>
      <c r="E397" s="91"/>
      <c r="F397" s="92">
        <v>44592</v>
      </c>
      <c r="G397" s="116"/>
      <c r="H397" s="93" t="s">
        <v>150</v>
      </c>
      <c r="I397" s="126" t="s">
        <v>178</v>
      </c>
      <c r="J397" s="117">
        <v>211.02</v>
      </c>
      <c r="K397" s="108"/>
      <c r="L397" s="130"/>
      <c r="M397" s="117">
        <v>16250</v>
      </c>
      <c r="N397" s="117"/>
      <c r="O397" s="136"/>
      <c r="P397" s="100" t="str">
        <f t="shared" si="48"/>
        <v>Hutang PPh 21</v>
      </c>
      <c r="Q397" s="91"/>
      <c r="S397" s="112"/>
      <c r="T397" s="112"/>
      <c r="U397" s="113"/>
      <c r="V397" s="113"/>
      <c r="X397" s="102"/>
    </row>
    <row r="398" spans="1:24" s="101" customFormat="1" ht="30" hidden="1" x14ac:dyDescent="0.25">
      <c r="A398" s="60" t="str">
        <f t="shared" si="46"/>
        <v>12220,03</v>
      </c>
      <c r="B398" s="60">
        <f>COUNTIF($J$7:J398,J398)</f>
        <v>12</v>
      </c>
      <c r="C398" s="60" t="str">
        <f t="shared" si="47"/>
        <v>0</v>
      </c>
      <c r="D398" s="60">
        <f>COUNTIF($K$7:K398,K398)</f>
        <v>0</v>
      </c>
      <c r="E398" s="91"/>
      <c r="F398" s="92">
        <v>44592</v>
      </c>
      <c r="G398" s="116"/>
      <c r="H398" s="93" t="s">
        <v>150</v>
      </c>
      <c r="I398" s="126" t="s">
        <v>178</v>
      </c>
      <c r="J398" s="119">
        <v>220.03</v>
      </c>
      <c r="K398" s="108"/>
      <c r="L398" s="130"/>
      <c r="M398" s="117">
        <f>L396-M397</f>
        <v>633750</v>
      </c>
      <c r="N398" s="117"/>
      <c r="O398" s="111"/>
      <c r="P398" s="100" t="str">
        <f t="shared" si="48"/>
        <v>Hutang BIaya</v>
      </c>
      <c r="Q398" s="91"/>
      <c r="S398" s="112"/>
      <c r="T398" s="112"/>
      <c r="U398" s="113"/>
      <c r="V398" s="113"/>
      <c r="X398" s="102"/>
    </row>
    <row r="399" spans="1:24" s="101" customFormat="1" hidden="1" x14ac:dyDescent="0.25">
      <c r="A399" s="60" t="str">
        <f t="shared" si="46"/>
        <v>1610,23</v>
      </c>
      <c r="B399" s="60">
        <f>COUNTIF($J$7:J399,J399)</f>
        <v>1</v>
      </c>
      <c r="C399" s="60" t="str">
        <f t="shared" si="47"/>
        <v>0</v>
      </c>
      <c r="D399" s="60">
        <f>COUNTIF($K$7:K399,K399)</f>
        <v>0</v>
      </c>
      <c r="E399" s="91"/>
      <c r="F399" s="92">
        <v>44592</v>
      </c>
      <c r="G399" s="116"/>
      <c r="H399" s="93" t="s">
        <v>150</v>
      </c>
      <c r="I399" s="126" t="s">
        <v>179</v>
      </c>
      <c r="J399" s="91">
        <v>610.23</v>
      </c>
      <c r="K399" s="108"/>
      <c r="L399" s="130">
        <v>798609</v>
      </c>
      <c r="M399" s="117"/>
      <c r="N399" s="117"/>
      <c r="O399" s="111"/>
      <c r="P399" s="100" t="str">
        <f t="shared" si="48"/>
        <v>Biaya Pajak PPH 21</v>
      </c>
      <c r="Q399" s="91"/>
      <c r="S399" s="112"/>
      <c r="T399" s="112"/>
      <c r="U399" s="113"/>
      <c r="V399" s="113"/>
      <c r="X399" s="102"/>
    </row>
    <row r="400" spans="1:24" s="101" customFormat="1" ht="15.6" hidden="1" customHeight="1" x14ac:dyDescent="0.25">
      <c r="A400" s="60" t="str">
        <f t="shared" si="46"/>
        <v>8211,02</v>
      </c>
      <c r="B400" s="60">
        <f>COUNTIF($J$7:J400,J400)</f>
        <v>8</v>
      </c>
      <c r="C400" s="60" t="str">
        <f t="shared" si="47"/>
        <v>0</v>
      </c>
      <c r="D400" s="60">
        <f>COUNTIF($K$7:K400,K400)</f>
        <v>0</v>
      </c>
      <c r="E400" s="91"/>
      <c r="F400" s="92">
        <v>44592</v>
      </c>
      <c r="G400" s="116"/>
      <c r="H400" s="93" t="s">
        <v>150</v>
      </c>
      <c r="I400" s="126" t="s">
        <v>179</v>
      </c>
      <c r="J400" s="117">
        <v>211.02</v>
      </c>
      <c r="K400" s="108"/>
      <c r="L400" s="130"/>
      <c r="M400" s="117">
        <f>L399</f>
        <v>798609</v>
      </c>
      <c r="N400" s="117"/>
      <c r="O400" s="111"/>
      <c r="P400" s="100" t="str">
        <f t="shared" si="48"/>
        <v>Hutang PPh 21</v>
      </c>
      <c r="Q400" s="91"/>
      <c r="S400" s="112"/>
      <c r="T400" s="112"/>
      <c r="U400" s="113"/>
      <c r="V400" s="113"/>
      <c r="X400" s="102"/>
    </row>
    <row r="401" spans="1:24" s="101" customFormat="1" hidden="1" x14ac:dyDescent="0.25">
      <c r="A401" s="60" t="str">
        <f t="shared" si="46"/>
        <v>5117,01</v>
      </c>
      <c r="B401" s="60">
        <f>COUNTIF($J$7:J401,J401)</f>
        <v>5</v>
      </c>
      <c r="C401" s="60" t="str">
        <f t="shared" si="47"/>
        <v>0</v>
      </c>
      <c r="D401" s="60">
        <f>COUNTIF($K$7:K401,K401)</f>
        <v>0</v>
      </c>
      <c r="E401" s="91"/>
      <c r="F401" s="92">
        <v>44589</v>
      </c>
      <c r="G401" s="116"/>
      <c r="H401" s="93" t="s">
        <v>150</v>
      </c>
      <c r="I401" s="126" t="s">
        <v>180</v>
      </c>
      <c r="J401" s="117">
        <v>117.01</v>
      </c>
      <c r="K401" s="108"/>
      <c r="L401" s="130">
        <v>55536</v>
      </c>
      <c r="M401" s="117"/>
      <c r="N401" s="117"/>
      <c r="O401" s="91" t="s">
        <v>181</v>
      </c>
      <c r="P401" s="100" t="str">
        <f t="shared" si="48"/>
        <v>Pajak Dibayar Di Muka - PPN Masukan</v>
      </c>
      <c r="Q401" s="91"/>
      <c r="S401" s="112"/>
      <c r="T401" s="112"/>
      <c r="U401" s="113"/>
      <c r="V401" s="113"/>
      <c r="X401" s="102"/>
    </row>
    <row r="402" spans="1:24" s="101" customFormat="1" hidden="1" x14ac:dyDescent="0.25">
      <c r="A402" s="60" t="str">
        <f t="shared" si="46"/>
        <v>1511,03</v>
      </c>
      <c r="B402" s="60">
        <f>COUNTIF($J$7:J402,J402)</f>
        <v>1</v>
      </c>
      <c r="C402" s="60" t="str">
        <f t="shared" si="47"/>
        <v>0</v>
      </c>
      <c r="D402" s="60">
        <f>COUNTIF($K$7:K402,K402)</f>
        <v>0</v>
      </c>
      <c r="E402" s="91"/>
      <c r="F402" s="92">
        <v>44589</v>
      </c>
      <c r="G402" s="116"/>
      <c r="H402" s="93" t="s">
        <v>150</v>
      </c>
      <c r="I402" s="126" t="s">
        <v>180</v>
      </c>
      <c r="J402" s="117">
        <v>511.03</v>
      </c>
      <c r="K402" s="108"/>
      <c r="L402" s="130"/>
      <c r="M402" s="130">
        <v>55536</v>
      </c>
      <c r="N402" s="130"/>
      <c r="O402" s="111"/>
      <c r="P402" s="100" t="str">
        <f t="shared" si="48"/>
        <v>Biaya Pengiriman Barang Ekspedisi</v>
      </c>
      <c r="Q402" s="91"/>
      <c r="S402" s="112"/>
      <c r="T402" s="112"/>
      <c r="U402" s="113"/>
      <c r="V402" s="113"/>
      <c r="X402" s="102"/>
    </row>
    <row r="403" spans="1:24" s="101" customFormat="1" hidden="1" x14ac:dyDescent="0.25">
      <c r="A403" s="60" t="str">
        <f t="shared" si="46"/>
        <v>1111,03</v>
      </c>
      <c r="B403" s="60">
        <f>COUNTIF($J$7:J403,J403)</f>
        <v>1</v>
      </c>
      <c r="C403" s="60" t="str">
        <f t="shared" si="47"/>
        <v>0</v>
      </c>
      <c r="D403" s="60">
        <f>COUNTIF($K$7:K403,K403)</f>
        <v>0</v>
      </c>
      <c r="E403" s="91"/>
      <c r="F403" s="137">
        <v>44564</v>
      </c>
      <c r="G403" s="116" t="s">
        <v>149</v>
      </c>
      <c r="H403" s="93" t="s">
        <v>182</v>
      </c>
      <c r="I403" s="126" t="s">
        <v>183</v>
      </c>
      <c r="J403" s="117">
        <v>111.03</v>
      </c>
      <c r="K403" s="108"/>
      <c r="L403" s="131">
        <v>430000000</v>
      </c>
      <c r="M403" s="117"/>
      <c r="N403" s="77" t="s">
        <v>16</v>
      </c>
      <c r="O403" s="111"/>
      <c r="P403" s="100" t="str">
        <f t="shared" si="48"/>
        <v>BCA 8607</v>
      </c>
      <c r="Q403" s="91"/>
      <c r="S403" s="112"/>
      <c r="T403" s="112"/>
      <c r="U403" s="113"/>
      <c r="V403" s="113"/>
      <c r="X403" s="102"/>
    </row>
    <row r="404" spans="1:24" s="101" customFormat="1" hidden="1" x14ac:dyDescent="0.25">
      <c r="A404" s="60" t="str">
        <f t="shared" si="46"/>
        <v>1810,01</v>
      </c>
      <c r="B404" s="60">
        <f>COUNTIF($J$7:J404,J404)</f>
        <v>1</v>
      </c>
      <c r="C404" s="60" t="str">
        <f t="shared" si="47"/>
        <v>0</v>
      </c>
      <c r="D404" s="60">
        <f>COUNTIF($K$7:K404,K404)</f>
        <v>0</v>
      </c>
      <c r="E404" s="91"/>
      <c r="F404" s="137">
        <v>44564.52685185185</v>
      </c>
      <c r="G404" s="116" t="s">
        <v>149</v>
      </c>
      <c r="H404" s="93" t="s">
        <v>182</v>
      </c>
      <c r="I404" s="126" t="s">
        <v>184</v>
      </c>
      <c r="J404" s="115">
        <v>810.01</v>
      </c>
      <c r="K404" s="108"/>
      <c r="L404" s="131">
        <v>30000</v>
      </c>
      <c r="M404" s="117"/>
      <c r="N404" s="77" t="s">
        <v>16</v>
      </c>
      <c r="O404" s="111"/>
      <c r="P404" s="100" t="str">
        <f t="shared" si="48"/>
        <v>Biaya Admin Transfer dan Rek</v>
      </c>
      <c r="Q404" s="91"/>
      <c r="S404" s="112"/>
      <c r="T404" s="112"/>
      <c r="U404" s="113"/>
      <c r="V404" s="113"/>
      <c r="X404" s="102"/>
    </row>
    <row r="405" spans="1:24" s="101" customFormat="1" hidden="1" x14ac:dyDescent="0.25">
      <c r="A405" s="60" t="str">
        <f t="shared" si="46"/>
        <v>1111,01</v>
      </c>
      <c r="B405" s="60">
        <f>COUNTIF($J$7:J405,J405)</f>
        <v>1</v>
      </c>
      <c r="C405" s="60" t="str">
        <f t="shared" si="47"/>
        <v>0</v>
      </c>
      <c r="D405" s="60">
        <f>COUNTIF($K$7:K405,K405)</f>
        <v>0</v>
      </c>
      <c r="E405" s="91"/>
      <c r="F405" s="137">
        <v>44564</v>
      </c>
      <c r="G405" s="116" t="s">
        <v>149</v>
      </c>
      <c r="H405" s="93" t="s">
        <v>182</v>
      </c>
      <c r="I405" s="126" t="s">
        <v>183</v>
      </c>
      <c r="J405" s="117">
        <v>111.01</v>
      </c>
      <c r="K405" s="108"/>
      <c r="L405" s="131"/>
      <c r="M405" s="132">
        <v>430000000</v>
      </c>
      <c r="N405" s="138" t="s">
        <v>16</v>
      </c>
      <c r="O405" s="111"/>
      <c r="P405" s="100" t="str">
        <f t="shared" si="48"/>
        <v>BNI IDR 768</v>
      </c>
      <c r="Q405" s="91"/>
      <c r="S405" s="112"/>
      <c r="T405" s="112"/>
      <c r="U405" s="113"/>
      <c r="V405" s="113"/>
      <c r="X405" s="102"/>
    </row>
    <row r="406" spans="1:24" s="101" customFormat="1" hidden="1" x14ac:dyDescent="0.25">
      <c r="A406" s="60" t="str">
        <f t="shared" si="46"/>
        <v>2111,01</v>
      </c>
      <c r="B406" s="60">
        <f>COUNTIF($J$7:J406,J406)</f>
        <v>2</v>
      </c>
      <c r="C406" s="60" t="str">
        <f t="shared" si="47"/>
        <v>0</v>
      </c>
      <c r="D406" s="60">
        <f>COUNTIF($K$7:K406,K406)</f>
        <v>0</v>
      </c>
      <c r="E406" s="91"/>
      <c r="F406" s="137">
        <v>44564.52685185185</v>
      </c>
      <c r="G406" s="116" t="s">
        <v>149</v>
      </c>
      <c r="H406" s="93" t="s">
        <v>182</v>
      </c>
      <c r="I406" s="126" t="s">
        <v>184</v>
      </c>
      <c r="J406" s="117">
        <v>111.01</v>
      </c>
      <c r="K406" s="108"/>
      <c r="L406" s="131"/>
      <c r="M406" s="132">
        <v>30000</v>
      </c>
      <c r="N406" s="138" t="s">
        <v>16</v>
      </c>
      <c r="O406" s="111"/>
      <c r="P406" s="100" t="str">
        <f t="shared" si="48"/>
        <v>BNI IDR 768</v>
      </c>
      <c r="Q406" s="91"/>
      <c r="S406" s="112"/>
      <c r="T406" s="112"/>
      <c r="U406" s="113"/>
      <c r="V406" s="113"/>
      <c r="X406" s="102"/>
    </row>
    <row r="407" spans="1:24" s="101" customFormat="1" hidden="1" x14ac:dyDescent="0.25">
      <c r="A407" s="60" t="str">
        <f t="shared" si="46"/>
        <v>116211,01</v>
      </c>
      <c r="B407" s="60">
        <f>COUNTIF($J$7:J407,J407)</f>
        <v>116</v>
      </c>
      <c r="C407" s="60" t="str">
        <f t="shared" si="47"/>
        <v>0</v>
      </c>
      <c r="D407" s="60">
        <f>COUNTIF($K$7:K407,K407)</f>
        <v>0</v>
      </c>
      <c r="E407" s="91"/>
      <c r="F407" s="137">
        <v>44564.52685185185</v>
      </c>
      <c r="G407" s="116" t="s">
        <v>149</v>
      </c>
      <c r="H407" s="93" t="s">
        <v>185</v>
      </c>
      <c r="I407" s="126" t="s">
        <v>186</v>
      </c>
      <c r="J407" s="117">
        <v>211.01</v>
      </c>
      <c r="K407" s="108"/>
      <c r="L407" s="97">
        <v>88978000</v>
      </c>
      <c r="M407" s="117"/>
      <c r="N407" s="77" t="s">
        <v>16</v>
      </c>
      <c r="O407" s="111"/>
      <c r="P407" s="100" t="str">
        <f t="shared" si="48"/>
        <v>Hutang Pajak PPN</v>
      </c>
      <c r="Q407" s="91"/>
      <c r="S407" s="112"/>
      <c r="T407" s="112"/>
      <c r="U407" s="113"/>
      <c r="V407" s="113"/>
      <c r="X407" s="102"/>
    </row>
    <row r="408" spans="1:24" s="101" customFormat="1" hidden="1" x14ac:dyDescent="0.25">
      <c r="A408" s="60" t="str">
        <f t="shared" si="46"/>
        <v>3211,03</v>
      </c>
      <c r="B408" s="60">
        <f>COUNTIF($J$7:J408,J408)</f>
        <v>3</v>
      </c>
      <c r="C408" s="60" t="str">
        <f t="shared" si="47"/>
        <v>0</v>
      </c>
      <c r="D408" s="60">
        <f>COUNTIF($K$7:K408,K408)</f>
        <v>0</v>
      </c>
      <c r="E408" s="91"/>
      <c r="F408" s="137">
        <v>44564.52685185185</v>
      </c>
      <c r="G408" s="116" t="s">
        <v>149</v>
      </c>
      <c r="H408" s="93" t="s">
        <v>185</v>
      </c>
      <c r="I408" s="126" t="s">
        <v>186</v>
      </c>
      <c r="J408" s="117">
        <v>211.03</v>
      </c>
      <c r="K408" s="108"/>
      <c r="L408" s="97">
        <v>66733000</v>
      </c>
      <c r="M408" s="117"/>
      <c r="N408" s="77" t="s">
        <v>16</v>
      </c>
      <c r="O408" s="111"/>
      <c r="P408" s="100" t="str">
        <f t="shared" si="48"/>
        <v>Hutang PPh 22</v>
      </c>
      <c r="Q408" s="91"/>
      <c r="S408" s="112"/>
      <c r="T408" s="112"/>
      <c r="U408" s="113"/>
      <c r="V408" s="113"/>
      <c r="X408" s="102"/>
    </row>
    <row r="409" spans="1:24" s="101" customFormat="1" hidden="1" x14ac:dyDescent="0.25">
      <c r="A409" s="60" t="str">
        <f t="shared" si="46"/>
        <v>3111,01</v>
      </c>
      <c r="B409" s="60">
        <f>COUNTIF($J$7:J409,J409)</f>
        <v>3</v>
      </c>
      <c r="C409" s="60" t="str">
        <f t="shared" si="47"/>
        <v>0</v>
      </c>
      <c r="D409" s="60">
        <f>COUNTIF($K$7:K409,K409)</f>
        <v>0</v>
      </c>
      <c r="E409" s="91"/>
      <c r="F409" s="137">
        <v>44564.52685185185</v>
      </c>
      <c r="G409" s="116" t="s">
        <v>149</v>
      </c>
      <c r="H409" s="93" t="s">
        <v>185</v>
      </c>
      <c r="I409" s="126" t="s">
        <v>186</v>
      </c>
      <c r="J409" s="117">
        <v>111.01</v>
      </c>
      <c r="K409" s="108"/>
      <c r="L409" s="131"/>
      <c r="M409" s="132">
        <v>155711000</v>
      </c>
      <c r="N409" s="138" t="s">
        <v>16</v>
      </c>
      <c r="O409" s="111"/>
      <c r="P409" s="100" t="str">
        <f t="shared" si="48"/>
        <v>BNI IDR 768</v>
      </c>
      <c r="Q409" s="91"/>
      <c r="S409" s="112"/>
      <c r="T409" s="112"/>
      <c r="U409" s="113"/>
      <c r="V409" s="113"/>
      <c r="X409" s="102"/>
    </row>
    <row r="410" spans="1:24" s="101" customFormat="1" hidden="1" x14ac:dyDescent="0.25">
      <c r="A410" s="60" t="str">
        <f t="shared" si="46"/>
        <v>1119</v>
      </c>
      <c r="B410" s="60">
        <f>COUNTIF($J$7:J410,J410)</f>
        <v>1</v>
      </c>
      <c r="C410" s="60" t="str">
        <f t="shared" si="47"/>
        <v>1119,01</v>
      </c>
      <c r="D410" s="60">
        <f>COUNTIF($K$7:K410,K410)</f>
        <v>1</v>
      </c>
      <c r="E410" s="91"/>
      <c r="F410" s="137">
        <v>44564.526863425926</v>
      </c>
      <c r="G410" s="116" t="s">
        <v>149</v>
      </c>
      <c r="H410" s="93" t="s">
        <v>187</v>
      </c>
      <c r="I410" s="126" t="s">
        <v>188</v>
      </c>
      <c r="J410" s="129">
        <v>119</v>
      </c>
      <c r="K410" s="108">
        <v>119.01</v>
      </c>
      <c r="L410" s="131">
        <v>2300000</v>
      </c>
      <c r="M410" s="117"/>
      <c r="N410" s="77" t="s">
        <v>16</v>
      </c>
      <c r="O410" s="111"/>
      <c r="P410" s="100" t="str">
        <f t="shared" si="48"/>
        <v>Uang Muka Biaya Pengiriman dan Perjalanan Dinas Marketing</v>
      </c>
      <c r="Q410" s="91"/>
      <c r="S410" s="112"/>
      <c r="T410" s="112"/>
      <c r="U410" s="113"/>
      <c r="V410" s="113"/>
      <c r="X410" s="102"/>
    </row>
    <row r="411" spans="1:24" s="101" customFormat="1" hidden="1" x14ac:dyDescent="0.25">
      <c r="A411" s="60" t="str">
        <f t="shared" si="46"/>
        <v>2119</v>
      </c>
      <c r="B411" s="60">
        <f>COUNTIF($J$7:J411,J411)</f>
        <v>2</v>
      </c>
      <c r="C411" s="60" t="str">
        <f t="shared" si="47"/>
        <v>1119,02</v>
      </c>
      <c r="D411" s="60">
        <f>COUNTIF($K$7:K411,K411)</f>
        <v>1</v>
      </c>
      <c r="E411" s="91"/>
      <c r="F411" s="137">
        <v>44564.660914351851</v>
      </c>
      <c r="G411" s="116" t="s">
        <v>149</v>
      </c>
      <c r="H411" s="93" t="s">
        <v>189</v>
      </c>
      <c r="I411" s="126" t="s">
        <v>190</v>
      </c>
      <c r="J411" s="129">
        <v>119</v>
      </c>
      <c r="K411" s="108">
        <v>119.02</v>
      </c>
      <c r="L411" s="131">
        <v>2000000</v>
      </c>
      <c r="M411" s="117"/>
      <c r="N411" s="77" t="s">
        <v>16</v>
      </c>
      <c r="O411" s="111"/>
      <c r="P411" s="100" t="str">
        <f t="shared" si="48"/>
        <v>Uang Muka Biaya Pengiriman dan Perjalanan Dinas Marketing</v>
      </c>
      <c r="Q411" s="91"/>
      <c r="S411" s="112"/>
      <c r="T411" s="112"/>
      <c r="U411" s="113"/>
      <c r="V411" s="113"/>
      <c r="X411" s="102"/>
    </row>
    <row r="412" spans="1:24" s="101" customFormat="1" hidden="1" x14ac:dyDescent="0.25">
      <c r="A412" s="60" t="str">
        <f t="shared" si="46"/>
        <v>4111,01</v>
      </c>
      <c r="B412" s="60">
        <f>COUNTIF($J$7:J412,J412)</f>
        <v>4</v>
      </c>
      <c r="C412" s="60" t="str">
        <f t="shared" si="47"/>
        <v>0</v>
      </c>
      <c r="D412" s="60">
        <f>COUNTIF($K$7:K412,K412)</f>
        <v>0</v>
      </c>
      <c r="E412" s="91"/>
      <c r="F412" s="137">
        <v>44564.526863425926</v>
      </c>
      <c r="G412" s="116" t="s">
        <v>149</v>
      </c>
      <c r="H412" s="93" t="s">
        <v>187</v>
      </c>
      <c r="I412" s="126" t="s">
        <v>191</v>
      </c>
      <c r="J412" s="117">
        <v>111.01</v>
      </c>
      <c r="K412" s="108"/>
      <c r="L412" s="131"/>
      <c r="M412" s="132">
        <v>2300000</v>
      </c>
      <c r="N412" s="138" t="s">
        <v>16</v>
      </c>
      <c r="O412" s="111"/>
      <c r="P412" s="100" t="str">
        <f t="shared" si="48"/>
        <v>BNI IDR 768</v>
      </c>
      <c r="Q412" s="91"/>
      <c r="S412" s="112"/>
      <c r="T412" s="112"/>
      <c r="U412" s="113"/>
      <c r="V412" s="113"/>
      <c r="X412" s="102"/>
    </row>
    <row r="413" spans="1:24" s="101" customFormat="1" hidden="1" x14ac:dyDescent="0.25">
      <c r="A413" s="60" t="str">
        <f t="shared" si="46"/>
        <v>5111,01</v>
      </c>
      <c r="B413" s="60">
        <f>COUNTIF($J$7:J413,J413)</f>
        <v>5</v>
      </c>
      <c r="C413" s="60" t="str">
        <f t="shared" si="47"/>
        <v>0</v>
      </c>
      <c r="D413" s="60">
        <f>COUNTIF($K$7:K413,K413)</f>
        <v>0</v>
      </c>
      <c r="E413" s="91"/>
      <c r="F413" s="137">
        <v>44564.660914351851</v>
      </c>
      <c r="G413" s="116" t="s">
        <v>149</v>
      </c>
      <c r="H413" s="93" t="s">
        <v>189</v>
      </c>
      <c r="I413" s="126" t="s">
        <v>192</v>
      </c>
      <c r="J413" s="117">
        <v>111.01</v>
      </c>
      <c r="K413" s="108"/>
      <c r="L413" s="131"/>
      <c r="M413" s="132">
        <v>2000000</v>
      </c>
      <c r="N413" s="138" t="s">
        <v>16</v>
      </c>
      <c r="O413" s="111"/>
      <c r="P413" s="100" t="str">
        <f t="shared" si="48"/>
        <v>BNI IDR 768</v>
      </c>
      <c r="Q413" s="91"/>
      <c r="S413" s="112"/>
      <c r="T413" s="112"/>
      <c r="U413" s="113"/>
      <c r="V413" s="113"/>
      <c r="X413" s="102"/>
    </row>
    <row r="414" spans="1:24" s="101" customFormat="1" ht="30" hidden="1" x14ac:dyDescent="0.25">
      <c r="A414" s="60" t="str">
        <f t="shared" si="46"/>
        <v>6111,01</v>
      </c>
      <c r="B414" s="60">
        <f>COUNTIF($J$7:J414,J414)</f>
        <v>6</v>
      </c>
      <c r="C414" s="60" t="str">
        <f t="shared" si="47"/>
        <v>0</v>
      </c>
      <c r="D414" s="60">
        <f>COUNTIF($K$7:K414,K414)</f>
        <v>0</v>
      </c>
      <c r="E414" s="91"/>
      <c r="F414" s="137">
        <v>44565.529016203705</v>
      </c>
      <c r="G414" s="116" t="s">
        <v>149</v>
      </c>
      <c r="H414" s="93" t="s">
        <v>193</v>
      </c>
      <c r="I414" s="126" t="s">
        <v>194</v>
      </c>
      <c r="J414" s="117">
        <v>111.01</v>
      </c>
      <c r="K414" s="108"/>
      <c r="L414" s="131">
        <v>16497500</v>
      </c>
      <c r="M414" s="139"/>
      <c r="N414" s="140" t="s">
        <v>16</v>
      </c>
      <c r="O414" s="111"/>
      <c r="P414" s="100" t="str">
        <f t="shared" si="48"/>
        <v>BNI IDR 768</v>
      </c>
      <c r="Q414" s="91"/>
      <c r="S414" s="112"/>
      <c r="T414" s="112"/>
      <c r="U414" s="113"/>
      <c r="V414" s="113"/>
      <c r="X414" s="102"/>
    </row>
    <row r="415" spans="1:24" s="101" customFormat="1" ht="30" hidden="1" x14ac:dyDescent="0.25">
      <c r="A415" s="60" t="str">
        <f t="shared" si="46"/>
        <v>7111,01</v>
      </c>
      <c r="B415" s="60">
        <f>COUNTIF($J$7:J415,J415)</f>
        <v>7</v>
      </c>
      <c r="C415" s="60" t="str">
        <f t="shared" si="47"/>
        <v>0</v>
      </c>
      <c r="D415" s="60">
        <f>COUNTIF($K$7:K415,K415)</f>
        <v>0</v>
      </c>
      <c r="E415" s="91"/>
      <c r="F415" s="137">
        <v>44565.529016203705</v>
      </c>
      <c r="G415" s="116" t="s">
        <v>149</v>
      </c>
      <c r="H415" s="93" t="s">
        <v>195</v>
      </c>
      <c r="I415" s="126" t="s">
        <v>194</v>
      </c>
      <c r="J415" s="117">
        <v>111.01</v>
      </c>
      <c r="K415" s="108"/>
      <c r="L415" s="131">
        <v>42494074</v>
      </c>
      <c r="M415" s="139"/>
      <c r="N415" s="140" t="s">
        <v>16</v>
      </c>
      <c r="O415" s="111"/>
      <c r="P415" s="100" t="str">
        <f t="shared" si="48"/>
        <v>BNI IDR 768</v>
      </c>
      <c r="Q415" s="91"/>
      <c r="S415" s="112"/>
      <c r="T415" s="112"/>
      <c r="U415" s="113"/>
      <c r="V415" s="113"/>
      <c r="X415" s="102"/>
    </row>
    <row r="416" spans="1:24" s="101" customFormat="1" ht="30" hidden="1" x14ac:dyDescent="0.25">
      <c r="A416" s="60" t="str">
        <f t="shared" si="46"/>
        <v>114112</v>
      </c>
      <c r="B416" s="60">
        <f>COUNTIF($J$7:J416,J416)</f>
        <v>114</v>
      </c>
      <c r="C416" s="60" t="str">
        <f t="shared" si="47"/>
        <v>29112,4</v>
      </c>
      <c r="D416" s="60">
        <f>COUNTIF($K$7:K416,K416)</f>
        <v>29</v>
      </c>
      <c r="E416" s="91"/>
      <c r="F416" s="137">
        <v>44565.529016203705</v>
      </c>
      <c r="G416" s="141" t="s">
        <v>149</v>
      </c>
      <c r="H416" s="93" t="s">
        <v>193</v>
      </c>
      <c r="I416" s="126" t="s">
        <v>194</v>
      </c>
      <c r="J416" s="115">
        <v>112</v>
      </c>
      <c r="K416" s="108">
        <v>112.4</v>
      </c>
      <c r="L416" s="131"/>
      <c r="M416" s="132">
        <v>16497500</v>
      </c>
      <c r="N416" s="142" t="s">
        <v>16</v>
      </c>
      <c r="O416" s="111"/>
      <c r="P416" s="100" t="str">
        <f t="shared" si="48"/>
        <v>Piutang Usaha</v>
      </c>
      <c r="Q416" s="91"/>
      <c r="S416" s="112"/>
      <c r="T416" s="112"/>
      <c r="U416" s="113"/>
      <c r="V416" s="113"/>
      <c r="X416" s="102"/>
    </row>
    <row r="417" spans="1:24" s="101" customFormat="1" ht="30" hidden="1" x14ac:dyDescent="0.25">
      <c r="A417" s="60" t="str">
        <f t="shared" si="46"/>
        <v>115112</v>
      </c>
      <c r="B417" s="60">
        <f>COUNTIF($J$7:J417,J417)</f>
        <v>115</v>
      </c>
      <c r="C417" s="60" t="str">
        <f t="shared" si="47"/>
        <v>30112,4</v>
      </c>
      <c r="D417" s="60">
        <f>COUNTIF($K$7:K417,K417)</f>
        <v>30</v>
      </c>
      <c r="E417" s="91"/>
      <c r="F417" s="137">
        <v>44565.529016203705</v>
      </c>
      <c r="G417" s="141" t="s">
        <v>149</v>
      </c>
      <c r="H417" s="93" t="s">
        <v>195</v>
      </c>
      <c r="I417" s="126" t="s">
        <v>194</v>
      </c>
      <c r="J417" s="115">
        <v>112</v>
      </c>
      <c r="K417" s="108">
        <v>112.4</v>
      </c>
      <c r="L417" s="131"/>
      <c r="M417" s="132">
        <v>42494074</v>
      </c>
      <c r="N417" s="142" t="s">
        <v>16</v>
      </c>
      <c r="O417" s="111"/>
      <c r="P417" s="100" t="str">
        <f t="shared" si="48"/>
        <v>Piutang Usaha</v>
      </c>
      <c r="Q417" s="91"/>
      <c r="S417" s="112"/>
      <c r="T417" s="112"/>
      <c r="U417" s="113"/>
      <c r="V417" s="113"/>
      <c r="X417" s="102"/>
    </row>
    <row r="418" spans="1:24" s="101" customFormat="1" hidden="1" x14ac:dyDescent="0.25">
      <c r="A418" s="60" t="str">
        <f t="shared" si="46"/>
        <v>2111,03</v>
      </c>
      <c r="B418" s="60">
        <f>COUNTIF($J$7:J418,J418)</f>
        <v>2</v>
      </c>
      <c r="C418" s="60" t="str">
        <f t="shared" si="47"/>
        <v>0</v>
      </c>
      <c r="D418" s="60">
        <f>COUNTIF($K$7:K418,K418)</f>
        <v>0</v>
      </c>
      <c r="E418" s="91"/>
      <c r="F418" s="137">
        <v>44566.401018518518</v>
      </c>
      <c r="G418" s="116" t="s">
        <v>149</v>
      </c>
      <c r="H418" s="93" t="s">
        <v>196</v>
      </c>
      <c r="I418" s="126" t="s">
        <v>197</v>
      </c>
      <c r="J418" s="117">
        <v>111.03</v>
      </c>
      <c r="K418" s="108"/>
      <c r="L418" s="131">
        <v>700000000</v>
      </c>
      <c r="M418" s="132"/>
      <c r="N418" s="142" t="s">
        <v>16</v>
      </c>
      <c r="O418" s="111"/>
      <c r="P418" s="100" t="str">
        <f t="shared" si="48"/>
        <v>BCA 8607</v>
      </c>
      <c r="Q418" s="91"/>
      <c r="S418" s="112"/>
      <c r="T418" s="112"/>
      <c r="U418" s="113"/>
      <c r="V418" s="113"/>
      <c r="X418" s="102"/>
    </row>
    <row r="419" spans="1:24" s="101" customFormat="1" hidden="1" x14ac:dyDescent="0.25">
      <c r="A419" s="60" t="str">
        <f t="shared" si="46"/>
        <v>2810,01</v>
      </c>
      <c r="B419" s="60">
        <f>COUNTIF($J$7:J419,J419)</f>
        <v>2</v>
      </c>
      <c r="C419" s="60" t="str">
        <f t="shared" si="47"/>
        <v>0</v>
      </c>
      <c r="D419" s="60">
        <f>COUNTIF($K$7:K419,K419)</f>
        <v>0</v>
      </c>
      <c r="E419" s="91"/>
      <c r="F419" s="137">
        <v>44566.401018518518</v>
      </c>
      <c r="G419" s="116" t="s">
        <v>149</v>
      </c>
      <c r="H419" s="93" t="s">
        <v>196</v>
      </c>
      <c r="I419" s="126" t="s">
        <v>198</v>
      </c>
      <c r="J419" s="117">
        <v>810.01</v>
      </c>
      <c r="K419" s="108"/>
      <c r="L419" s="131">
        <v>30000</v>
      </c>
      <c r="M419" s="132"/>
      <c r="N419" s="142" t="s">
        <v>16</v>
      </c>
      <c r="O419" s="111"/>
      <c r="P419" s="100" t="str">
        <f t="shared" si="48"/>
        <v>Biaya Admin Transfer dan Rek</v>
      </c>
      <c r="Q419" s="91"/>
      <c r="S419" s="112"/>
      <c r="T419" s="112"/>
      <c r="U419" s="113"/>
      <c r="V419" s="113"/>
      <c r="X419" s="102"/>
    </row>
    <row r="420" spans="1:24" s="101" customFormat="1" hidden="1" x14ac:dyDescent="0.25">
      <c r="A420" s="60" t="str">
        <f t="shared" si="46"/>
        <v>8111,01</v>
      </c>
      <c r="B420" s="60">
        <f>COUNTIF($J$7:J420,J420)</f>
        <v>8</v>
      </c>
      <c r="C420" s="60" t="str">
        <f t="shared" si="47"/>
        <v>0</v>
      </c>
      <c r="D420" s="60">
        <f>COUNTIF($K$7:K420,K420)</f>
        <v>0</v>
      </c>
      <c r="E420" s="91"/>
      <c r="F420" s="137">
        <v>44566.401018518518</v>
      </c>
      <c r="G420" s="116" t="s">
        <v>149</v>
      </c>
      <c r="H420" s="93" t="s">
        <v>196</v>
      </c>
      <c r="I420" s="126" t="s">
        <v>197</v>
      </c>
      <c r="J420" s="117">
        <v>111.01</v>
      </c>
      <c r="K420" s="108"/>
      <c r="L420" s="131"/>
      <c r="M420" s="132">
        <v>700000000</v>
      </c>
      <c r="N420" s="142" t="s">
        <v>16</v>
      </c>
      <c r="O420" s="111"/>
      <c r="P420" s="100" t="str">
        <f t="shared" si="48"/>
        <v>BNI IDR 768</v>
      </c>
      <c r="Q420" s="91"/>
      <c r="S420" s="112"/>
      <c r="T420" s="112"/>
      <c r="U420" s="113"/>
      <c r="V420" s="113"/>
      <c r="X420" s="102"/>
    </row>
    <row r="421" spans="1:24" s="101" customFormat="1" hidden="1" x14ac:dyDescent="0.25">
      <c r="A421" s="60" t="str">
        <f t="shared" si="46"/>
        <v>9111,01</v>
      </c>
      <c r="B421" s="60">
        <f>COUNTIF($J$7:J421,J421)</f>
        <v>9</v>
      </c>
      <c r="C421" s="60" t="str">
        <f t="shared" si="47"/>
        <v>0</v>
      </c>
      <c r="D421" s="60">
        <f>COUNTIF($K$7:K421,K421)</f>
        <v>0</v>
      </c>
      <c r="E421" s="91"/>
      <c r="F421" s="137">
        <v>44566.401018518518</v>
      </c>
      <c r="G421" s="116" t="s">
        <v>149</v>
      </c>
      <c r="H421" s="93" t="s">
        <v>196</v>
      </c>
      <c r="I421" s="126" t="s">
        <v>198</v>
      </c>
      <c r="J421" s="117">
        <v>111.01</v>
      </c>
      <c r="K421" s="108"/>
      <c r="L421" s="131"/>
      <c r="M421" s="132">
        <v>30000</v>
      </c>
      <c r="N421" s="142" t="s">
        <v>16</v>
      </c>
      <c r="O421" s="111"/>
      <c r="P421" s="100" t="str">
        <f t="shared" si="48"/>
        <v>BNI IDR 768</v>
      </c>
      <c r="Q421" s="91"/>
      <c r="S421" s="112"/>
      <c r="T421" s="112"/>
      <c r="U421" s="113"/>
      <c r="V421" s="113"/>
      <c r="X421" s="102"/>
    </row>
    <row r="422" spans="1:24" s="101" customFormat="1" ht="30" hidden="1" x14ac:dyDescent="0.25">
      <c r="A422" s="60" t="str">
        <f t="shared" si="46"/>
        <v>10111,01</v>
      </c>
      <c r="B422" s="60">
        <f>COUNTIF($J$7:J422,J422)</f>
        <v>10</v>
      </c>
      <c r="C422" s="60" t="str">
        <f t="shared" si="47"/>
        <v>0</v>
      </c>
      <c r="D422" s="60">
        <f>COUNTIF($K$7:K422,K422)</f>
        <v>0</v>
      </c>
      <c r="E422" s="91"/>
      <c r="F422" s="137">
        <v>44566.571851851855</v>
      </c>
      <c r="G422" s="116" t="s">
        <v>149</v>
      </c>
      <c r="H422" s="93" t="s">
        <v>199</v>
      </c>
      <c r="I422" s="126" t="s">
        <v>200</v>
      </c>
      <c r="J422" s="117">
        <v>111.01</v>
      </c>
      <c r="K422" s="108"/>
      <c r="L422" s="131">
        <v>25042684</v>
      </c>
      <c r="M422" s="139"/>
      <c r="N422" s="140" t="s">
        <v>16</v>
      </c>
      <c r="O422" s="111"/>
      <c r="P422" s="100" t="str">
        <f t="shared" si="48"/>
        <v>BNI IDR 768</v>
      </c>
      <c r="Q422" s="91"/>
      <c r="S422" s="112"/>
      <c r="T422" s="112"/>
      <c r="U422" s="113"/>
      <c r="V422" s="113"/>
      <c r="X422" s="102"/>
    </row>
    <row r="423" spans="1:24" s="101" customFormat="1" ht="30" hidden="1" x14ac:dyDescent="0.25">
      <c r="A423" s="60" t="str">
        <f t="shared" si="46"/>
        <v>116112</v>
      </c>
      <c r="B423" s="60">
        <f>COUNTIF($J$7:J423,J423)</f>
        <v>116</v>
      </c>
      <c r="C423" s="60" t="str">
        <f t="shared" si="47"/>
        <v>1112,6</v>
      </c>
      <c r="D423" s="60">
        <f>COUNTIF($K$7:K423,K423)</f>
        <v>1</v>
      </c>
      <c r="E423" s="91"/>
      <c r="F423" s="137">
        <v>44566.571851851855</v>
      </c>
      <c r="G423" s="141" t="s">
        <v>149</v>
      </c>
      <c r="H423" s="93" t="s">
        <v>199</v>
      </c>
      <c r="I423" s="126" t="s">
        <v>200</v>
      </c>
      <c r="J423" s="115">
        <v>112</v>
      </c>
      <c r="K423" s="108">
        <v>112.6</v>
      </c>
      <c r="L423" s="131"/>
      <c r="M423" s="132">
        <v>25042684</v>
      </c>
      <c r="N423" s="142" t="s">
        <v>16</v>
      </c>
      <c r="O423" s="111"/>
      <c r="P423" s="100" t="str">
        <f t="shared" si="48"/>
        <v>Piutang Usaha</v>
      </c>
      <c r="Q423" s="91"/>
      <c r="S423" s="112"/>
      <c r="T423" s="112"/>
      <c r="U423" s="113"/>
      <c r="V423" s="113"/>
      <c r="X423" s="102"/>
    </row>
    <row r="424" spans="1:24" s="101" customFormat="1" x14ac:dyDescent="0.25">
      <c r="A424" s="60" t="str">
        <f t="shared" si="46"/>
        <v>3111,03</v>
      </c>
      <c r="B424" s="60">
        <f>COUNTIF($J$7:J424,J424)</f>
        <v>3</v>
      </c>
      <c r="C424" s="60" t="str">
        <f t="shared" si="47"/>
        <v>0</v>
      </c>
      <c r="D424" s="60">
        <f>COUNTIF($K$7:K424,K424)</f>
        <v>0</v>
      </c>
      <c r="E424" s="91"/>
      <c r="F424" s="137">
        <v>44567.45003472222</v>
      </c>
      <c r="G424" s="116" t="s">
        <v>149</v>
      </c>
      <c r="H424" s="93" t="s">
        <v>201</v>
      </c>
      <c r="I424" s="126" t="s">
        <v>184</v>
      </c>
      <c r="J424" s="117">
        <v>111.03</v>
      </c>
      <c r="K424" s="108"/>
      <c r="L424" s="143">
        <v>650000000</v>
      </c>
      <c r="M424" s="132"/>
      <c r="N424" s="142" t="s">
        <v>16</v>
      </c>
      <c r="O424" s="111"/>
      <c r="P424" s="100" t="str">
        <f t="shared" si="48"/>
        <v>BCA 8607</v>
      </c>
      <c r="Q424" s="91"/>
      <c r="S424" s="112"/>
      <c r="T424" s="112"/>
      <c r="U424" s="113"/>
      <c r="V424" s="113"/>
      <c r="X424" s="102"/>
    </row>
    <row r="425" spans="1:24" s="101" customFormat="1" x14ac:dyDescent="0.25">
      <c r="A425" s="60" t="str">
        <f t="shared" si="46"/>
        <v>3810,01</v>
      </c>
      <c r="B425" s="60">
        <f>COUNTIF($J$7:J425,J425)</f>
        <v>3</v>
      </c>
      <c r="C425" s="60" t="str">
        <f t="shared" si="47"/>
        <v>0</v>
      </c>
      <c r="D425" s="60">
        <f>COUNTIF($K$7:K425,K425)</f>
        <v>0</v>
      </c>
      <c r="E425" s="91"/>
      <c r="F425" s="137">
        <v>44567.45003472222</v>
      </c>
      <c r="G425" s="116" t="s">
        <v>149</v>
      </c>
      <c r="H425" s="93" t="s">
        <v>201</v>
      </c>
      <c r="I425" s="126" t="s">
        <v>198</v>
      </c>
      <c r="J425" s="117">
        <v>810.01</v>
      </c>
      <c r="K425" s="108"/>
      <c r="L425" s="131">
        <v>2900</v>
      </c>
      <c r="M425" s="132"/>
      <c r="N425" s="142" t="s">
        <v>16</v>
      </c>
      <c r="O425" s="111"/>
      <c r="P425" s="100" t="str">
        <f t="shared" si="48"/>
        <v>Biaya Admin Transfer dan Rek</v>
      </c>
      <c r="Q425" s="91"/>
      <c r="S425" s="112"/>
      <c r="T425" s="112"/>
      <c r="U425" s="113"/>
      <c r="V425" s="113"/>
      <c r="X425" s="102"/>
    </row>
    <row r="426" spans="1:24" s="157" customFormat="1" x14ac:dyDescent="0.25">
      <c r="A426" s="144" t="str">
        <f t="shared" si="46"/>
        <v>1220,01</v>
      </c>
      <c r="B426" s="144">
        <f>COUNTIF($J$7:J426,J426)</f>
        <v>1</v>
      </c>
      <c r="C426" s="144" t="str">
        <f t="shared" si="47"/>
        <v>0</v>
      </c>
      <c r="D426" s="144">
        <f>COUNTIF($K$7:K426,K426)</f>
        <v>0</v>
      </c>
      <c r="E426" s="145"/>
      <c r="F426" s="146">
        <v>44567.450069444443</v>
      </c>
      <c r="G426" s="147" t="s">
        <v>149</v>
      </c>
      <c r="H426" s="148" t="s">
        <v>202</v>
      </c>
      <c r="I426" s="149" t="s">
        <v>203</v>
      </c>
      <c r="J426" s="150">
        <v>220.01</v>
      </c>
      <c r="K426" s="151"/>
      <c r="L426" s="152">
        <v>10678000</v>
      </c>
      <c r="M426" s="153"/>
      <c r="N426" s="154" t="s">
        <v>204</v>
      </c>
      <c r="O426" s="155" t="s">
        <v>205</v>
      </c>
      <c r="P426" s="156" t="str">
        <f t="shared" si="48"/>
        <v>Hutang Bank/Leasing</v>
      </c>
      <c r="Q426" s="145"/>
      <c r="S426" s="158"/>
      <c r="T426" s="158"/>
      <c r="U426" s="159"/>
      <c r="V426" s="159"/>
      <c r="X426" s="160"/>
    </row>
    <row r="427" spans="1:24" s="101" customFormat="1" x14ac:dyDescent="0.25">
      <c r="A427" s="60" t="str">
        <f t="shared" si="46"/>
        <v>4810,01</v>
      </c>
      <c r="B427" s="60">
        <f>COUNTIF($J$7:J427,J427)</f>
        <v>4</v>
      </c>
      <c r="C427" s="60" t="str">
        <f t="shared" si="47"/>
        <v>0</v>
      </c>
      <c r="D427" s="60">
        <f>COUNTIF($K$7:K427,K427)</f>
        <v>0</v>
      </c>
      <c r="E427" s="91"/>
      <c r="F427" s="137">
        <v>44567</v>
      </c>
      <c r="G427" s="116" t="s">
        <v>149</v>
      </c>
      <c r="H427" s="93" t="s">
        <v>202</v>
      </c>
      <c r="I427" s="126" t="s">
        <v>198</v>
      </c>
      <c r="J427" s="117">
        <v>810.01</v>
      </c>
      <c r="K427" s="108"/>
      <c r="L427" s="131">
        <v>6500</v>
      </c>
      <c r="M427" s="132"/>
      <c r="N427" s="142" t="s">
        <v>16</v>
      </c>
      <c r="O427" s="111"/>
      <c r="P427" s="100" t="str">
        <f t="shared" si="48"/>
        <v>Biaya Admin Transfer dan Rek</v>
      </c>
      <c r="Q427" s="91"/>
      <c r="S427" s="112"/>
      <c r="T427" s="112"/>
      <c r="U427" s="113"/>
      <c r="V427" s="113"/>
      <c r="X427" s="102"/>
    </row>
    <row r="428" spans="1:24" s="101" customFormat="1" x14ac:dyDescent="0.25">
      <c r="A428" s="60" t="str">
        <f t="shared" si="46"/>
        <v>11111,01</v>
      </c>
      <c r="B428" s="60">
        <f>COUNTIF($J$7:J428,J428)</f>
        <v>11</v>
      </c>
      <c r="C428" s="60" t="str">
        <f t="shared" si="47"/>
        <v>0</v>
      </c>
      <c r="D428" s="60">
        <f>COUNTIF($K$7:K428,K428)</f>
        <v>0</v>
      </c>
      <c r="E428" s="91"/>
      <c r="F428" s="137">
        <v>44567.45003472222</v>
      </c>
      <c r="G428" s="116" t="s">
        <v>149</v>
      </c>
      <c r="H428" s="93" t="s">
        <v>201</v>
      </c>
      <c r="I428" s="126" t="s">
        <v>184</v>
      </c>
      <c r="J428" s="117">
        <v>111.01</v>
      </c>
      <c r="K428" s="108"/>
      <c r="L428" s="131"/>
      <c r="M428" s="132">
        <v>650000000</v>
      </c>
      <c r="N428" s="142" t="s">
        <v>16</v>
      </c>
      <c r="O428" s="111"/>
      <c r="P428" s="100" t="str">
        <f t="shared" si="48"/>
        <v>BNI IDR 768</v>
      </c>
      <c r="Q428" s="91"/>
      <c r="S428" s="112"/>
      <c r="T428" s="112"/>
      <c r="U428" s="113"/>
      <c r="V428" s="113"/>
      <c r="X428" s="102"/>
    </row>
    <row r="429" spans="1:24" s="101" customFormat="1" x14ac:dyDescent="0.25">
      <c r="A429" s="60" t="str">
        <f t="shared" si="46"/>
        <v>12111,01</v>
      </c>
      <c r="B429" s="60">
        <f>COUNTIF($J$7:J429,J429)</f>
        <v>12</v>
      </c>
      <c r="C429" s="60" t="str">
        <f t="shared" si="47"/>
        <v>0</v>
      </c>
      <c r="D429" s="60">
        <f>COUNTIF($K$7:K429,K429)</f>
        <v>0</v>
      </c>
      <c r="E429" s="91"/>
      <c r="F429" s="137">
        <v>44567.45003472222</v>
      </c>
      <c r="G429" s="116" t="s">
        <v>149</v>
      </c>
      <c r="H429" s="93" t="s">
        <v>201</v>
      </c>
      <c r="I429" s="126" t="s">
        <v>198</v>
      </c>
      <c r="J429" s="117">
        <v>111.01</v>
      </c>
      <c r="K429" s="108"/>
      <c r="L429" s="131"/>
      <c r="M429" s="132">
        <v>2900</v>
      </c>
      <c r="N429" s="142" t="s">
        <v>16</v>
      </c>
      <c r="O429" s="111"/>
      <c r="P429" s="100" t="str">
        <f t="shared" si="48"/>
        <v>BNI IDR 768</v>
      </c>
      <c r="Q429" s="91"/>
      <c r="S429" s="112"/>
      <c r="T429" s="112"/>
      <c r="U429" s="113"/>
      <c r="V429" s="113"/>
      <c r="X429" s="102"/>
    </row>
    <row r="430" spans="1:24" s="157" customFormat="1" x14ac:dyDescent="0.25">
      <c r="A430" s="144" t="str">
        <f t="shared" si="46"/>
        <v>13111,01</v>
      </c>
      <c r="B430" s="144">
        <f>COUNTIF($J$7:J430,J430)</f>
        <v>13</v>
      </c>
      <c r="C430" s="144" t="str">
        <f t="shared" si="47"/>
        <v>0</v>
      </c>
      <c r="D430" s="144">
        <f>COUNTIF($K$7:K430,K430)</f>
        <v>0</v>
      </c>
      <c r="E430" s="145"/>
      <c r="F430" s="146">
        <v>44567.450069444443</v>
      </c>
      <c r="G430" s="147" t="s">
        <v>149</v>
      </c>
      <c r="H430" s="148" t="s">
        <v>202</v>
      </c>
      <c r="I430" s="149" t="s">
        <v>203</v>
      </c>
      <c r="J430" s="150">
        <v>111.01</v>
      </c>
      <c r="K430" s="151"/>
      <c r="L430" s="152"/>
      <c r="M430" s="153">
        <v>10678000</v>
      </c>
      <c r="N430" s="154" t="s">
        <v>204</v>
      </c>
      <c r="O430" s="155" t="s">
        <v>205</v>
      </c>
      <c r="P430" s="156" t="str">
        <f t="shared" si="48"/>
        <v>BNI IDR 768</v>
      </c>
      <c r="Q430" s="145"/>
      <c r="S430" s="158"/>
      <c r="T430" s="158"/>
      <c r="U430" s="159"/>
      <c r="V430" s="159"/>
      <c r="X430" s="160"/>
    </row>
    <row r="431" spans="1:24" s="101" customFormat="1" x14ac:dyDescent="0.25">
      <c r="A431" s="60" t="str">
        <f t="shared" si="46"/>
        <v>14111,01</v>
      </c>
      <c r="B431" s="60">
        <f>COUNTIF($J$7:J431,J431)</f>
        <v>14</v>
      </c>
      <c r="C431" s="60" t="str">
        <f t="shared" si="47"/>
        <v>0</v>
      </c>
      <c r="D431" s="60">
        <f>COUNTIF($K$7:K431,K431)</f>
        <v>0</v>
      </c>
      <c r="E431" s="91"/>
      <c r="F431" s="137">
        <v>44567</v>
      </c>
      <c r="G431" s="116" t="s">
        <v>149</v>
      </c>
      <c r="H431" s="93" t="s">
        <v>202</v>
      </c>
      <c r="I431" s="126" t="s">
        <v>198</v>
      </c>
      <c r="J431" s="117">
        <v>111.01</v>
      </c>
      <c r="K431" s="108"/>
      <c r="L431" s="131"/>
      <c r="M431" s="132">
        <v>6500</v>
      </c>
      <c r="N431" s="142" t="s">
        <v>16</v>
      </c>
      <c r="O431" s="111"/>
      <c r="P431" s="100" t="str">
        <f t="shared" si="48"/>
        <v>BNI IDR 768</v>
      </c>
      <c r="Q431" s="91"/>
      <c r="S431" s="112"/>
      <c r="T431" s="112"/>
      <c r="U431" s="113"/>
      <c r="V431" s="113"/>
      <c r="X431" s="102"/>
    </row>
    <row r="432" spans="1:24" s="101" customFormat="1" ht="30" x14ac:dyDescent="0.25">
      <c r="A432" s="60" t="str">
        <f t="shared" si="46"/>
        <v>15111,01</v>
      </c>
      <c r="B432" s="60">
        <f>COUNTIF($J$7:J432,J432)</f>
        <v>15</v>
      </c>
      <c r="C432" s="60" t="str">
        <f t="shared" si="47"/>
        <v>0</v>
      </c>
      <c r="D432" s="60">
        <f>COUNTIF($K$7:K432,K432)</f>
        <v>0</v>
      </c>
      <c r="E432" s="91"/>
      <c r="F432" s="137">
        <v>44567.457997685182</v>
      </c>
      <c r="G432" s="116" t="s">
        <v>149</v>
      </c>
      <c r="H432" s="93" t="s">
        <v>206</v>
      </c>
      <c r="I432" s="126" t="s">
        <v>194</v>
      </c>
      <c r="J432" s="117">
        <v>111.01</v>
      </c>
      <c r="K432" s="108"/>
      <c r="L432" s="131">
        <v>6069500</v>
      </c>
      <c r="M432" s="139"/>
      <c r="N432" s="140" t="s">
        <v>16</v>
      </c>
      <c r="O432" s="111"/>
      <c r="P432" s="100" t="str">
        <f t="shared" si="48"/>
        <v>BNI IDR 768</v>
      </c>
      <c r="Q432" s="91"/>
      <c r="S432" s="112"/>
      <c r="T432" s="112"/>
      <c r="U432" s="113"/>
      <c r="V432" s="113"/>
      <c r="X432" s="102"/>
    </row>
    <row r="433" spans="1:24" s="101" customFormat="1" ht="30" x14ac:dyDescent="0.25">
      <c r="A433" s="60" t="str">
        <f t="shared" si="46"/>
        <v>117112</v>
      </c>
      <c r="B433" s="60">
        <f>COUNTIF($J$7:J433,J433)</f>
        <v>117</v>
      </c>
      <c r="C433" s="60" t="str">
        <f t="shared" si="47"/>
        <v>31112,4</v>
      </c>
      <c r="D433" s="60">
        <f>COUNTIF($K$7:K433,K433)</f>
        <v>31</v>
      </c>
      <c r="E433" s="91"/>
      <c r="F433" s="137">
        <v>44567.457997685182</v>
      </c>
      <c r="G433" s="141" t="s">
        <v>149</v>
      </c>
      <c r="H433" s="93" t="s">
        <v>206</v>
      </c>
      <c r="I433" s="126" t="s">
        <v>194</v>
      </c>
      <c r="J433" s="115">
        <v>112</v>
      </c>
      <c r="K433" s="108">
        <v>112.4</v>
      </c>
      <c r="L433" s="131"/>
      <c r="M433" s="132">
        <v>6069500</v>
      </c>
      <c r="N433" s="142" t="s">
        <v>16</v>
      </c>
      <c r="O433" s="111"/>
      <c r="P433" s="100" t="str">
        <f t="shared" si="48"/>
        <v>Piutang Usaha</v>
      </c>
      <c r="Q433" s="91"/>
      <c r="S433" s="112"/>
      <c r="T433" s="112"/>
      <c r="U433" s="113"/>
      <c r="V433" s="113"/>
      <c r="X433" s="102"/>
    </row>
    <row r="434" spans="1:24" s="101" customFormat="1" x14ac:dyDescent="0.25">
      <c r="A434" s="60" t="str">
        <f t="shared" si="46"/>
        <v>16111,01</v>
      </c>
      <c r="B434" s="60">
        <f>COUNTIF($J$7:J434,J434)</f>
        <v>16</v>
      </c>
      <c r="C434" s="60" t="str">
        <f t="shared" si="47"/>
        <v>0</v>
      </c>
      <c r="D434" s="60">
        <f>COUNTIF($K$7:K434,K434)</f>
        <v>0</v>
      </c>
      <c r="E434" s="91"/>
      <c r="F434" s="137">
        <v>44567.565312500003</v>
      </c>
      <c r="G434" s="116" t="s">
        <v>149</v>
      </c>
      <c r="H434" s="93" t="s">
        <v>207</v>
      </c>
      <c r="I434" s="126" t="s">
        <v>208</v>
      </c>
      <c r="J434" s="117">
        <v>111.01</v>
      </c>
      <c r="K434" s="108"/>
      <c r="L434" s="131">
        <v>76547600</v>
      </c>
      <c r="M434" s="132"/>
      <c r="N434" s="142" t="s">
        <v>16</v>
      </c>
      <c r="O434" s="111"/>
      <c r="P434" s="100" t="str">
        <f t="shared" si="48"/>
        <v>BNI IDR 768</v>
      </c>
      <c r="Q434" s="91"/>
      <c r="S434" s="112"/>
      <c r="T434" s="112"/>
      <c r="U434" s="113"/>
      <c r="V434" s="113"/>
      <c r="X434" s="102"/>
    </row>
    <row r="435" spans="1:24" s="101" customFormat="1" x14ac:dyDescent="0.25">
      <c r="A435" s="60" t="str">
        <f t="shared" si="46"/>
        <v>118112</v>
      </c>
      <c r="B435" s="60">
        <f>COUNTIF($J$7:J435,J435)</f>
        <v>118</v>
      </c>
      <c r="C435" s="60" t="str">
        <f t="shared" si="47"/>
        <v>8112,45</v>
      </c>
      <c r="D435" s="60">
        <f>COUNTIF($K$7:K435,K435)</f>
        <v>8</v>
      </c>
      <c r="E435" s="91"/>
      <c r="F435" s="137">
        <v>44567.565312500003</v>
      </c>
      <c r="G435" s="141" t="s">
        <v>149</v>
      </c>
      <c r="H435" s="93" t="s">
        <v>207</v>
      </c>
      <c r="I435" s="126" t="s">
        <v>208</v>
      </c>
      <c r="J435" s="115">
        <v>112</v>
      </c>
      <c r="K435" s="108">
        <v>112.45</v>
      </c>
      <c r="L435" s="131"/>
      <c r="M435" s="132">
        <v>76547600</v>
      </c>
      <c r="N435" s="142" t="s">
        <v>16</v>
      </c>
      <c r="O435" s="111"/>
      <c r="P435" s="100" t="str">
        <f t="shared" si="48"/>
        <v>Piutang Usaha</v>
      </c>
      <c r="Q435" s="91"/>
      <c r="S435" s="112"/>
      <c r="T435" s="112"/>
      <c r="U435" s="113"/>
      <c r="V435" s="113"/>
      <c r="X435" s="102"/>
    </row>
    <row r="436" spans="1:24" s="101" customFormat="1" x14ac:dyDescent="0.25">
      <c r="A436" s="60" t="str">
        <f t="shared" si="46"/>
        <v>1610,05</v>
      </c>
      <c r="B436" s="60">
        <f>COUNTIF($J$7:J436,J436)</f>
        <v>1</v>
      </c>
      <c r="C436" s="60" t="str">
        <f t="shared" si="47"/>
        <v>0</v>
      </c>
      <c r="D436" s="60">
        <f>COUNTIF($K$7:K436,K436)</f>
        <v>0</v>
      </c>
      <c r="E436" s="91"/>
      <c r="F436" s="137">
        <v>44567.599814814814</v>
      </c>
      <c r="G436" s="116" t="s">
        <v>149</v>
      </c>
      <c r="H436" s="93" t="s">
        <v>209</v>
      </c>
      <c r="I436" s="126" t="s">
        <v>210</v>
      </c>
      <c r="J436" s="123">
        <v>610.04999999999995</v>
      </c>
      <c r="K436" s="108"/>
      <c r="L436" s="131">
        <v>503098</v>
      </c>
      <c r="M436" s="132"/>
      <c r="N436" s="142" t="s">
        <v>16</v>
      </c>
      <c r="O436" s="111"/>
      <c r="P436" s="100" t="str">
        <f t="shared" si="48"/>
        <v>Biaya Listrik</v>
      </c>
      <c r="Q436" s="91"/>
      <c r="S436" s="112"/>
      <c r="T436" s="112"/>
      <c r="U436" s="113"/>
      <c r="V436" s="113"/>
      <c r="X436" s="102"/>
    </row>
    <row r="437" spans="1:24" s="101" customFormat="1" x14ac:dyDescent="0.25">
      <c r="A437" s="60" t="str">
        <f t="shared" si="46"/>
        <v>2610,05</v>
      </c>
      <c r="B437" s="60">
        <f>COUNTIF($J$7:J437,J437)</f>
        <v>2</v>
      </c>
      <c r="C437" s="60" t="str">
        <f t="shared" si="47"/>
        <v>0</v>
      </c>
      <c r="D437" s="60">
        <f>COUNTIF($K$7:K437,K437)</f>
        <v>0</v>
      </c>
      <c r="E437" s="91"/>
      <c r="F437" s="137">
        <v>44567.599826388891</v>
      </c>
      <c r="G437" s="116" t="s">
        <v>149</v>
      </c>
      <c r="H437" s="93" t="s">
        <v>211</v>
      </c>
      <c r="I437" s="126" t="s">
        <v>212</v>
      </c>
      <c r="J437" s="123">
        <v>610.04999999999995</v>
      </c>
      <c r="K437" s="108"/>
      <c r="L437" s="131">
        <v>1002839</v>
      </c>
      <c r="M437" s="132"/>
      <c r="N437" s="142" t="s">
        <v>16</v>
      </c>
      <c r="O437" s="111"/>
      <c r="P437" s="100" t="str">
        <f t="shared" si="48"/>
        <v>Biaya Listrik</v>
      </c>
      <c r="Q437" s="91"/>
      <c r="S437" s="112"/>
      <c r="T437" s="112"/>
      <c r="U437" s="113"/>
      <c r="V437" s="113"/>
      <c r="X437" s="102"/>
    </row>
    <row r="438" spans="1:24" s="101" customFormat="1" x14ac:dyDescent="0.25">
      <c r="A438" s="60" t="str">
        <f t="shared" si="46"/>
        <v>1610,15</v>
      </c>
      <c r="B438" s="60">
        <f>COUNTIF($J$7:J438,J438)</f>
        <v>1</v>
      </c>
      <c r="C438" s="60" t="str">
        <f t="shared" si="47"/>
        <v>0</v>
      </c>
      <c r="D438" s="60">
        <f>COUNTIF($K$7:K438,K438)</f>
        <v>0</v>
      </c>
      <c r="E438" s="91"/>
      <c r="F438" s="137">
        <v>44567.599826388891</v>
      </c>
      <c r="G438" s="116" t="s">
        <v>149</v>
      </c>
      <c r="H438" s="93" t="s">
        <v>213</v>
      </c>
      <c r="I438" s="126" t="s">
        <v>214</v>
      </c>
      <c r="J438" s="123">
        <v>610.15</v>
      </c>
      <c r="K438" s="108"/>
      <c r="L438" s="131">
        <v>1000000</v>
      </c>
      <c r="M438" s="132"/>
      <c r="N438" s="142" t="s">
        <v>16</v>
      </c>
      <c r="O438" s="111"/>
      <c r="P438" s="100" t="str">
        <f t="shared" si="48"/>
        <v>Biaya Pemeliharaan Lingkungan (Keamanan dan Kebersihan)</v>
      </c>
      <c r="Q438" s="91"/>
      <c r="S438" s="112"/>
      <c r="T438" s="112"/>
      <c r="U438" s="113"/>
      <c r="V438" s="113"/>
      <c r="X438" s="102"/>
    </row>
    <row r="439" spans="1:24" s="101" customFormat="1" x14ac:dyDescent="0.25">
      <c r="A439" s="60" t="str">
        <f t="shared" si="46"/>
        <v>1610,07</v>
      </c>
      <c r="B439" s="60">
        <f>COUNTIF($J$7:J439,J439)</f>
        <v>1</v>
      </c>
      <c r="C439" s="60" t="str">
        <f t="shared" si="47"/>
        <v>0</v>
      </c>
      <c r="D439" s="60">
        <f>COUNTIF($K$7:K439,K439)</f>
        <v>0</v>
      </c>
      <c r="E439" s="91"/>
      <c r="F439" s="137">
        <v>44567.599826388891</v>
      </c>
      <c r="G439" s="116" t="s">
        <v>149</v>
      </c>
      <c r="H439" s="93" t="s">
        <v>213</v>
      </c>
      <c r="I439" s="126" t="s">
        <v>215</v>
      </c>
      <c r="J439" s="123">
        <v>610.07000000000005</v>
      </c>
      <c r="K439" s="108"/>
      <c r="L439" s="131">
        <v>114400</v>
      </c>
      <c r="M439" s="132"/>
      <c r="N439" s="142" t="s">
        <v>16</v>
      </c>
      <c r="O439" s="111"/>
      <c r="P439" s="100" t="str">
        <f t="shared" si="48"/>
        <v>Biaya PAM/Air Gedung</v>
      </c>
      <c r="Q439" s="91"/>
      <c r="S439" s="112"/>
      <c r="T439" s="112"/>
      <c r="U439" s="113"/>
      <c r="V439" s="113"/>
      <c r="X439" s="102"/>
    </row>
    <row r="440" spans="1:24" s="101" customFormat="1" x14ac:dyDescent="0.25">
      <c r="A440" s="60" t="str">
        <f t="shared" si="46"/>
        <v>2610,15</v>
      </c>
      <c r="B440" s="60">
        <f>COUNTIF($J$7:J440,J440)</f>
        <v>2</v>
      </c>
      <c r="C440" s="60" t="str">
        <f t="shared" si="47"/>
        <v>0</v>
      </c>
      <c r="D440" s="60">
        <f>COUNTIF($K$7:K440,K440)</f>
        <v>0</v>
      </c>
      <c r="E440" s="91"/>
      <c r="F440" s="137">
        <v>44567.599826388891</v>
      </c>
      <c r="G440" s="116" t="s">
        <v>149</v>
      </c>
      <c r="H440" s="93" t="s">
        <v>213</v>
      </c>
      <c r="I440" s="126" t="s">
        <v>216</v>
      </c>
      <c r="J440" s="123">
        <v>610.15</v>
      </c>
      <c r="K440" s="108"/>
      <c r="L440" s="131">
        <v>644000</v>
      </c>
      <c r="M440" s="132"/>
      <c r="N440" s="142" t="s">
        <v>16</v>
      </c>
      <c r="O440" s="111"/>
      <c r="P440" s="100" t="str">
        <f t="shared" si="48"/>
        <v>Biaya Pemeliharaan Lingkungan (Keamanan dan Kebersihan)</v>
      </c>
      <c r="Q440" s="91"/>
      <c r="S440" s="112"/>
      <c r="T440" s="112"/>
      <c r="U440" s="113"/>
      <c r="V440" s="113"/>
      <c r="X440" s="102"/>
    </row>
    <row r="441" spans="1:24" s="101" customFormat="1" x14ac:dyDescent="0.25">
      <c r="A441" s="60" t="str">
        <f t="shared" si="46"/>
        <v>2610,07</v>
      </c>
      <c r="B441" s="60">
        <f>COUNTIF($J$7:J441,J441)</f>
        <v>2</v>
      </c>
      <c r="C441" s="60" t="str">
        <f t="shared" si="47"/>
        <v>0</v>
      </c>
      <c r="D441" s="60">
        <f>COUNTIF($K$7:K441,K441)</f>
        <v>0</v>
      </c>
      <c r="E441" s="91"/>
      <c r="F441" s="137">
        <v>44567.599826388891</v>
      </c>
      <c r="G441" s="116" t="s">
        <v>149</v>
      </c>
      <c r="H441" s="93" t="s">
        <v>213</v>
      </c>
      <c r="I441" s="126" t="s">
        <v>217</v>
      </c>
      <c r="J441" s="123">
        <v>610.07000000000005</v>
      </c>
      <c r="K441" s="108"/>
      <c r="L441" s="131">
        <v>31000</v>
      </c>
      <c r="M441" s="132"/>
      <c r="N441" s="142" t="s">
        <v>16</v>
      </c>
      <c r="O441" s="111"/>
      <c r="P441" s="100" t="str">
        <f t="shared" si="48"/>
        <v>Biaya PAM/Air Gedung</v>
      </c>
      <c r="Q441" s="91"/>
      <c r="S441" s="112"/>
      <c r="T441" s="112"/>
      <c r="U441" s="113"/>
      <c r="V441" s="113"/>
      <c r="X441" s="102"/>
    </row>
    <row r="442" spans="1:24" s="101" customFormat="1" x14ac:dyDescent="0.25">
      <c r="A442" s="60" t="str">
        <f t="shared" si="46"/>
        <v>3610,15</v>
      </c>
      <c r="B442" s="60">
        <f>COUNTIF($J$7:J442,J442)</f>
        <v>3</v>
      </c>
      <c r="C442" s="60" t="str">
        <f t="shared" si="47"/>
        <v>0</v>
      </c>
      <c r="D442" s="60">
        <f>COUNTIF($K$7:K442,K442)</f>
        <v>0</v>
      </c>
      <c r="E442" s="91"/>
      <c r="F442" s="137">
        <v>44567.599826388891</v>
      </c>
      <c r="G442" s="116" t="s">
        <v>149</v>
      </c>
      <c r="H442" s="93" t="s">
        <v>213</v>
      </c>
      <c r="I442" s="126" t="s">
        <v>218</v>
      </c>
      <c r="J442" s="123">
        <v>610.15</v>
      </c>
      <c r="K442" s="108"/>
      <c r="L442" s="131">
        <v>1000000</v>
      </c>
      <c r="M442" s="132"/>
      <c r="N442" s="142" t="s">
        <v>16</v>
      </c>
      <c r="O442" s="111"/>
      <c r="P442" s="100" t="str">
        <f t="shared" si="48"/>
        <v>Biaya Pemeliharaan Lingkungan (Keamanan dan Kebersihan)</v>
      </c>
      <c r="Q442" s="91"/>
      <c r="S442" s="112"/>
      <c r="T442" s="112"/>
      <c r="U442" s="113"/>
      <c r="V442" s="113"/>
      <c r="X442" s="102"/>
    </row>
    <row r="443" spans="1:24" s="101" customFormat="1" x14ac:dyDescent="0.25">
      <c r="A443" s="60" t="str">
        <f t="shared" si="46"/>
        <v>3610,07</v>
      </c>
      <c r="B443" s="60">
        <f>COUNTIF($J$7:J443,J443)</f>
        <v>3</v>
      </c>
      <c r="C443" s="60" t="str">
        <f t="shared" si="47"/>
        <v>0</v>
      </c>
      <c r="D443" s="60">
        <f>COUNTIF($K$7:K443,K443)</f>
        <v>0</v>
      </c>
      <c r="E443" s="91"/>
      <c r="F443" s="137">
        <v>44567.599826388891</v>
      </c>
      <c r="G443" s="116" t="s">
        <v>149</v>
      </c>
      <c r="H443" s="93" t="s">
        <v>213</v>
      </c>
      <c r="I443" s="126" t="s">
        <v>219</v>
      </c>
      <c r="J443" s="123">
        <v>610.07000000000005</v>
      </c>
      <c r="K443" s="108"/>
      <c r="L443" s="131">
        <v>52800</v>
      </c>
      <c r="M443" s="132"/>
      <c r="N443" s="142" t="s">
        <v>16</v>
      </c>
      <c r="O443" s="111"/>
      <c r="P443" s="100" t="str">
        <f t="shared" si="48"/>
        <v>Biaya PAM/Air Gedung</v>
      </c>
      <c r="Q443" s="91"/>
      <c r="S443" s="112"/>
      <c r="T443" s="112"/>
      <c r="U443" s="113"/>
      <c r="V443" s="113"/>
      <c r="X443" s="102"/>
    </row>
    <row r="444" spans="1:24" s="101" customFormat="1" x14ac:dyDescent="0.25">
      <c r="A444" s="60" t="str">
        <f t="shared" si="46"/>
        <v>5810,01</v>
      </c>
      <c r="B444" s="60">
        <f>COUNTIF($J$7:J444,J444)</f>
        <v>5</v>
      </c>
      <c r="C444" s="60" t="str">
        <f t="shared" si="47"/>
        <v>0</v>
      </c>
      <c r="D444" s="60">
        <f>COUNTIF($K$7:K444,K444)</f>
        <v>0</v>
      </c>
      <c r="E444" s="91"/>
      <c r="F444" s="137">
        <v>44567</v>
      </c>
      <c r="G444" s="116" t="s">
        <v>149</v>
      </c>
      <c r="H444" s="93" t="s">
        <v>213</v>
      </c>
      <c r="I444" s="126" t="s">
        <v>198</v>
      </c>
      <c r="J444" s="117">
        <v>810.01</v>
      </c>
      <c r="K444" s="108"/>
      <c r="L444" s="131">
        <v>6500</v>
      </c>
      <c r="M444" s="132"/>
      <c r="N444" s="142" t="s">
        <v>16</v>
      </c>
      <c r="O444" s="111"/>
      <c r="P444" s="100" t="str">
        <f t="shared" si="48"/>
        <v>Biaya Admin Transfer dan Rek</v>
      </c>
      <c r="Q444" s="91"/>
      <c r="S444" s="112"/>
      <c r="T444" s="112"/>
      <c r="U444" s="113"/>
      <c r="V444" s="113"/>
      <c r="X444" s="102"/>
    </row>
    <row r="445" spans="1:24" s="101" customFormat="1" ht="30" x14ac:dyDescent="0.25">
      <c r="A445" s="60" t="str">
        <f t="shared" si="46"/>
        <v>4610,07</v>
      </c>
      <c r="B445" s="60">
        <f>COUNTIF($J$7:J445,J445)</f>
        <v>4</v>
      </c>
      <c r="C445" s="60" t="str">
        <f t="shared" si="47"/>
        <v>0</v>
      </c>
      <c r="D445" s="60">
        <f>COUNTIF($K$7:K445,K445)</f>
        <v>0</v>
      </c>
      <c r="E445" s="91"/>
      <c r="F445" s="137">
        <v>44567.599826388891</v>
      </c>
      <c r="G445" s="116" t="s">
        <v>149</v>
      </c>
      <c r="H445" s="93" t="s">
        <v>220</v>
      </c>
      <c r="I445" s="126" t="s">
        <v>221</v>
      </c>
      <c r="J445" s="123">
        <v>610.07000000000005</v>
      </c>
      <c r="K445" s="108"/>
      <c r="L445" s="131">
        <v>1029160</v>
      </c>
      <c r="M445" s="132"/>
      <c r="N445" s="142" t="s">
        <v>16</v>
      </c>
      <c r="O445" s="111"/>
      <c r="P445" s="100" t="str">
        <f t="shared" si="48"/>
        <v>Biaya PAM/Air Gedung</v>
      </c>
      <c r="Q445" s="91"/>
      <c r="S445" s="112"/>
      <c r="T445" s="112"/>
      <c r="U445" s="113"/>
      <c r="V445" s="113"/>
      <c r="X445" s="102"/>
    </row>
    <row r="446" spans="1:24" s="101" customFormat="1" x14ac:dyDescent="0.25">
      <c r="A446" s="60" t="str">
        <f t="shared" si="46"/>
        <v>6810,01</v>
      </c>
      <c r="B446" s="60">
        <f>COUNTIF($J$7:J446,J446)</f>
        <v>6</v>
      </c>
      <c r="C446" s="60" t="str">
        <f t="shared" si="47"/>
        <v>0</v>
      </c>
      <c r="D446" s="60">
        <f>COUNTIF($K$7:K446,K446)</f>
        <v>0</v>
      </c>
      <c r="E446" s="91"/>
      <c r="F446" s="137">
        <v>44567</v>
      </c>
      <c r="G446" s="116" t="s">
        <v>149</v>
      </c>
      <c r="H446" s="93" t="s">
        <v>220</v>
      </c>
      <c r="I446" s="126" t="s">
        <v>198</v>
      </c>
      <c r="J446" s="117">
        <v>810.01</v>
      </c>
      <c r="K446" s="108"/>
      <c r="L446" s="131">
        <v>6500</v>
      </c>
      <c r="M446" s="132"/>
      <c r="N446" s="142" t="s">
        <v>16</v>
      </c>
      <c r="O446" s="111"/>
      <c r="P446" s="100" t="str">
        <f t="shared" si="48"/>
        <v>Biaya Admin Transfer dan Rek</v>
      </c>
      <c r="Q446" s="91"/>
      <c r="S446" s="112"/>
      <c r="T446" s="112"/>
      <c r="U446" s="113"/>
      <c r="V446" s="113"/>
      <c r="X446" s="102"/>
    </row>
    <row r="447" spans="1:24" s="101" customFormat="1" x14ac:dyDescent="0.25">
      <c r="A447" s="60" t="str">
        <f t="shared" si="46"/>
        <v>1610,06</v>
      </c>
      <c r="B447" s="60">
        <f>COUNTIF($J$7:J447,J447)</f>
        <v>1</v>
      </c>
      <c r="C447" s="60" t="str">
        <f t="shared" si="47"/>
        <v>0</v>
      </c>
      <c r="D447" s="60">
        <f>COUNTIF($K$7:K447,K447)</f>
        <v>0</v>
      </c>
      <c r="E447" s="91"/>
      <c r="F447" s="137">
        <v>44567.599826388891</v>
      </c>
      <c r="G447" s="116" t="s">
        <v>149</v>
      </c>
      <c r="H447" s="93" t="s">
        <v>222</v>
      </c>
      <c r="I447" s="126" t="s">
        <v>223</v>
      </c>
      <c r="J447" s="123">
        <v>610.05999999999995</v>
      </c>
      <c r="K447" s="108"/>
      <c r="L447" s="131">
        <v>521400</v>
      </c>
      <c r="M447" s="132"/>
      <c r="N447" s="142" t="s">
        <v>16</v>
      </c>
      <c r="O447" s="111"/>
      <c r="P447" s="100" t="str">
        <f t="shared" si="48"/>
        <v>Biaya Telp, Pulsa  &amp; Internet</v>
      </c>
      <c r="Q447" s="91"/>
      <c r="S447" s="112"/>
      <c r="T447" s="112"/>
      <c r="U447" s="113"/>
      <c r="V447" s="113"/>
      <c r="X447" s="102"/>
    </row>
    <row r="448" spans="1:24" s="101" customFormat="1" x14ac:dyDescent="0.25">
      <c r="A448" s="60" t="str">
        <f t="shared" si="46"/>
        <v>7810,01</v>
      </c>
      <c r="B448" s="60">
        <f>COUNTIF($J$7:J448,J448)</f>
        <v>7</v>
      </c>
      <c r="C448" s="60" t="str">
        <f t="shared" si="47"/>
        <v>0</v>
      </c>
      <c r="D448" s="60">
        <f>COUNTIF($K$7:K448,K448)</f>
        <v>0</v>
      </c>
      <c r="E448" s="91"/>
      <c r="F448" s="137">
        <v>44567.599826388891</v>
      </c>
      <c r="G448" s="116" t="s">
        <v>149</v>
      </c>
      <c r="H448" s="93" t="s">
        <v>222</v>
      </c>
      <c r="I448" s="126" t="s">
        <v>224</v>
      </c>
      <c r="J448" s="117">
        <v>810.01</v>
      </c>
      <c r="K448" s="108"/>
      <c r="L448" s="131">
        <v>2500</v>
      </c>
      <c r="M448" s="132"/>
      <c r="N448" s="142" t="s">
        <v>16</v>
      </c>
      <c r="O448" s="111"/>
      <c r="P448" s="100" t="str">
        <f t="shared" si="48"/>
        <v>Biaya Admin Transfer dan Rek</v>
      </c>
      <c r="Q448" s="91"/>
      <c r="S448" s="112"/>
      <c r="T448" s="112"/>
      <c r="U448" s="113"/>
      <c r="V448" s="113"/>
      <c r="X448" s="102"/>
    </row>
    <row r="449" spans="1:24" s="101" customFormat="1" x14ac:dyDescent="0.25">
      <c r="A449" s="60" t="str">
        <f t="shared" si="46"/>
        <v>2610,06</v>
      </c>
      <c r="B449" s="60">
        <f>COUNTIF($J$7:J449,J449)</f>
        <v>2</v>
      </c>
      <c r="C449" s="60" t="str">
        <f t="shared" si="47"/>
        <v>0</v>
      </c>
      <c r="D449" s="60">
        <f>COUNTIF($K$7:K449,K449)</f>
        <v>0</v>
      </c>
      <c r="E449" s="91"/>
      <c r="F449" s="137">
        <v>44567.599826388891</v>
      </c>
      <c r="G449" s="116" t="s">
        <v>149</v>
      </c>
      <c r="H449" s="93" t="s">
        <v>225</v>
      </c>
      <c r="I449" s="126" t="s">
        <v>226</v>
      </c>
      <c r="J449" s="123">
        <v>610.05999999999995</v>
      </c>
      <c r="K449" s="108"/>
      <c r="L449" s="131">
        <v>432298</v>
      </c>
      <c r="M449" s="132"/>
      <c r="N449" s="142" t="s">
        <v>16</v>
      </c>
      <c r="O449" s="111"/>
      <c r="P449" s="100" t="str">
        <f t="shared" si="48"/>
        <v>Biaya Telp, Pulsa  &amp; Internet</v>
      </c>
      <c r="Q449" s="91"/>
      <c r="S449" s="112"/>
      <c r="T449" s="112"/>
      <c r="U449" s="113"/>
      <c r="V449" s="113"/>
      <c r="X449" s="102"/>
    </row>
    <row r="450" spans="1:24" s="101" customFormat="1" x14ac:dyDescent="0.25">
      <c r="A450" s="60" t="str">
        <f t="shared" si="46"/>
        <v>8810,01</v>
      </c>
      <c r="B450" s="60">
        <f>COUNTIF($J$7:J450,J450)</f>
        <v>8</v>
      </c>
      <c r="C450" s="60" t="str">
        <f t="shared" si="47"/>
        <v>0</v>
      </c>
      <c r="D450" s="60">
        <f>COUNTIF($K$7:K450,K450)</f>
        <v>0</v>
      </c>
      <c r="E450" s="91"/>
      <c r="F450" s="137">
        <v>44567.599826388891</v>
      </c>
      <c r="G450" s="116" t="s">
        <v>149</v>
      </c>
      <c r="H450" s="93" t="s">
        <v>225</v>
      </c>
      <c r="I450" s="126" t="s">
        <v>224</v>
      </c>
      <c r="J450" s="117">
        <v>810.01</v>
      </c>
      <c r="K450" s="108"/>
      <c r="L450" s="131">
        <v>2500</v>
      </c>
      <c r="M450" s="132"/>
      <c r="N450" s="142" t="s">
        <v>16</v>
      </c>
      <c r="O450" s="111"/>
      <c r="P450" s="100" t="str">
        <f t="shared" si="48"/>
        <v>Biaya Admin Transfer dan Rek</v>
      </c>
      <c r="Q450" s="91"/>
      <c r="S450" s="112"/>
      <c r="T450" s="112"/>
      <c r="U450" s="113"/>
      <c r="V450" s="113"/>
      <c r="X450" s="102"/>
    </row>
    <row r="451" spans="1:24" s="101" customFormat="1" x14ac:dyDescent="0.25">
      <c r="A451" s="60" t="str">
        <f t="shared" si="46"/>
        <v>3119</v>
      </c>
      <c r="B451" s="60">
        <f>COUNTIF($J$7:J451,J451)</f>
        <v>3</v>
      </c>
      <c r="C451" s="60" t="str">
        <f t="shared" si="47"/>
        <v>2119,02</v>
      </c>
      <c r="D451" s="60">
        <f>COUNTIF($K$7:K451,K451)</f>
        <v>2</v>
      </c>
      <c r="E451" s="91"/>
      <c r="F451" s="137">
        <v>44567.59983796296</v>
      </c>
      <c r="G451" s="116" t="s">
        <v>149</v>
      </c>
      <c r="H451" s="93" t="s">
        <v>227</v>
      </c>
      <c r="I451" s="126" t="s">
        <v>228</v>
      </c>
      <c r="J451" s="129">
        <v>119</v>
      </c>
      <c r="K451" s="108">
        <v>119.02</v>
      </c>
      <c r="L451" s="131">
        <v>600000</v>
      </c>
      <c r="M451" s="132"/>
      <c r="N451" s="142" t="s">
        <v>16</v>
      </c>
      <c r="O451" s="111"/>
      <c r="P451" s="100" t="str">
        <f t="shared" si="48"/>
        <v>Uang Muka Biaya Pengiriman dan Perjalanan Dinas Marketing</v>
      </c>
      <c r="Q451" s="91"/>
      <c r="S451" s="112"/>
      <c r="T451" s="112"/>
      <c r="U451" s="113"/>
      <c r="V451" s="113"/>
      <c r="X451" s="102"/>
    </row>
    <row r="452" spans="1:24" s="101" customFormat="1" x14ac:dyDescent="0.25">
      <c r="A452" s="60" t="str">
        <f t="shared" si="46"/>
        <v>3610,05</v>
      </c>
      <c r="B452" s="60">
        <f>COUNTIF($J$7:J452,J452)</f>
        <v>3</v>
      </c>
      <c r="C452" s="60" t="str">
        <f t="shared" si="47"/>
        <v>0</v>
      </c>
      <c r="D452" s="60">
        <f>COUNTIF($K$7:K452,K452)</f>
        <v>0</v>
      </c>
      <c r="E452" s="91"/>
      <c r="F452" s="137">
        <v>44567.59983796296</v>
      </c>
      <c r="G452" s="116" t="s">
        <v>149</v>
      </c>
      <c r="H452" s="93" t="s">
        <v>229</v>
      </c>
      <c r="I452" s="126" t="s">
        <v>230</v>
      </c>
      <c r="J452" s="123">
        <v>610.04999999999995</v>
      </c>
      <c r="K452" s="108"/>
      <c r="L452" s="131">
        <v>503377</v>
      </c>
      <c r="M452" s="132"/>
      <c r="N452" s="142" t="s">
        <v>16</v>
      </c>
      <c r="O452" s="111"/>
      <c r="P452" s="100" t="str">
        <f t="shared" si="48"/>
        <v>Biaya Listrik</v>
      </c>
      <c r="Q452" s="91"/>
      <c r="S452" s="112"/>
      <c r="T452" s="112"/>
      <c r="U452" s="113"/>
      <c r="V452" s="113"/>
      <c r="X452" s="102"/>
    </row>
    <row r="453" spans="1:24" s="101" customFormat="1" x14ac:dyDescent="0.25">
      <c r="A453" s="60" t="str">
        <f t="shared" si="46"/>
        <v>4610,15</v>
      </c>
      <c r="B453" s="60">
        <f>COUNTIF($J$7:J453,J453)</f>
        <v>4</v>
      </c>
      <c r="C453" s="60" t="str">
        <f t="shared" si="47"/>
        <v>0</v>
      </c>
      <c r="D453" s="60">
        <f>COUNTIF($K$7:K453,K453)</f>
        <v>0</v>
      </c>
      <c r="E453" s="91"/>
      <c r="F453" s="137">
        <v>44567.59983796296</v>
      </c>
      <c r="G453" s="116" t="s">
        <v>149</v>
      </c>
      <c r="H453" s="93" t="s">
        <v>231</v>
      </c>
      <c r="I453" s="126" t="s">
        <v>232</v>
      </c>
      <c r="J453" s="123">
        <v>610.15</v>
      </c>
      <c r="K453" s="108"/>
      <c r="L453" s="131">
        <v>1000000</v>
      </c>
      <c r="M453" s="132"/>
      <c r="N453" s="142" t="s">
        <v>16</v>
      </c>
      <c r="O453" s="111"/>
      <c r="P453" s="100" t="str">
        <f t="shared" si="48"/>
        <v>Biaya Pemeliharaan Lingkungan (Keamanan dan Kebersihan)</v>
      </c>
      <c r="Q453" s="91"/>
      <c r="S453" s="112"/>
      <c r="T453" s="112"/>
      <c r="U453" s="113"/>
      <c r="V453" s="113"/>
      <c r="X453" s="102"/>
    </row>
    <row r="454" spans="1:24" s="101" customFormat="1" x14ac:dyDescent="0.25">
      <c r="A454" s="60" t="str">
        <f t="shared" si="46"/>
        <v>5610,07</v>
      </c>
      <c r="B454" s="60">
        <f>COUNTIF($J$7:J454,J454)</f>
        <v>5</v>
      </c>
      <c r="C454" s="60" t="str">
        <f t="shared" si="47"/>
        <v>0</v>
      </c>
      <c r="D454" s="60">
        <f>COUNTIF($K$7:K454,K454)</f>
        <v>0</v>
      </c>
      <c r="E454" s="91"/>
      <c r="F454" s="137">
        <v>44567.59983796296</v>
      </c>
      <c r="G454" s="116" t="s">
        <v>149</v>
      </c>
      <c r="H454" s="93" t="s">
        <v>231</v>
      </c>
      <c r="I454" s="126" t="s">
        <v>233</v>
      </c>
      <c r="J454" s="123">
        <v>610.07000000000005</v>
      </c>
      <c r="K454" s="108"/>
      <c r="L454" s="131">
        <v>22000</v>
      </c>
      <c r="M454" s="132"/>
      <c r="N454" s="142" t="s">
        <v>16</v>
      </c>
      <c r="O454" s="111"/>
      <c r="P454" s="100" t="str">
        <f t="shared" si="48"/>
        <v>Biaya PAM/Air Gedung</v>
      </c>
      <c r="Q454" s="91"/>
      <c r="S454" s="112"/>
      <c r="T454" s="112"/>
      <c r="U454" s="113"/>
      <c r="V454" s="113"/>
      <c r="X454" s="102"/>
    </row>
    <row r="455" spans="1:24" s="101" customFormat="1" x14ac:dyDescent="0.25">
      <c r="A455" s="60" t="str">
        <f t="shared" ref="A455:A518" si="49">B455&amp;J455</f>
        <v>9810,01</v>
      </c>
      <c r="B455" s="60">
        <f>COUNTIF($J$7:J455,J455)</f>
        <v>9</v>
      </c>
      <c r="C455" s="60" t="str">
        <f t="shared" ref="C455:C518" si="50">D455&amp;K455</f>
        <v>0</v>
      </c>
      <c r="D455" s="60">
        <f>COUNTIF($K$7:K455,K455)</f>
        <v>0</v>
      </c>
      <c r="E455" s="91"/>
      <c r="F455" s="137">
        <v>44567</v>
      </c>
      <c r="G455" s="116" t="s">
        <v>149</v>
      </c>
      <c r="H455" s="93" t="s">
        <v>231</v>
      </c>
      <c r="I455" s="126" t="s">
        <v>224</v>
      </c>
      <c r="J455" s="117">
        <v>810.01</v>
      </c>
      <c r="K455" s="108"/>
      <c r="L455" s="131">
        <v>6500</v>
      </c>
      <c r="M455" s="132"/>
      <c r="N455" s="142" t="s">
        <v>16</v>
      </c>
      <c r="O455" s="111"/>
      <c r="P455" s="100" t="str">
        <f t="shared" ref="P455:P518" si="51">IF(J455=0,"-",+VLOOKUP(J455,DAF_AKUN,2,FALSE))</f>
        <v>Biaya Admin Transfer dan Rek</v>
      </c>
      <c r="Q455" s="91"/>
      <c r="S455" s="112"/>
      <c r="T455" s="112"/>
      <c r="U455" s="113"/>
      <c r="V455" s="113"/>
      <c r="X455" s="102"/>
    </row>
    <row r="456" spans="1:24" s="101" customFormat="1" x14ac:dyDescent="0.25">
      <c r="A456" s="60" t="str">
        <f t="shared" si="49"/>
        <v>2610,1</v>
      </c>
      <c r="B456" s="60">
        <f>COUNTIF($J$7:J456,J456)</f>
        <v>2</v>
      </c>
      <c r="C456" s="60" t="str">
        <f t="shared" si="50"/>
        <v>0</v>
      </c>
      <c r="D456" s="60">
        <f>COUNTIF($K$7:K456,K456)</f>
        <v>0</v>
      </c>
      <c r="E456" s="91"/>
      <c r="F456" s="137">
        <v>44567.599861111114</v>
      </c>
      <c r="G456" s="116" t="s">
        <v>149</v>
      </c>
      <c r="H456" s="93" t="s">
        <v>234</v>
      </c>
      <c r="I456" s="126" t="s">
        <v>235</v>
      </c>
      <c r="J456" s="128">
        <v>610.1</v>
      </c>
      <c r="K456" s="108"/>
      <c r="L456" s="131">
        <v>429730</v>
      </c>
      <c r="M456" s="132"/>
      <c r="N456" s="142" t="s">
        <v>16</v>
      </c>
      <c r="O456" s="111"/>
      <c r="P456" s="100" t="str">
        <f t="shared" si="51"/>
        <v>Biaya Rumah Tangga Kantor</v>
      </c>
      <c r="Q456" s="91"/>
      <c r="S456" s="112"/>
      <c r="T456" s="112"/>
      <c r="U456" s="113"/>
      <c r="V456" s="113"/>
      <c r="X456" s="102"/>
    </row>
    <row r="457" spans="1:24" s="101" customFormat="1" x14ac:dyDescent="0.25">
      <c r="A457" s="60" t="str">
        <f t="shared" si="49"/>
        <v>3610,06</v>
      </c>
      <c r="B457" s="60">
        <f>COUNTIF($J$7:J457,J457)</f>
        <v>3</v>
      </c>
      <c r="C457" s="60" t="str">
        <f t="shared" si="50"/>
        <v>0</v>
      </c>
      <c r="D457" s="60">
        <f>COUNTIF($K$7:K457,K457)</f>
        <v>0</v>
      </c>
      <c r="E457" s="91"/>
      <c r="F457" s="137">
        <v>44567.599861111114</v>
      </c>
      <c r="G457" s="116" t="s">
        <v>149</v>
      </c>
      <c r="H457" s="93" t="s">
        <v>236</v>
      </c>
      <c r="I457" s="126" t="s">
        <v>237</v>
      </c>
      <c r="J457" s="123">
        <v>610.05999999999995</v>
      </c>
      <c r="K457" s="108"/>
      <c r="L457" s="131">
        <v>440000</v>
      </c>
      <c r="M457" s="132"/>
      <c r="N457" s="142" t="s">
        <v>16</v>
      </c>
      <c r="O457" s="111"/>
      <c r="P457" s="100" t="str">
        <f t="shared" si="51"/>
        <v>Biaya Telp, Pulsa  &amp; Internet</v>
      </c>
      <c r="Q457" s="91"/>
      <c r="S457" s="112"/>
      <c r="T457" s="112"/>
      <c r="U457" s="113"/>
      <c r="V457" s="113"/>
      <c r="X457" s="102"/>
    </row>
    <row r="458" spans="1:24" s="101" customFormat="1" x14ac:dyDescent="0.25">
      <c r="A458" s="60" t="str">
        <f t="shared" si="49"/>
        <v>10810,01</v>
      </c>
      <c r="B458" s="60">
        <f>COUNTIF($J$7:J458,J458)</f>
        <v>10</v>
      </c>
      <c r="C458" s="60" t="str">
        <f t="shared" si="50"/>
        <v>0</v>
      </c>
      <c r="D458" s="60">
        <f>COUNTIF($K$7:K458,K458)</f>
        <v>0</v>
      </c>
      <c r="E458" s="91"/>
      <c r="F458" s="137">
        <v>44567.599861111114</v>
      </c>
      <c r="G458" s="116" t="s">
        <v>149</v>
      </c>
      <c r="H458" s="93" t="s">
        <v>236</v>
      </c>
      <c r="I458" s="126" t="s">
        <v>224</v>
      </c>
      <c r="J458" s="117">
        <v>810.01</v>
      </c>
      <c r="K458" s="108"/>
      <c r="L458" s="131">
        <v>2500</v>
      </c>
      <c r="M458" s="132"/>
      <c r="N458" s="142" t="s">
        <v>16</v>
      </c>
      <c r="O458" s="111"/>
      <c r="P458" s="100" t="str">
        <f t="shared" si="51"/>
        <v>Biaya Admin Transfer dan Rek</v>
      </c>
      <c r="Q458" s="91"/>
      <c r="S458" s="112"/>
      <c r="T458" s="112"/>
      <c r="U458" s="113"/>
      <c r="V458" s="113"/>
      <c r="X458" s="102"/>
    </row>
    <row r="459" spans="1:24" s="101" customFormat="1" x14ac:dyDescent="0.25">
      <c r="A459" s="60" t="str">
        <f t="shared" si="49"/>
        <v>1512,03</v>
      </c>
      <c r="B459" s="60">
        <f>COUNTIF($J$7:J459,J459)</f>
        <v>1</v>
      </c>
      <c r="C459" s="60" t="str">
        <f t="shared" si="50"/>
        <v>0</v>
      </c>
      <c r="D459" s="60">
        <f>COUNTIF($K$7:K459,K459)</f>
        <v>0</v>
      </c>
      <c r="E459" s="91"/>
      <c r="F459" s="137">
        <v>44567.657719907409</v>
      </c>
      <c r="G459" s="116" t="s">
        <v>149</v>
      </c>
      <c r="H459" s="93" t="s">
        <v>238</v>
      </c>
      <c r="I459" s="126" t="s">
        <v>239</v>
      </c>
      <c r="J459" s="128">
        <v>512.03</v>
      </c>
      <c r="K459" s="108"/>
      <c r="L459" s="131">
        <v>1290100</v>
      </c>
      <c r="M459" s="132"/>
      <c r="N459" s="142" t="s">
        <v>16</v>
      </c>
      <c r="O459" s="111"/>
      <c r="P459" s="100" t="str">
        <f t="shared" si="51"/>
        <v>Beban Gasoline Marketing (Bensin, Parkir, Tol)</v>
      </c>
      <c r="Q459" s="91"/>
      <c r="S459" s="112"/>
      <c r="T459" s="112"/>
      <c r="U459" s="113"/>
      <c r="V459" s="113"/>
      <c r="X459" s="102"/>
    </row>
    <row r="460" spans="1:24" s="101" customFormat="1" x14ac:dyDescent="0.25">
      <c r="A460" s="60" t="str">
        <f t="shared" si="49"/>
        <v>2512,03</v>
      </c>
      <c r="B460" s="60">
        <f>COUNTIF($J$7:J460,J460)</f>
        <v>2</v>
      </c>
      <c r="C460" s="60" t="str">
        <f t="shared" si="50"/>
        <v>0</v>
      </c>
      <c r="D460" s="60">
        <f>COUNTIF($K$7:K460,K460)</f>
        <v>0</v>
      </c>
      <c r="E460" s="91"/>
      <c r="F460" s="137">
        <v>44567.657743055555</v>
      </c>
      <c r="G460" s="116" t="s">
        <v>149</v>
      </c>
      <c r="H460" s="93" t="s">
        <v>240</v>
      </c>
      <c r="I460" s="126" t="s">
        <v>241</v>
      </c>
      <c r="J460" s="128">
        <v>512.03</v>
      </c>
      <c r="K460" s="108"/>
      <c r="L460" s="131">
        <v>2438000</v>
      </c>
      <c r="M460" s="132"/>
      <c r="N460" s="142" t="s">
        <v>16</v>
      </c>
      <c r="O460" s="111"/>
      <c r="P460" s="100" t="str">
        <f t="shared" si="51"/>
        <v>Beban Gasoline Marketing (Bensin, Parkir, Tol)</v>
      </c>
      <c r="Q460" s="91"/>
      <c r="S460" s="112"/>
      <c r="T460" s="112"/>
      <c r="U460" s="113"/>
      <c r="V460" s="113"/>
      <c r="X460" s="102"/>
    </row>
    <row r="461" spans="1:24" s="101" customFormat="1" hidden="1" x14ac:dyDescent="0.25">
      <c r="A461" s="60" t="str">
        <f t="shared" si="49"/>
        <v>1610,03</v>
      </c>
      <c r="B461" s="60">
        <f>COUNTIF($J$7:J461,J461)</f>
        <v>1</v>
      </c>
      <c r="C461" s="60" t="str">
        <f t="shared" si="50"/>
        <v>0</v>
      </c>
      <c r="D461" s="60">
        <f>COUNTIF($K$7:K461,K461)</f>
        <v>0</v>
      </c>
      <c r="E461" s="91"/>
      <c r="F461" s="137">
        <v>44568.630254629628</v>
      </c>
      <c r="G461" s="116" t="s">
        <v>149</v>
      </c>
      <c r="H461" s="93" t="s">
        <v>242</v>
      </c>
      <c r="I461" s="126" t="s">
        <v>243</v>
      </c>
      <c r="J461" s="123">
        <v>610.03</v>
      </c>
      <c r="K461" s="108"/>
      <c r="L461" s="131">
        <v>2495840</v>
      </c>
      <c r="M461" s="132"/>
      <c r="N461" s="132"/>
      <c r="O461" s="111"/>
      <c r="P461" s="100" t="str">
        <f t="shared" si="51"/>
        <v>Biaya BPJS Kesehatan Dan Ketenagakerjaan</v>
      </c>
      <c r="Q461" s="91"/>
      <c r="S461" s="112"/>
      <c r="T461" s="112"/>
      <c r="U461" s="113"/>
      <c r="V461" s="113"/>
      <c r="X461" s="102"/>
    </row>
    <row r="462" spans="1:24" s="101" customFormat="1" hidden="1" x14ac:dyDescent="0.25">
      <c r="A462" s="60" t="str">
        <f t="shared" si="49"/>
        <v>13220,03</v>
      </c>
      <c r="B462" s="60">
        <f>COUNTIF($J$7:J462,J462)</f>
        <v>13</v>
      </c>
      <c r="C462" s="60" t="str">
        <f t="shared" si="50"/>
        <v>0</v>
      </c>
      <c r="D462" s="60">
        <f>COUNTIF($K$7:K462,K462)</f>
        <v>0</v>
      </c>
      <c r="E462" s="91"/>
      <c r="F462" s="137">
        <v>44568.630266203705</v>
      </c>
      <c r="G462" s="116" t="s">
        <v>149</v>
      </c>
      <c r="H462" s="93" t="s">
        <v>244</v>
      </c>
      <c r="I462" s="126" t="s">
        <v>245</v>
      </c>
      <c r="J462" s="119">
        <v>220.03</v>
      </c>
      <c r="K462" s="108"/>
      <c r="L462" s="131">
        <v>1911000</v>
      </c>
      <c r="M462" s="132"/>
      <c r="N462" s="132"/>
      <c r="O462" s="111"/>
      <c r="P462" s="100" t="str">
        <f t="shared" si="51"/>
        <v>Hutang BIaya</v>
      </c>
      <c r="Q462" s="91"/>
      <c r="S462" s="112"/>
      <c r="T462" s="112"/>
      <c r="U462" s="113"/>
      <c r="V462" s="113"/>
      <c r="X462" s="102"/>
    </row>
    <row r="463" spans="1:24" s="101" customFormat="1" hidden="1" x14ac:dyDescent="0.25">
      <c r="A463" s="60" t="str">
        <f t="shared" si="49"/>
        <v>4211,04</v>
      </c>
      <c r="B463" s="60">
        <f>COUNTIF($J$7:J463,J463)</f>
        <v>4</v>
      </c>
      <c r="C463" s="60" t="str">
        <f t="shared" si="50"/>
        <v>0</v>
      </c>
      <c r="D463" s="60">
        <f>COUNTIF($K$7:K463,K463)</f>
        <v>0</v>
      </c>
      <c r="E463" s="91"/>
      <c r="F463" s="137">
        <v>44568.630266203705</v>
      </c>
      <c r="G463" s="116" t="s">
        <v>149</v>
      </c>
      <c r="H463" s="93" t="s">
        <v>244</v>
      </c>
      <c r="I463" s="126" t="s">
        <v>245</v>
      </c>
      <c r="J463" s="117">
        <v>211.04</v>
      </c>
      <c r="K463" s="108"/>
      <c r="L463" s="131">
        <v>39000</v>
      </c>
      <c r="M463" s="132"/>
      <c r="N463" s="132"/>
      <c r="O463" s="111"/>
      <c r="P463" s="100" t="str">
        <f t="shared" si="51"/>
        <v>Hutang PPh 23</v>
      </c>
      <c r="Q463" s="91"/>
      <c r="S463" s="112"/>
      <c r="T463" s="112"/>
      <c r="U463" s="113"/>
      <c r="V463" s="113"/>
      <c r="X463" s="102"/>
    </row>
    <row r="464" spans="1:24" s="101" customFormat="1" hidden="1" x14ac:dyDescent="0.25">
      <c r="A464" s="60" t="str">
        <f t="shared" si="49"/>
        <v>11810,01</v>
      </c>
      <c r="B464" s="60">
        <f>COUNTIF($J$7:J464,J464)</f>
        <v>11</v>
      </c>
      <c r="C464" s="60" t="str">
        <f t="shared" si="50"/>
        <v>0</v>
      </c>
      <c r="D464" s="60">
        <f>COUNTIF($K$7:K464,K464)</f>
        <v>0</v>
      </c>
      <c r="E464" s="91"/>
      <c r="F464" s="137">
        <v>44568</v>
      </c>
      <c r="G464" s="116" t="s">
        <v>149</v>
      </c>
      <c r="H464" s="93" t="s">
        <v>244</v>
      </c>
      <c r="I464" s="126" t="s">
        <v>198</v>
      </c>
      <c r="J464" s="117">
        <v>810.01</v>
      </c>
      <c r="K464" s="108"/>
      <c r="L464" s="131">
        <v>6500</v>
      </c>
      <c r="M464" s="132"/>
      <c r="N464" s="132"/>
      <c r="O464" s="111"/>
      <c r="P464" s="100" t="str">
        <f t="shared" si="51"/>
        <v>Biaya Admin Transfer dan Rek</v>
      </c>
      <c r="Q464" s="91"/>
      <c r="S464" s="112"/>
      <c r="T464" s="112"/>
      <c r="U464" s="113"/>
      <c r="V464" s="113"/>
      <c r="X464" s="102"/>
    </row>
    <row r="465" spans="1:24" s="101" customFormat="1" ht="30" hidden="1" x14ac:dyDescent="0.25">
      <c r="A465" s="60" t="str">
        <f t="shared" si="49"/>
        <v>14220,03</v>
      </c>
      <c r="B465" s="60">
        <f>COUNTIF($J$7:J465,J465)</f>
        <v>14</v>
      </c>
      <c r="C465" s="60" t="str">
        <f t="shared" si="50"/>
        <v>0</v>
      </c>
      <c r="D465" s="60">
        <f>COUNTIF($K$7:K465,K465)</f>
        <v>0</v>
      </c>
      <c r="E465" s="91"/>
      <c r="F465" s="137">
        <v>44568.630277777775</v>
      </c>
      <c r="G465" s="116" t="s">
        <v>149</v>
      </c>
      <c r="H465" s="93" t="s">
        <v>246</v>
      </c>
      <c r="I465" s="126" t="s">
        <v>247</v>
      </c>
      <c r="J465" s="119">
        <v>220.03</v>
      </c>
      <c r="K465" s="108"/>
      <c r="L465" s="131">
        <v>5825100</v>
      </c>
      <c r="M465" s="132"/>
      <c r="N465" s="132"/>
      <c r="O465" s="111"/>
      <c r="P465" s="100" t="str">
        <f t="shared" si="51"/>
        <v>Hutang BIaya</v>
      </c>
      <c r="Q465" s="91"/>
      <c r="S465" s="112"/>
      <c r="T465" s="112"/>
      <c r="U465" s="113"/>
      <c r="V465" s="113"/>
      <c r="X465" s="102"/>
    </row>
    <row r="466" spans="1:24" s="101" customFormat="1" hidden="1" x14ac:dyDescent="0.25">
      <c r="A466" s="60" t="str">
        <f t="shared" si="49"/>
        <v>12810,01</v>
      </c>
      <c r="B466" s="60">
        <f>COUNTIF($J$7:J466,J466)</f>
        <v>12</v>
      </c>
      <c r="C466" s="60" t="str">
        <f t="shared" si="50"/>
        <v>0</v>
      </c>
      <c r="D466" s="60">
        <f>COUNTIF($K$7:K466,K466)</f>
        <v>0</v>
      </c>
      <c r="E466" s="91"/>
      <c r="F466" s="137">
        <v>44568</v>
      </c>
      <c r="G466" s="116" t="s">
        <v>149</v>
      </c>
      <c r="H466" s="93" t="s">
        <v>246</v>
      </c>
      <c r="I466" s="126" t="s">
        <v>198</v>
      </c>
      <c r="J466" s="117">
        <v>810.01</v>
      </c>
      <c r="K466" s="108"/>
      <c r="L466" s="131">
        <v>6500</v>
      </c>
      <c r="M466" s="132"/>
      <c r="N466" s="132"/>
      <c r="O466" s="111"/>
      <c r="P466" s="100" t="str">
        <f t="shared" si="51"/>
        <v>Biaya Admin Transfer dan Rek</v>
      </c>
      <c r="Q466" s="91"/>
      <c r="S466" s="112"/>
      <c r="T466" s="112"/>
      <c r="U466" s="113"/>
      <c r="V466" s="113"/>
      <c r="X466" s="102"/>
    </row>
    <row r="467" spans="1:24" s="101" customFormat="1" hidden="1" x14ac:dyDescent="0.25">
      <c r="A467" s="60" t="str">
        <f t="shared" si="49"/>
        <v>2610,03</v>
      </c>
      <c r="B467" s="60">
        <f>COUNTIF($J$7:J467,J467)</f>
        <v>2</v>
      </c>
      <c r="C467" s="60" t="str">
        <f t="shared" si="50"/>
        <v>0</v>
      </c>
      <c r="D467" s="60">
        <f>COUNTIF($K$7:K467,K467)</f>
        <v>0</v>
      </c>
      <c r="E467" s="91"/>
      <c r="F467" s="137">
        <v>44568.630277777775</v>
      </c>
      <c r="G467" s="116" t="s">
        <v>149</v>
      </c>
      <c r="H467" s="93" t="s">
        <v>248</v>
      </c>
      <c r="I467" s="126" t="s">
        <v>249</v>
      </c>
      <c r="J467" s="123">
        <v>610.03</v>
      </c>
      <c r="K467" s="108"/>
      <c r="L467" s="131">
        <v>1672752</v>
      </c>
      <c r="M467" s="132"/>
      <c r="N467" s="132"/>
      <c r="O467" s="111"/>
      <c r="P467" s="100" t="str">
        <f t="shared" si="51"/>
        <v>Biaya BPJS Kesehatan Dan Ketenagakerjaan</v>
      </c>
      <c r="Q467" s="91"/>
      <c r="S467" s="112"/>
      <c r="T467" s="112"/>
      <c r="U467" s="113"/>
      <c r="V467" s="113"/>
      <c r="X467" s="102"/>
    </row>
    <row r="468" spans="1:24" s="101" customFormat="1" x14ac:dyDescent="0.25">
      <c r="A468" s="60" t="str">
        <f t="shared" si="49"/>
        <v>17111,01</v>
      </c>
      <c r="B468" s="60">
        <f>COUNTIF($J$7:J468,J468)</f>
        <v>17</v>
      </c>
      <c r="C468" s="60" t="str">
        <f t="shared" si="50"/>
        <v>0</v>
      </c>
      <c r="D468" s="60">
        <f>COUNTIF($K$7:K468,K468)</f>
        <v>0</v>
      </c>
      <c r="E468" s="91"/>
      <c r="F468" s="137">
        <v>44567.599814814814</v>
      </c>
      <c r="G468" s="116" t="s">
        <v>149</v>
      </c>
      <c r="H468" s="93" t="s">
        <v>209</v>
      </c>
      <c r="I468" s="126" t="s">
        <v>210</v>
      </c>
      <c r="J468" s="117">
        <v>111.01</v>
      </c>
      <c r="K468" s="108"/>
      <c r="L468" s="131"/>
      <c r="M468" s="132">
        <v>503098</v>
      </c>
      <c r="N468" s="142" t="s">
        <v>16</v>
      </c>
      <c r="O468" s="111"/>
      <c r="P468" s="100" t="str">
        <f t="shared" si="51"/>
        <v>BNI IDR 768</v>
      </c>
      <c r="Q468" s="91"/>
      <c r="S468" s="112"/>
      <c r="T468" s="112"/>
      <c r="U468" s="113"/>
      <c r="V468" s="113"/>
      <c r="X468" s="102"/>
    </row>
    <row r="469" spans="1:24" s="101" customFormat="1" x14ac:dyDescent="0.25">
      <c r="A469" s="60" t="str">
        <f t="shared" si="49"/>
        <v>18111,01</v>
      </c>
      <c r="B469" s="60">
        <f>COUNTIF($J$7:J469,J469)</f>
        <v>18</v>
      </c>
      <c r="C469" s="60" t="str">
        <f t="shared" si="50"/>
        <v>0</v>
      </c>
      <c r="D469" s="60">
        <f>COUNTIF($K$7:K469,K469)</f>
        <v>0</v>
      </c>
      <c r="E469" s="91"/>
      <c r="F469" s="137">
        <v>44567.599826388891</v>
      </c>
      <c r="G469" s="116" t="s">
        <v>149</v>
      </c>
      <c r="H469" s="93" t="s">
        <v>211</v>
      </c>
      <c r="I469" s="126" t="s">
        <v>212</v>
      </c>
      <c r="J469" s="117">
        <v>111.01</v>
      </c>
      <c r="K469" s="108"/>
      <c r="L469" s="131"/>
      <c r="M469" s="132">
        <v>1002839</v>
      </c>
      <c r="N469" s="142" t="s">
        <v>16</v>
      </c>
      <c r="O469" s="111"/>
      <c r="P469" s="100" t="str">
        <f t="shared" si="51"/>
        <v>BNI IDR 768</v>
      </c>
      <c r="Q469" s="91"/>
      <c r="S469" s="112"/>
      <c r="T469" s="112"/>
      <c r="U469" s="113"/>
      <c r="V469" s="113"/>
      <c r="X469" s="102"/>
    </row>
    <row r="470" spans="1:24" s="101" customFormat="1" x14ac:dyDescent="0.25">
      <c r="A470" s="60" t="str">
        <f t="shared" si="49"/>
        <v>19111,01</v>
      </c>
      <c r="B470" s="60">
        <f>COUNTIF($J$7:J470,J470)</f>
        <v>19</v>
      </c>
      <c r="C470" s="60" t="str">
        <f t="shared" si="50"/>
        <v>0</v>
      </c>
      <c r="D470" s="60">
        <f>COUNTIF($K$7:K470,K470)</f>
        <v>0</v>
      </c>
      <c r="E470" s="91"/>
      <c r="F470" s="137">
        <v>44567.599826388891</v>
      </c>
      <c r="G470" s="116" t="s">
        <v>149</v>
      </c>
      <c r="H470" s="93" t="s">
        <v>213</v>
      </c>
      <c r="I470" s="126" t="s">
        <v>214</v>
      </c>
      <c r="J470" s="117">
        <v>111.01</v>
      </c>
      <c r="K470" s="108"/>
      <c r="L470" s="131"/>
      <c r="M470" s="132">
        <v>1000000</v>
      </c>
      <c r="N470" s="142" t="s">
        <v>16</v>
      </c>
      <c r="O470" s="111"/>
      <c r="P470" s="100" t="str">
        <f t="shared" si="51"/>
        <v>BNI IDR 768</v>
      </c>
      <c r="Q470" s="91"/>
      <c r="S470" s="112"/>
      <c r="T470" s="112"/>
      <c r="U470" s="113"/>
      <c r="V470" s="113"/>
      <c r="X470" s="102"/>
    </row>
    <row r="471" spans="1:24" s="101" customFormat="1" x14ac:dyDescent="0.25">
      <c r="A471" s="60" t="str">
        <f t="shared" si="49"/>
        <v>20111,01</v>
      </c>
      <c r="B471" s="60">
        <f>COUNTIF($J$7:J471,J471)</f>
        <v>20</v>
      </c>
      <c r="C471" s="60" t="str">
        <f t="shared" si="50"/>
        <v>0</v>
      </c>
      <c r="D471" s="60">
        <f>COUNTIF($K$7:K471,K471)</f>
        <v>0</v>
      </c>
      <c r="E471" s="91"/>
      <c r="F471" s="137">
        <v>44567.599826388891</v>
      </c>
      <c r="G471" s="116" t="s">
        <v>149</v>
      </c>
      <c r="H471" s="93" t="s">
        <v>213</v>
      </c>
      <c r="I471" s="126" t="s">
        <v>215</v>
      </c>
      <c r="J471" s="117">
        <v>111.01</v>
      </c>
      <c r="K471" s="108"/>
      <c r="L471" s="131"/>
      <c r="M471" s="132">
        <v>114400</v>
      </c>
      <c r="N471" s="142" t="s">
        <v>16</v>
      </c>
      <c r="O471" s="111"/>
      <c r="P471" s="100" t="str">
        <f t="shared" si="51"/>
        <v>BNI IDR 768</v>
      </c>
      <c r="Q471" s="91"/>
      <c r="S471" s="112"/>
      <c r="T471" s="112"/>
      <c r="U471" s="113"/>
      <c r="V471" s="113"/>
      <c r="X471" s="102"/>
    </row>
    <row r="472" spans="1:24" s="101" customFormat="1" x14ac:dyDescent="0.25">
      <c r="A472" s="60" t="str">
        <f t="shared" si="49"/>
        <v>21111,01</v>
      </c>
      <c r="B472" s="60">
        <f>COUNTIF($J$7:J472,J472)</f>
        <v>21</v>
      </c>
      <c r="C472" s="60" t="str">
        <f t="shared" si="50"/>
        <v>0</v>
      </c>
      <c r="D472" s="60">
        <f>COUNTIF($K$7:K472,K472)</f>
        <v>0</v>
      </c>
      <c r="E472" s="91"/>
      <c r="F472" s="137">
        <v>44567.599826388891</v>
      </c>
      <c r="G472" s="116" t="s">
        <v>149</v>
      </c>
      <c r="H472" s="93" t="s">
        <v>213</v>
      </c>
      <c r="I472" s="126" t="s">
        <v>216</v>
      </c>
      <c r="J472" s="117">
        <v>111.01</v>
      </c>
      <c r="K472" s="108"/>
      <c r="L472" s="131"/>
      <c r="M472" s="132">
        <v>644000</v>
      </c>
      <c r="N472" s="142" t="s">
        <v>16</v>
      </c>
      <c r="O472" s="111"/>
      <c r="P472" s="100" t="str">
        <f t="shared" si="51"/>
        <v>BNI IDR 768</v>
      </c>
      <c r="Q472" s="91"/>
      <c r="S472" s="112"/>
      <c r="T472" s="112"/>
      <c r="U472" s="113"/>
      <c r="V472" s="113"/>
      <c r="X472" s="102"/>
    </row>
    <row r="473" spans="1:24" s="101" customFormat="1" x14ac:dyDescent="0.25">
      <c r="A473" s="60" t="str">
        <f t="shared" si="49"/>
        <v>22111,01</v>
      </c>
      <c r="B473" s="60">
        <f>COUNTIF($J$7:J473,J473)</f>
        <v>22</v>
      </c>
      <c r="C473" s="60" t="str">
        <f t="shared" si="50"/>
        <v>0</v>
      </c>
      <c r="D473" s="60">
        <f>COUNTIF($K$7:K473,K473)</f>
        <v>0</v>
      </c>
      <c r="E473" s="91"/>
      <c r="F473" s="137">
        <v>44567.599826388891</v>
      </c>
      <c r="G473" s="116" t="s">
        <v>149</v>
      </c>
      <c r="H473" s="93" t="s">
        <v>213</v>
      </c>
      <c r="I473" s="126" t="s">
        <v>217</v>
      </c>
      <c r="J473" s="117">
        <v>111.01</v>
      </c>
      <c r="K473" s="108"/>
      <c r="L473" s="131"/>
      <c r="M473" s="132">
        <v>31000</v>
      </c>
      <c r="N473" s="142" t="s">
        <v>16</v>
      </c>
      <c r="O473" s="111"/>
      <c r="P473" s="100" t="str">
        <f t="shared" si="51"/>
        <v>BNI IDR 768</v>
      </c>
      <c r="Q473" s="91"/>
      <c r="S473" s="112"/>
      <c r="T473" s="112"/>
      <c r="U473" s="113"/>
      <c r="V473" s="113"/>
      <c r="X473" s="102"/>
    </row>
    <row r="474" spans="1:24" s="101" customFormat="1" x14ac:dyDescent="0.25">
      <c r="A474" s="60" t="str">
        <f t="shared" si="49"/>
        <v>23111,01</v>
      </c>
      <c r="B474" s="60">
        <f>COUNTIF($J$7:J474,J474)</f>
        <v>23</v>
      </c>
      <c r="C474" s="60" t="str">
        <f t="shared" si="50"/>
        <v>0</v>
      </c>
      <c r="D474" s="60">
        <f>COUNTIF($K$7:K474,K474)</f>
        <v>0</v>
      </c>
      <c r="E474" s="91"/>
      <c r="F474" s="137">
        <v>44567.599826388891</v>
      </c>
      <c r="G474" s="116" t="s">
        <v>149</v>
      </c>
      <c r="H474" s="93" t="s">
        <v>213</v>
      </c>
      <c r="I474" s="126" t="s">
        <v>250</v>
      </c>
      <c r="J474" s="117">
        <v>111.01</v>
      </c>
      <c r="K474" s="108"/>
      <c r="L474" s="131"/>
      <c r="M474" s="132">
        <v>1000000</v>
      </c>
      <c r="N474" s="142" t="s">
        <v>16</v>
      </c>
      <c r="O474" s="111"/>
      <c r="P474" s="100" t="str">
        <f t="shared" si="51"/>
        <v>BNI IDR 768</v>
      </c>
      <c r="Q474" s="91"/>
      <c r="S474" s="112"/>
      <c r="T474" s="112"/>
      <c r="U474" s="113"/>
      <c r="V474" s="113"/>
      <c r="X474" s="102"/>
    </row>
    <row r="475" spans="1:24" s="101" customFormat="1" x14ac:dyDescent="0.25">
      <c r="A475" s="60" t="str">
        <f t="shared" si="49"/>
        <v>24111,01</v>
      </c>
      <c r="B475" s="60">
        <f>COUNTIF($J$7:J475,J475)</f>
        <v>24</v>
      </c>
      <c r="C475" s="60" t="str">
        <f t="shared" si="50"/>
        <v>0</v>
      </c>
      <c r="D475" s="60">
        <f>COUNTIF($K$7:K475,K475)</f>
        <v>0</v>
      </c>
      <c r="E475" s="91"/>
      <c r="F475" s="137">
        <v>44567.599826388891</v>
      </c>
      <c r="G475" s="116" t="s">
        <v>149</v>
      </c>
      <c r="H475" s="93" t="s">
        <v>213</v>
      </c>
      <c r="I475" s="126" t="s">
        <v>251</v>
      </c>
      <c r="J475" s="117">
        <v>111.01</v>
      </c>
      <c r="K475" s="108"/>
      <c r="L475" s="131"/>
      <c r="M475" s="132">
        <v>52800</v>
      </c>
      <c r="N475" s="142" t="s">
        <v>16</v>
      </c>
      <c r="O475" s="111"/>
      <c r="P475" s="100" t="str">
        <f t="shared" si="51"/>
        <v>BNI IDR 768</v>
      </c>
      <c r="Q475" s="91"/>
      <c r="S475" s="112"/>
      <c r="T475" s="112"/>
      <c r="U475" s="113"/>
      <c r="V475" s="113"/>
      <c r="X475" s="102"/>
    </row>
    <row r="476" spans="1:24" s="101" customFormat="1" x14ac:dyDescent="0.25">
      <c r="A476" s="60" t="str">
        <f t="shared" si="49"/>
        <v>25111,01</v>
      </c>
      <c r="B476" s="60">
        <f>COUNTIF($J$7:J476,J476)</f>
        <v>25</v>
      </c>
      <c r="C476" s="60" t="str">
        <f t="shared" si="50"/>
        <v>0</v>
      </c>
      <c r="D476" s="60">
        <f>COUNTIF($K$7:K476,K476)</f>
        <v>0</v>
      </c>
      <c r="E476" s="91"/>
      <c r="F476" s="137">
        <v>44567</v>
      </c>
      <c r="G476" s="116" t="s">
        <v>149</v>
      </c>
      <c r="H476" s="93" t="s">
        <v>213</v>
      </c>
      <c r="I476" s="126" t="s">
        <v>198</v>
      </c>
      <c r="J476" s="117">
        <v>111.01</v>
      </c>
      <c r="K476" s="108"/>
      <c r="L476" s="131"/>
      <c r="M476" s="132">
        <v>6500</v>
      </c>
      <c r="N476" s="142" t="s">
        <v>16</v>
      </c>
      <c r="O476" s="111"/>
      <c r="P476" s="100" t="str">
        <f t="shared" si="51"/>
        <v>BNI IDR 768</v>
      </c>
      <c r="Q476" s="91"/>
      <c r="S476" s="112"/>
      <c r="T476" s="112"/>
      <c r="U476" s="113"/>
      <c r="V476" s="113"/>
      <c r="X476" s="102"/>
    </row>
    <row r="477" spans="1:24" s="101" customFormat="1" ht="30" x14ac:dyDescent="0.25">
      <c r="A477" s="60" t="str">
        <f t="shared" si="49"/>
        <v>26111,01</v>
      </c>
      <c r="B477" s="60">
        <f>COUNTIF($J$7:J477,J477)</f>
        <v>26</v>
      </c>
      <c r="C477" s="60" t="str">
        <f t="shared" si="50"/>
        <v>0</v>
      </c>
      <c r="D477" s="60">
        <f>COUNTIF($K$7:K477,K477)</f>
        <v>0</v>
      </c>
      <c r="E477" s="91"/>
      <c r="F477" s="137">
        <v>44567.599826388891</v>
      </c>
      <c r="G477" s="116" t="s">
        <v>149</v>
      </c>
      <c r="H477" s="93" t="s">
        <v>220</v>
      </c>
      <c r="I477" s="126" t="s">
        <v>221</v>
      </c>
      <c r="J477" s="117">
        <v>111.01</v>
      </c>
      <c r="K477" s="108"/>
      <c r="L477" s="131"/>
      <c r="M477" s="132">
        <v>1029160</v>
      </c>
      <c r="N477" s="142" t="s">
        <v>16</v>
      </c>
      <c r="O477" s="111"/>
      <c r="P477" s="100" t="str">
        <f t="shared" si="51"/>
        <v>BNI IDR 768</v>
      </c>
      <c r="Q477" s="91"/>
      <c r="S477" s="112"/>
      <c r="T477" s="112"/>
      <c r="U477" s="113"/>
      <c r="V477" s="113"/>
      <c r="X477" s="102"/>
    </row>
    <row r="478" spans="1:24" s="101" customFormat="1" x14ac:dyDescent="0.25">
      <c r="A478" s="60" t="str">
        <f t="shared" si="49"/>
        <v>27111,01</v>
      </c>
      <c r="B478" s="60">
        <f>COUNTIF($J$7:J478,J478)</f>
        <v>27</v>
      </c>
      <c r="C478" s="60" t="str">
        <f t="shared" si="50"/>
        <v>0</v>
      </c>
      <c r="D478" s="60">
        <f>COUNTIF($K$7:K478,K478)</f>
        <v>0</v>
      </c>
      <c r="E478" s="91"/>
      <c r="F478" s="137">
        <v>44567</v>
      </c>
      <c r="G478" s="116" t="s">
        <v>149</v>
      </c>
      <c r="H478" s="93" t="s">
        <v>220</v>
      </c>
      <c r="I478" s="126" t="s">
        <v>198</v>
      </c>
      <c r="J478" s="117">
        <v>111.01</v>
      </c>
      <c r="K478" s="108"/>
      <c r="L478" s="131"/>
      <c r="M478" s="132">
        <v>6500</v>
      </c>
      <c r="N478" s="142" t="s">
        <v>16</v>
      </c>
      <c r="O478" s="111"/>
      <c r="P478" s="100" t="str">
        <f t="shared" si="51"/>
        <v>BNI IDR 768</v>
      </c>
      <c r="Q478" s="91"/>
      <c r="S478" s="112"/>
      <c r="T478" s="112"/>
      <c r="U478" s="113"/>
      <c r="V478" s="113"/>
      <c r="X478" s="102"/>
    </row>
    <row r="479" spans="1:24" s="101" customFormat="1" x14ac:dyDescent="0.25">
      <c r="A479" s="60" t="str">
        <f t="shared" si="49"/>
        <v>28111,01</v>
      </c>
      <c r="B479" s="60">
        <f>COUNTIF($J$7:J479,J479)</f>
        <v>28</v>
      </c>
      <c r="C479" s="60" t="str">
        <f t="shared" si="50"/>
        <v>0</v>
      </c>
      <c r="D479" s="60">
        <f>COUNTIF($K$7:K479,K479)</f>
        <v>0</v>
      </c>
      <c r="E479" s="91"/>
      <c r="F479" s="137">
        <v>44567.599826388891</v>
      </c>
      <c r="G479" s="116" t="s">
        <v>149</v>
      </c>
      <c r="H479" s="93" t="s">
        <v>222</v>
      </c>
      <c r="I479" s="126" t="s">
        <v>223</v>
      </c>
      <c r="J479" s="117">
        <v>111.01</v>
      </c>
      <c r="K479" s="108"/>
      <c r="L479" s="131"/>
      <c r="M479" s="132">
        <v>521400</v>
      </c>
      <c r="N479" s="142" t="s">
        <v>16</v>
      </c>
      <c r="O479" s="111"/>
      <c r="P479" s="100" t="str">
        <f t="shared" si="51"/>
        <v>BNI IDR 768</v>
      </c>
      <c r="Q479" s="91"/>
      <c r="S479" s="112"/>
      <c r="T479" s="112"/>
      <c r="U479" s="113"/>
      <c r="V479" s="113"/>
      <c r="X479" s="102"/>
    </row>
    <row r="480" spans="1:24" s="101" customFormat="1" x14ac:dyDescent="0.25">
      <c r="A480" s="60" t="str">
        <f t="shared" si="49"/>
        <v>29111,01</v>
      </c>
      <c r="B480" s="60">
        <f>COUNTIF($J$7:J480,J480)</f>
        <v>29</v>
      </c>
      <c r="C480" s="60" t="str">
        <f t="shared" si="50"/>
        <v>0</v>
      </c>
      <c r="D480" s="60">
        <f>COUNTIF($K$7:K480,K480)</f>
        <v>0</v>
      </c>
      <c r="E480" s="91"/>
      <c r="F480" s="137">
        <v>44567.599826388891</v>
      </c>
      <c r="G480" s="116" t="s">
        <v>149</v>
      </c>
      <c r="H480" s="93" t="s">
        <v>222</v>
      </c>
      <c r="I480" s="126" t="s">
        <v>224</v>
      </c>
      <c r="J480" s="117">
        <v>111.01</v>
      </c>
      <c r="K480" s="108"/>
      <c r="L480" s="131"/>
      <c r="M480" s="132">
        <v>2500</v>
      </c>
      <c r="N480" s="142" t="s">
        <v>16</v>
      </c>
      <c r="O480" s="111"/>
      <c r="P480" s="100" t="str">
        <f t="shared" si="51"/>
        <v>BNI IDR 768</v>
      </c>
      <c r="Q480" s="91"/>
      <c r="S480" s="112"/>
      <c r="T480" s="112"/>
      <c r="U480" s="113"/>
      <c r="V480" s="113"/>
      <c r="X480" s="102"/>
    </row>
    <row r="481" spans="1:24" s="101" customFormat="1" x14ac:dyDescent="0.25">
      <c r="A481" s="60" t="str">
        <f t="shared" si="49"/>
        <v>30111,01</v>
      </c>
      <c r="B481" s="60">
        <f>COUNTIF($J$7:J481,J481)</f>
        <v>30</v>
      </c>
      <c r="C481" s="60" t="str">
        <f t="shared" si="50"/>
        <v>0</v>
      </c>
      <c r="D481" s="60">
        <f>COUNTIF($K$7:K481,K481)</f>
        <v>0</v>
      </c>
      <c r="E481" s="91"/>
      <c r="F481" s="137">
        <v>44567.599826388891</v>
      </c>
      <c r="G481" s="116" t="s">
        <v>149</v>
      </c>
      <c r="H481" s="93" t="s">
        <v>225</v>
      </c>
      <c r="I481" s="126" t="s">
        <v>226</v>
      </c>
      <c r="J481" s="117">
        <v>111.01</v>
      </c>
      <c r="K481" s="108"/>
      <c r="L481" s="131"/>
      <c r="M481" s="132">
        <v>432298</v>
      </c>
      <c r="N481" s="142" t="s">
        <v>16</v>
      </c>
      <c r="O481" s="111"/>
      <c r="P481" s="100" t="str">
        <f t="shared" si="51"/>
        <v>BNI IDR 768</v>
      </c>
      <c r="Q481" s="91"/>
      <c r="S481" s="112"/>
      <c r="T481" s="112"/>
      <c r="U481" s="113"/>
      <c r="V481" s="113"/>
      <c r="X481" s="102"/>
    </row>
    <row r="482" spans="1:24" s="101" customFormat="1" x14ac:dyDescent="0.25">
      <c r="A482" s="60" t="str">
        <f t="shared" si="49"/>
        <v>31111,01</v>
      </c>
      <c r="B482" s="60">
        <f>COUNTIF($J$7:J482,J482)</f>
        <v>31</v>
      </c>
      <c r="C482" s="60" t="str">
        <f t="shared" si="50"/>
        <v>0</v>
      </c>
      <c r="D482" s="60">
        <f>COUNTIF($K$7:K482,K482)</f>
        <v>0</v>
      </c>
      <c r="E482" s="91"/>
      <c r="F482" s="137">
        <v>44567.599826388891</v>
      </c>
      <c r="G482" s="116" t="s">
        <v>149</v>
      </c>
      <c r="H482" s="93" t="s">
        <v>225</v>
      </c>
      <c r="I482" s="126" t="s">
        <v>224</v>
      </c>
      <c r="J482" s="117">
        <v>111.01</v>
      </c>
      <c r="K482" s="108"/>
      <c r="L482" s="131"/>
      <c r="M482" s="132">
        <v>2500</v>
      </c>
      <c r="N482" s="142" t="s">
        <v>16</v>
      </c>
      <c r="O482" s="111"/>
      <c r="P482" s="100" t="str">
        <f t="shared" si="51"/>
        <v>BNI IDR 768</v>
      </c>
      <c r="Q482" s="91"/>
      <c r="S482" s="112"/>
      <c r="T482" s="112"/>
      <c r="U482" s="113"/>
      <c r="V482" s="113"/>
      <c r="X482" s="102"/>
    </row>
    <row r="483" spans="1:24" s="101" customFormat="1" x14ac:dyDescent="0.25">
      <c r="A483" s="60" t="str">
        <f t="shared" si="49"/>
        <v>32111,01</v>
      </c>
      <c r="B483" s="60">
        <f>COUNTIF($J$7:J483,J483)</f>
        <v>32</v>
      </c>
      <c r="C483" s="60" t="str">
        <f t="shared" si="50"/>
        <v>0</v>
      </c>
      <c r="D483" s="60">
        <f>COUNTIF($K$7:K483,K483)</f>
        <v>0</v>
      </c>
      <c r="E483" s="91"/>
      <c r="F483" s="137">
        <v>44567.59983796296</v>
      </c>
      <c r="G483" s="116" t="s">
        <v>149</v>
      </c>
      <c r="H483" s="93" t="s">
        <v>227</v>
      </c>
      <c r="I483" s="126" t="s">
        <v>228</v>
      </c>
      <c r="J483" s="117">
        <v>111.01</v>
      </c>
      <c r="K483" s="108"/>
      <c r="L483" s="131"/>
      <c r="M483" s="132">
        <v>600000</v>
      </c>
      <c r="N483" s="142" t="s">
        <v>16</v>
      </c>
      <c r="O483" s="111"/>
      <c r="P483" s="100" t="str">
        <f t="shared" si="51"/>
        <v>BNI IDR 768</v>
      </c>
      <c r="Q483" s="91"/>
      <c r="S483" s="112"/>
      <c r="T483" s="112"/>
      <c r="U483" s="113"/>
      <c r="V483" s="113"/>
      <c r="X483" s="102"/>
    </row>
    <row r="484" spans="1:24" s="101" customFormat="1" x14ac:dyDescent="0.25">
      <c r="A484" s="60" t="str">
        <f t="shared" si="49"/>
        <v>33111,01</v>
      </c>
      <c r="B484" s="60">
        <f>COUNTIF($J$7:J484,J484)</f>
        <v>33</v>
      </c>
      <c r="C484" s="60" t="str">
        <f t="shared" si="50"/>
        <v>0</v>
      </c>
      <c r="D484" s="60">
        <f>COUNTIF($K$7:K484,K484)</f>
        <v>0</v>
      </c>
      <c r="E484" s="91"/>
      <c r="F484" s="137">
        <v>44567.59983796296</v>
      </c>
      <c r="G484" s="116" t="s">
        <v>149</v>
      </c>
      <c r="H484" s="93" t="s">
        <v>229</v>
      </c>
      <c r="I484" s="126" t="s">
        <v>230</v>
      </c>
      <c r="J484" s="117">
        <v>111.01</v>
      </c>
      <c r="K484" s="108"/>
      <c r="L484" s="131"/>
      <c r="M484" s="132">
        <v>503377</v>
      </c>
      <c r="N484" s="142" t="s">
        <v>16</v>
      </c>
      <c r="O484" s="111"/>
      <c r="P484" s="100" t="str">
        <f t="shared" si="51"/>
        <v>BNI IDR 768</v>
      </c>
      <c r="Q484" s="91"/>
      <c r="S484" s="112"/>
      <c r="T484" s="112"/>
      <c r="U484" s="113"/>
      <c r="V484" s="113"/>
      <c r="X484" s="102"/>
    </row>
    <row r="485" spans="1:24" s="101" customFormat="1" x14ac:dyDescent="0.25">
      <c r="A485" s="60" t="str">
        <f t="shared" si="49"/>
        <v>34111,01</v>
      </c>
      <c r="B485" s="60">
        <f>COUNTIF($J$7:J485,J485)</f>
        <v>34</v>
      </c>
      <c r="C485" s="60" t="str">
        <f t="shared" si="50"/>
        <v>0</v>
      </c>
      <c r="D485" s="60">
        <f>COUNTIF($K$7:K485,K485)</f>
        <v>0</v>
      </c>
      <c r="E485" s="91"/>
      <c r="F485" s="137">
        <v>44567.59983796296</v>
      </c>
      <c r="G485" s="116" t="s">
        <v>149</v>
      </c>
      <c r="H485" s="93" t="s">
        <v>231</v>
      </c>
      <c r="I485" s="126" t="s">
        <v>232</v>
      </c>
      <c r="J485" s="117">
        <v>111.01</v>
      </c>
      <c r="K485" s="108"/>
      <c r="L485" s="131"/>
      <c r="M485" s="132">
        <v>1000000</v>
      </c>
      <c r="N485" s="142" t="s">
        <v>16</v>
      </c>
      <c r="O485" s="111"/>
      <c r="P485" s="100" t="str">
        <f t="shared" si="51"/>
        <v>BNI IDR 768</v>
      </c>
      <c r="Q485" s="91"/>
      <c r="S485" s="112"/>
      <c r="T485" s="112"/>
      <c r="U485" s="113"/>
      <c r="V485" s="113"/>
      <c r="X485" s="102"/>
    </row>
    <row r="486" spans="1:24" s="101" customFormat="1" x14ac:dyDescent="0.25">
      <c r="A486" s="60" t="str">
        <f t="shared" si="49"/>
        <v>35111,01</v>
      </c>
      <c r="B486" s="60">
        <f>COUNTIF($J$7:J486,J486)</f>
        <v>35</v>
      </c>
      <c r="C486" s="60" t="str">
        <f t="shared" si="50"/>
        <v>0</v>
      </c>
      <c r="D486" s="60">
        <f>COUNTIF($K$7:K486,K486)</f>
        <v>0</v>
      </c>
      <c r="E486" s="91"/>
      <c r="F486" s="137">
        <v>44567.59983796296</v>
      </c>
      <c r="G486" s="116" t="s">
        <v>149</v>
      </c>
      <c r="H486" s="93" t="s">
        <v>231</v>
      </c>
      <c r="I486" s="126" t="s">
        <v>233</v>
      </c>
      <c r="J486" s="117">
        <v>111.01</v>
      </c>
      <c r="K486" s="108"/>
      <c r="L486" s="131"/>
      <c r="M486" s="132">
        <v>22000</v>
      </c>
      <c r="N486" s="142" t="s">
        <v>16</v>
      </c>
      <c r="O486" s="111"/>
      <c r="P486" s="100" t="str">
        <f t="shared" si="51"/>
        <v>BNI IDR 768</v>
      </c>
      <c r="Q486" s="91"/>
      <c r="S486" s="112"/>
      <c r="T486" s="112"/>
      <c r="U486" s="113"/>
      <c r="V486" s="113"/>
      <c r="X486" s="102"/>
    </row>
    <row r="487" spans="1:24" s="101" customFormat="1" x14ac:dyDescent="0.25">
      <c r="A487" s="60" t="str">
        <f t="shared" si="49"/>
        <v>36111,01</v>
      </c>
      <c r="B487" s="60">
        <f>COUNTIF($J$7:J487,J487)</f>
        <v>36</v>
      </c>
      <c r="C487" s="60" t="str">
        <f t="shared" si="50"/>
        <v>0</v>
      </c>
      <c r="D487" s="60">
        <f>COUNTIF($K$7:K487,K487)</f>
        <v>0</v>
      </c>
      <c r="E487" s="91"/>
      <c r="F487" s="137">
        <v>44567</v>
      </c>
      <c r="G487" s="116" t="s">
        <v>149</v>
      </c>
      <c r="H487" s="93" t="s">
        <v>231</v>
      </c>
      <c r="I487" s="126" t="s">
        <v>224</v>
      </c>
      <c r="J487" s="117">
        <v>111.01</v>
      </c>
      <c r="K487" s="108"/>
      <c r="L487" s="131"/>
      <c r="M487" s="132">
        <v>6500</v>
      </c>
      <c r="N487" s="142" t="s">
        <v>16</v>
      </c>
      <c r="O487" s="111"/>
      <c r="P487" s="100" t="str">
        <f t="shared" si="51"/>
        <v>BNI IDR 768</v>
      </c>
      <c r="Q487" s="91"/>
      <c r="S487" s="112"/>
      <c r="T487" s="112"/>
      <c r="U487" s="113"/>
      <c r="V487" s="113"/>
      <c r="X487" s="102"/>
    </row>
    <row r="488" spans="1:24" s="101" customFormat="1" x14ac:dyDescent="0.25">
      <c r="A488" s="60" t="str">
        <f t="shared" si="49"/>
        <v>37111,01</v>
      </c>
      <c r="B488" s="60">
        <f>COUNTIF($J$7:J488,J488)</f>
        <v>37</v>
      </c>
      <c r="C488" s="60" t="str">
        <f t="shared" si="50"/>
        <v>0</v>
      </c>
      <c r="D488" s="60">
        <f>COUNTIF($K$7:K488,K488)</f>
        <v>0</v>
      </c>
      <c r="E488" s="91"/>
      <c r="F488" s="137">
        <v>44567.599861111114</v>
      </c>
      <c r="G488" s="116" t="s">
        <v>149</v>
      </c>
      <c r="H488" s="93" t="s">
        <v>234</v>
      </c>
      <c r="I488" s="126" t="s">
        <v>235</v>
      </c>
      <c r="J488" s="117">
        <v>111.01</v>
      </c>
      <c r="K488" s="108"/>
      <c r="L488" s="131"/>
      <c r="M488" s="132">
        <v>429730</v>
      </c>
      <c r="N488" s="142" t="s">
        <v>16</v>
      </c>
      <c r="O488" s="111"/>
      <c r="P488" s="100" t="str">
        <f t="shared" si="51"/>
        <v>BNI IDR 768</v>
      </c>
      <c r="Q488" s="91"/>
      <c r="S488" s="112"/>
      <c r="T488" s="112"/>
      <c r="U488" s="113"/>
      <c r="V488" s="113"/>
      <c r="X488" s="102"/>
    </row>
    <row r="489" spans="1:24" s="101" customFormat="1" x14ac:dyDescent="0.25">
      <c r="A489" s="60" t="str">
        <f t="shared" si="49"/>
        <v>38111,01</v>
      </c>
      <c r="B489" s="60">
        <f>COUNTIF($J$7:J489,J489)</f>
        <v>38</v>
      </c>
      <c r="C489" s="60" t="str">
        <f t="shared" si="50"/>
        <v>0</v>
      </c>
      <c r="D489" s="60">
        <f>COUNTIF($K$7:K489,K489)</f>
        <v>0</v>
      </c>
      <c r="E489" s="91"/>
      <c r="F489" s="137">
        <v>44567.599861111114</v>
      </c>
      <c r="G489" s="116" t="s">
        <v>149</v>
      </c>
      <c r="H489" s="93" t="s">
        <v>236</v>
      </c>
      <c r="I489" s="126" t="s">
        <v>237</v>
      </c>
      <c r="J489" s="117">
        <v>111.01</v>
      </c>
      <c r="K489" s="108"/>
      <c r="L489" s="131"/>
      <c r="M489" s="132">
        <v>440000</v>
      </c>
      <c r="N489" s="142" t="s">
        <v>16</v>
      </c>
      <c r="O489" s="111"/>
      <c r="P489" s="100" t="str">
        <f t="shared" si="51"/>
        <v>BNI IDR 768</v>
      </c>
      <c r="Q489" s="91"/>
      <c r="S489" s="112"/>
      <c r="T489" s="112"/>
      <c r="U489" s="113"/>
      <c r="V489" s="113"/>
      <c r="X489" s="102"/>
    </row>
    <row r="490" spans="1:24" s="101" customFormat="1" x14ac:dyDescent="0.25">
      <c r="A490" s="60" t="str">
        <f t="shared" si="49"/>
        <v>39111,01</v>
      </c>
      <c r="B490" s="60">
        <f>COUNTIF($J$7:J490,J490)</f>
        <v>39</v>
      </c>
      <c r="C490" s="60" t="str">
        <f t="shared" si="50"/>
        <v>0</v>
      </c>
      <c r="D490" s="60">
        <f>COUNTIF($K$7:K490,K490)</f>
        <v>0</v>
      </c>
      <c r="E490" s="91"/>
      <c r="F490" s="137">
        <v>44567.599861111114</v>
      </c>
      <c r="G490" s="116" t="s">
        <v>149</v>
      </c>
      <c r="H490" s="93" t="s">
        <v>236</v>
      </c>
      <c r="I490" s="126" t="s">
        <v>224</v>
      </c>
      <c r="J490" s="117">
        <v>111.01</v>
      </c>
      <c r="K490" s="108"/>
      <c r="L490" s="131"/>
      <c r="M490" s="132">
        <v>2500</v>
      </c>
      <c r="N490" s="142" t="s">
        <v>16</v>
      </c>
      <c r="O490" s="111"/>
      <c r="P490" s="100" t="str">
        <f t="shared" si="51"/>
        <v>BNI IDR 768</v>
      </c>
      <c r="Q490" s="91"/>
      <c r="S490" s="112"/>
      <c r="T490" s="112"/>
      <c r="U490" s="113"/>
      <c r="V490" s="113"/>
      <c r="X490" s="102"/>
    </row>
    <row r="491" spans="1:24" s="101" customFormat="1" x14ac:dyDescent="0.25">
      <c r="A491" s="60" t="str">
        <f t="shared" si="49"/>
        <v>40111,01</v>
      </c>
      <c r="B491" s="60">
        <f>COUNTIF($J$7:J491,J491)</f>
        <v>40</v>
      </c>
      <c r="C491" s="60" t="str">
        <f t="shared" si="50"/>
        <v>0</v>
      </c>
      <c r="D491" s="60">
        <f>COUNTIF($K$7:K491,K491)</f>
        <v>0</v>
      </c>
      <c r="E491" s="91"/>
      <c r="F491" s="137">
        <v>44567.657719907409</v>
      </c>
      <c r="G491" s="116" t="s">
        <v>149</v>
      </c>
      <c r="H491" s="93" t="s">
        <v>238</v>
      </c>
      <c r="I491" s="126" t="s">
        <v>239</v>
      </c>
      <c r="J491" s="117">
        <v>111.01</v>
      </c>
      <c r="K491" s="108"/>
      <c r="L491" s="131"/>
      <c r="M491" s="132">
        <v>1290100</v>
      </c>
      <c r="N491" s="142" t="s">
        <v>16</v>
      </c>
      <c r="O491" s="111"/>
      <c r="P491" s="100" t="str">
        <f t="shared" si="51"/>
        <v>BNI IDR 768</v>
      </c>
      <c r="Q491" s="91"/>
      <c r="S491" s="112"/>
      <c r="T491" s="112"/>
      <c r="U491" s="113"/>
      <c r="V491" s="113"/>
      <c r="X491" s="102"/>
    </row>
    <row r="492" spans="1:24" s="101" customFormat="1" x14ac:dyDescent="0.25">
      <c r="A492" s="60" t="str">
        <f t="shared" si="49"/>
        <v>41111,01</v>
      </c>
      <c r="B492" s="60">
        <f>COUNTIF($J$7:J492,J492)</f>
        <v>41</v>
      </c>
      <c r="C492" s="60" t="str">
        <f t="shared" si="50"/>
        <v>0</v>
      </c>
      <c r="D492" s="60">
        <f>COUNTIF($K$7:K492,K492)</f>
        <v>0</v>
      </c>
      <c r="E492" s="91"/>
      <c r="F492" s="137">
        <v>44567.657743055555</v>
      </c>
      <c r="G492" s="116" t="s">
        <v>149</v>
      </c>
      <c r="H492" s="93" t="s">
        <v>240</v>
      </c>
      <c r="I492" s="126" t="s">
        <v>241</v>
      </c>
      <c r="J492" s="117">
        <v>111.01</v>
      </c>
      <c r="K492" s="108"/>
      <c r="L492" s="131"/>
      <c r="M492" s="132">
        <v>2438000</v>
      </c>
      <c r="N492" s="142" t="s">
        <v>16</v>
      </c>
      <c r="O492" s="111"/>
      <c r="P492" s="100" t="str">
        <f t="shared" si="51"/>
        <v>BNI IDR 768</v>
      </c>
      <c r="Q492" s="91"/>
      <c r="S492" s="112"/>
      <c r="T492" s="112"/>
      <c r="U492" s="113"/>
      <c r="V492" s="113"/>
      <c r="X492" s="102"/>
    </row>
    <row r="493" spans="1:24" s="101" customFormat="1" hidden="1" x14ac:dyDescent="0.25">
      <c r="A493" s="60" t="str">
        <f t="shared" si="49"/>
        <v>42111,01</v>
      </c>
      <c r="B493" s="60">
        <f>COUNTIF($J$7:J493,J493)</f>
        <v>42</v>
      </c>
      <c r="C493" s="60" t="str">
        <f t="shared" si="50"/>
        <v>0</v>
      </c>
      <c r="D493" s="60">
        <f>COUNTIF($K$7:K493,K493)</f>
        <v>0</v>
      </c>
      <c r="E493" s="91"/>
      <c r="F493" s="137">
        <v>44568.630254629628</v>
      </c>
      <c r="G493" s="116" t="s">
        <v>149</v>
      </c>
      <c r="H493" s="93" t="s">
        <v>242</v>
      </c>
      <c r="I493" s="126" t="s">
        <v>243</v>
      </c>
      <c r="J493" s="117">
        <v>111.01</v>
      </c>
      <c r="K493" s="108"/>
      <c r="L493" s="131"/>
      <c r="M493" s="132">
        <v>2495840</v>
      </c>
      <c r="N493" s="132"/>
      <c r="O493" s="111"/>
      <c r="P493" s="100" t="str">
        <f t="shared" si="51"/>
        <v>BNI IDR 768</v>
      </c>
      <c r="Q493" s="91"/>
      <c r="S493" s="112"/>
      <c r="T493" s="112"/>
      <c r="U493" s="113"/>
      <c r="V493" s="113"/>
      <c r="X493" s="102"/>
    </row>
    <row r="494" spans="1:24" s="101" customFormat="1" hidden="1" x14ac:dyDescent="0.25">
      <c r="A494" s="60" t="str">
        <f t="shared" si="49"/>
        <v>43111,01</v>
      </c>
      <c r="B494" s="60">
        <f>COUNTIF($J$7:J494,J494)</f>
        <v>43</v>
      </c>
      <c r="C494" s="60" t="str">
        <f t="shared" si="50"/>
        <v>0</v>
      </c>
      <c r="D494" s="60">
        <f>COUNTIF($K$7:K494,K494)</f>
        <v>0</v>
      </c>
      <c r="E494" s="91"/>
      <c r="F494" s="137">
        <v>44568.630266203705</v>
      </c>
      <c r="G494" s="116" t="s">
        <v>149</v>
      </c>
      <c r="H494" s="93" t="s">
        <v>244</v>
      </c>
      <c r="I494" s="126" t="s">
        <v>245</v>
      </c>
      <c r="J494" s="117">
        <v>111.01</v>
      </c>
      <c r="K494" s="108"/>
      <c r="L494" s="131"/>
      <c r="M494" s="132">
        <v>1911000</v>
      </c>
      <c r="N494" s="132"/>
      <c r="O494" s="111"/>
      <c r="P494" s="100" t="str">
        <f t="shared" si="51"/>
        <v>BNI IDR 768</v>
      </c>
      <c r="Q494" s="91"/>
      <c r="S494" s="112"/>
      <c r="T494" s="112"/>
      <c r="U494" s="113"/>
      <c r="V494" s="113"/>
      <c r="X494" s="102"/>
    </row>
    <row r="495" spans="1:24" s="101" customFormat="1" hidden="1" x14ac:dyDescent="0.25">
      <c r="A495" s="60" t="str">
        <f t="shared" si="49"/>
        <v>44111,01</v>
      </c>
      <c r="B495" s="60">
        <f>COUNTIF($J$7:J495,J495)</f>
        <v>44</v>
      </c>
      <c r="C495" s="60" t="str">
        <f t="shared" si="50"/>
        <v>0</v>
      </c>
      <c r="D495" s="60">
        <f>COUNTIF($K$7:K495,K495)</f>
        <v>0</v>
      </c>
      <c r="E495" s="91"/>
      <c r="F495" s="137">
        <v>44568.630266203705</v>
      </c>
      <c r="G495" s="116" t="s">
        <v>149</v>
      </c>
      <c r="H495" s="93" t="s">
        <v>244</v>
      </c>
      <c r="I495" s="126" t="s">
        <v>245</v>
      </c>
      <c r="J495" s="117">
        <v>111.01</v>
      </c>
      <c r="K495" s="108"/>
      <c r="L495" s="131"/>
      <c r="M495" s="132">
        <v>39000</v>
      </c>
      <c r="N495" s="132"/>
      <c r="O495" s="111"/>
      <c r="P495" s="100" t="str">
        <f t="shared" si="51"/>
        <v>BNI IDR 768</v>
      </c>
      <c r="Q495" s="91"/>
      <c r="S495" s="112"/>
      <c r="T495" s="112"/>
      <c r="U495" s="113"/>
      <c r="V495" s="113"/>
      <c r="X495" s="102"/>
    </row>
    <row r="496" spans="1:24" s="101" customFormat="1" hidden="1" x14ac:dyDescent="0.25">
      <c r="A496" s="60" t="str">
        <f t="shared" si="49"/>
        <v>45111,01</v>
      </c>
      <c r="B496" s="60">
        <f>COUNTIF($J$7:J496,J496)</f>
        <v>45</v>
      </c>
      <c r="C496" s="60" t="str">
        <f t="shared" si="50"/>
        <v>0</v>
      </c>
      <c r="D496" s="60">
        <f>COUNTIF($K$7:K496,K496)</f>
        <v>0</v>
      </c>
      <c r="E496" s="91"/>
      <c r="F496" s="137">
        <v>44568</v>
      </c>
      <c r="G496" s="116" t="s">
        <v>149</v>
      </c>
      <c r="H496" s="93" t="s">
        <v>244</v>
      </c>
      <c r="I496" s="126" t="s">
        <v>198</v>
      </c>
      <c r="J496" s="117">
        <v>111.01</v>
      </c>
      <c r="K496" s="108"/>
      <c r="L496" s="131"/>
      <c r="M496" s="132">
        <v>6500</v>
      </c>
      <c r="N496" s="132"/>
      <c r="O496" s="111"/>
      <c r="P496" s="100" t="str">
        <f t="shared" si="51"/>
        <v>BNI IDR 768</v>
      </c>
      <c r="Q496" s="91"/>
      <c r="S496" s="112"/>
      <c r="T496" s="112"/>
      <c r="U496" s="113"/>
      <c r="V496" s="113"/>
      <c r="X496" s="102"/>
    </row>
    <row r="497" spans="1:24" s="101" customFormat="1" ht="30" hidden="1" x14ac:dyDescent="0.25">
      <c r="A497" s="60" t="str">
        <f t="shared" si="49"/>
        <v>46111,01</v>
      </c>
      <c r="B497" s="60">
        <f>COUNTIF($J$7:J497,J497)</f>
        <v>46</v>
      </c>
      <c r="C497" s="60" t="str">
        <f t="shared" si="50"/>
        <v>0</v>
      </c>
      <c r="D497" s="60">
        <f>COUNTIF($K$7:K497,K497)</f>
        <v>0</v>
      </c>
      <c r="E497" s="91"/>
      <c r="F497" s="137">
        <v>44568.630277777775</v>
      </c>
      <c r="G497" s="116" t="s">
        <v>149</v>
      </c>
      <c r="H497" s="93" t="s">
        <v>246</v>
      </c>
      <c r="I497" s="126" t="s">
        <v>247</v>
      </c>
      <c r="J497" s="117">
        <v>111.01</v>
      </c>
      <c r="K497" s="108"/>
      <c r="L497" s="131"/>
      <c r="M497" s="132">
        <v>5825100</v>
      </c>
      <c r="N497" s="132"/>
      <c r="O497" s="111"/>
      <c r="P497" s="100" t="str">
        <f t="shared" si="51"/>
        <v>BNI IDR 768</v>
      </c>
      <c r="Q497" s="91"/>
      <c r="S497" s="112"/>
      <c r="T497" s="112"/>
      <c r="U497" s="113"/>
      <c r="V497" s="113"/>
      <c r="X497" s="102"/>
    </row>
    <row r="498" spans="1:24" s="101" customFormat="1" hidden="1" x14ac:dyDescent="0.25">
      <c r="A498" s="60" t="str">
        <f t="shared" si="49"/>
        <v>47111,01</v>
      </c>
      <c r="B498" s="60">
        <f>COUNTIF($J$7:J498,J498)</f>
        <v>47</v>
      </c>
      <c r="C498" s="60" t="str">
        <f t="shared" si="50"/>
        <v>0</v>
      </c>
      <c r="D498" s="60">
        <f>COUNTIF($K$7:K498,K498)</f>
        <v>0</v>
      </c>
      <c r="E498" s="91"/>
      <c r="F498" s="137">
        <v>44568</v>
      </c>
      <c r="G498" s="116" t="s">
        <v>149</v>
      </c>
      <c r="H498" s="93" t="s">
        <v>246</v>
      </c>
      <c r="I498" s="126" t="s">
        <v>198</v>
      </c>
      <c r="J498" s="117">
        <v>111.01</v>
      </c>
      <c r="K498" s="108"/>
      <c r="L498" s="131"/>
      <c r="M498" s="132">
        <v>6500</v>
      </c>
      <c r="N498" s="132"/>
      <c r="O498" s="111"/>
      <c r="P498" s="100" t="str">
        <f t="shared" si="51"/>
        <v>BNI IDR 768</v>
      </c>
      <c r="Q498" s="91"/>
      <c r="S498" s="112"/>
      <c r="T498" s="112"/>
      <c r="U498" s="113"/>
      <c r="V498" s="113"/>
      <c r="X498" s="102"/>
    </row>
    <row r="499" spans="1:24" s="101" customFormat="1" hidden="1" x14ac:dyDescent="0.25">
      <c r="A499" s="60" t="str">
        <f t="shared" si="49"/>
        <v>48111,01</v>
      </c>
      <c r="B499" s="60">
        <f>COUNTIF($J$7:J499,J499)</f>
        <v>48</v>
      </c>
      <c r="C499" s="60" t="str">
        <f t="shared" si="50"/>
        <v>0</v>
      </c>
      <c r="D499" s="60">
        <f>COUNTIF($K$7:K499,K499)</f>
        <v>0</v>
      </c>
      <c r="E499" s="91"/>
      <c r="F499" s="137">
        <v>44568.630277777775</v>
      </c>
      <c r="G499" s="116" t="s">
        <v>149</v>
      </c>
      <c r="H499" s="93" t="s">
        <v>248</v>
      </c>
      <c r="I499" s="126" t="s">
        <v>249</v>
      </c>
      <c r="J499" s="117">
        <v>111.01</v>
      </c>
      <c r="K499" s="108"/>
      <c r="L499" s="131"/>
      <c r="M499" s="132">
        <v>1672752</v>
      </c>
      <c r="N499" s="132"/>
      <c r="O499" s="111"/>
      <c r="P499" s="100" t="str">
        <f t="shared" si="51"/>
        <v>BNI IDR 768</v>
      </c>
      <c r="Q499" s="91"/>
      <c r="S499" s="112"/>
      <c r="T499" s="112"/>
      <c r="U499" s="113"/>
      <c r="V499" s="113"/>
      <c r="X499" s="102"/>
    </row>
    <row r="500" spans="1:24" s="101" customFormat="1" hidden="1" x14ac:dyDescent="0.25">
      <c r="A500" s="60" t="str">
        <f t="shared" si="49"/>
        <v>49111,01</v>
      </c>
      <c r="B500" s="60">
        <f>COUNTIF($J$7:J500,J500)</f>
        <v>49</v>
      </c>
      <c r="C500" s="60" t="str">
        <f t="shared" si="50"/>
        <v>0</v>
      </c>
      <c r="D500" s="60">
        <f>COUNTIF($K$7:K500,K500)</f>
        <v>0</v>
      </c>
      <c r="E500" s="91"/>
      <c r="F500" s="92">
        <v>44571.602326388886</v>
      </c>
      <c r="G500" s="116" t="s">
        <v>149</v>
      </c>
      <c r="H500" s="93" t="s">
        <v>252</v>
      </c>
      <c r="I500" s="161" t="s">
        <v>253</v>
      </c>
      <c r="J500" s="117">
        <v>111.01</v>
      </c>
      <c r="K500" s="108"/>
      <c r="L500" s="131">
        <v>12045000</v>
      </c>
      <c r="M500" s="117"/>
      <c r="N500" s="117"/>
      <c r="O500" s="111"/>
      <c r="P500" s="100" t="str">
        <f t="shared" si="51"/>
        <v>BNI IDR 768</v>
      </c>
      <c r="Q500" s="91"/>
      <c r="S500" s="112"/>
      <c r="T500" s="112"/>
      <c r="U500" s="113"/>
      <c r="V500" s="113"/>
      <c r="X500" s="102"/>
    </row>
    <row r="501" spans="1:24" s="101" customFormat="1" hidden="1" x14ac:dyDescent="0.25">
      <c r="A501" s="60" t="str">
        <f t="shared" si="49"/>
        <v>119112</v>
      </c>
      <c r="B501" s="60">
        <f>COUNTIF($J$7:J501,J501)</f>
        <v>119</v>
      </c>
      <c r="C501" s="60" t="str">
        <f t="shared" si="50"/>
        <v>3112,04</v>
      </c>
      <c r="D501" s="60">
        <f>COUNTIF($K$7:K501,K501)</f>
        <v>3</v>
      </c>
      <c r="E501" s="91"/>
      <c r="F501" s="92">
        <v>44571.602326388886</v>
      </c>
      <c r="G501" s="141" t="s">
        <v>149</v>
      </c>
      <c r="H501" s="93" t="s">
        <v>252</v>
      </c>
      <c r="I501" s="161" t="s">
        <v>253</v>
      </c>
      <c r="J501" s="115">
        <v>112</v>
      </c>
      <c r="K501" s="108">
        <v>112.04</v>
      </c>
      <c r="L501" s="131"/>
      <c r="M501" s="132">
        <v>12045000</v>
      </c>
      <c r="N501" s="132"/>
      <c r="O501" s="162"/>
      <c r="P501" s="100" t="str">
        <f t="shared" si="51"/>
        <v>Piutang Usaha</v>
      </c>
      <c r="Q501" s="91"/>
      <c r="S501" s="112"/>
      <c r="T501" s="112"/>
      <c r="U501" s="113"/>
      <c r="V501" s="113"/>
      <c r="X501" s="102"/>
    </row>
    <row r="502" spans="1:24" s="101" customFormat="1" hidden="1" x14ac:dyDescent="0.25">
      <c r="A502" s="60" t="str">
        <f t="shared" si="49"/>
        <v>1220,02</v>
      </c>
      <c r="B502" s="60">
        <f>COUNTIF($J$7:J502,J502)</f>
        <v>1</v>
      </c>
      <c r="C502" s="60" t="str">
        <f t="shared" si="50"/>
        <v>0</v>
      </c>
      <c r="D502" s="60">
        <f>COUNTIF($K$7:K502,K502)</f>
        <v>0</v>
      </c>
      <c r="E502" s="91"/>
      <c r="F502" s="92">
        <v>44571.760636574072</v>
      </c>
      <c r="G502" s="116" t="s">
        <v>149</v>
      </c>
      <c r="H502" s="93" t="s">
        <v>254</v>
      </c>
      <c r="I502" s="161" t="s">
        <v>255</v>
      </c>
      <c r="J502" s="117">
        <v>220.02</v>
      </c>
      <c r="K502" s="108"/>
      <c r="L502" s="97">
        <v>100000000</v>
      </c>
      <c r="M502" s="132"/>
      <c r="N502" s="132"/>
      <c r="O502" s="162"/>
      <c r="P502" s="100" t="str">
        <f t="shared" si="51"/>
        <v>Hutang Direksi</v>
      </c>
      <c r="Q502" s="91"/>
      <c r="S502" s="112"/>
      <c r="T502" s="112"/>
      <c r="U502" s="113"/>
      <c r="V502" s="113"/>
      <c r="X502" s="102"/>
    </row>
    <row r="503" spans="1:24" s="101" customFormat="1" hidden="1" x14ac:dyDescent="0.25">
      <c r="A503" s="60" t="str">
        <f t="shared" si="49"/>
        <v>15220,03</v>
      </c>
      <c r="B503" s="60">
        <f>COUNTIF($J$7:J503,J503)</f>
        <v>15</v>
      </c>
      <c r="C503" s="60" t="str">
        <f t="shared" si="50"/>
        <v>0</v>
      </c>
      <c r="D503" s="60">
        <f>COUNTIF($K$7:K503,K503)</f>
        <v>0</v>
      </c>
      <c r="E503" s="91"/>
      <c r="F503" s="92">
        <v>44571.760636574072</v>
      </c>
      <c r="G503" s="116" t="s">
        <v>149</v>
      </c>
      <c r="H503" s="93" t="s">
        <v>256</v>
      </c>
      <c r="I503" s="161" t="s">
        <v>257</v>
      </c>
      <c r="J503" s="119">
        <v>220.03</v>
      </c>
      <c r="K503" s="108"/>
      <c r="L503" s="97">
        <v>2962605</v>
      </c>
      <c r="M503" s="132"/>
      <c r="N503" s="132"/>
      <c r="O503" s="162"/>
      <c r="P503" s="100" t="str">
        <f t="shared" si="51"/>
        <v>Hutang BIaya</v>
      </c>
      <c r="Q503" s="91"/>
      <c r="S503" s="112"/>
      <c r="T503" s="112"/>
      <c r="U503" s="113"/>
      <c r="V503" s="113"/>
      <c r="X503" s="102"/>
    </row>
    <row r="504" spans="1:24" s="101" customFormat="1" hidden="1" x14ac:dyDescent="0.25">
      <c r="A504" s="60" t="str">
        <f t="shared" si="49"/>
        <v>2220,02</v>
      </c>
      <c r="B504" s="60">
        <f>COUNTIF($J$7:J504,J504)</f>
        <v>2</v>
      </c>
      <c r="C504" s="60" t="str">
        <f t="shared" si="50"/>
        <v>0</v>
      </c>
      <c r="D504" s="60">
        <f>COUNTIF($K$7:K504,K504)</f>
        <v>0</v>
      </c>
      <c r="E504" s="91"/>
      <c r="F504" s="92">
        <v>44571.760648148149</v>
      </c>
      <c r="G504" s="116" t="s">
        <v>149</v>
      </c>
      <c r="H504" s="93" t="s">
        <v>258</v>
      </c>
      <c r="I504" s="161" t="s">
        <v>255</v>
      </c>
      <c r="J504" s="117">
        <v>220.02</v>
      </c>
      <c r="K504" s="108"/>
      <c r="L504" s="97">
        <v>105000000</v>
      </c>
      <c r="M504" s="132"/>
      <c r="N504" s="132"/>
      <c r="O504" s="111"/>
      <c r="P504" s="100" t="str">
        <f t="shared" si="51"/>
        <v>Hutang Direksi</v>
      </c>
      <c r="Q504" s="91"/>
      <c r="S504" s="112"/>
      <c r="T504" s="112"/>
      <c r="U504" s="113"/>
      <c r="V504" s="113"/>
      <c r="X504" s="102"/>
    </row>
    <row r="505" spans="1:24" s="101" customFormat="1" hidden="1" x14ac:dyDescent="0.25">
      <c r="A505" s="60" t="str">
        <f t="shared" si="49"/>
        <v>9211,02</v>
      </c>
      <c r="B505" s="60">
        <f>COUNTIF($J$7:J505,J505)</f>
        <v>9</v>
      </c>
      <c r="C505" s="60" t="str">
        <f t="shared" si="50"/>
        <v>0</v>
      </c>
      <c r="D505" s="60">
        <f>COUNTIF($K$7:K505,K505)</f>
        <v>0</v>
      </c>
      <c r="E505" s="91"/>
      <c r="F505" s="92">
        <v>44571.868136574078</v>
      </c>
      <c r="G505" s="116" t="s">
        <v>149</v>
      </c>
      <c r="H505" s="93" t="s">
        <v>259</v>
      </c>
      <c r="I505" s="161" t="s">
        <v>260</v>
      </c>
      <c r="J505" s="117">
        <v>211.02</v>
      </c>
      <c r="K505" s="108"/>
      <c r="L505" s="97">
        <v>4215500</v>
      </c>
      <c r="M505" s="132"/>
      <c r="N505" s="132"/>
      <c r="O505" s="136"/>
      <c r="P505" s="100" t="str">
        <f t="shared" si="51"/>
        <v>Hutang PPh 21</v>
      </c>
      <c r="Q505" s="91"/>
      <c r="S505" s="112"/>
      <c r="T505" s="112"/>
      <c r="U505" s="113"/>
      <c r="V505" s="113"/>
      <c r="X505" s="102"/>
    </row>
    <row r="506" spans="1:24" s="101" customFormat="1" hidden="1" x14ac:dyDescent="0.25">
      <c r="A506" s="60" t="str">
        <f t="shared" si="49"/>
        <v>5211,04</v>
      </c>
      <c r="B506" s="60">
        <f>COUNTIF($J$7:J506,J506)</f>
        <v>5</v>
      </c>
      <c r="C506" s="60" t="str">
        <f t="shared" si="50"/>
        <v>0</v>
      </c>
      <c r="D506" s="60">
        <f>COUNTIF($K$7:K506,K506)</f>
        <v>0</v>
      </c>
      <c r="E506" s="91"/>
      <c r="F506" s="92">
        <v>44571.868136574078</v>
      </c>
      <c r="G506" s="116" t="s">
        <v>149</v>
      </c>
      <c r="H506" s="93" t="s">
        <v>261</v>
      </c>
      <c r="I506" s="161" t="s">
        <v>262</v>
      </c>
      <c r="J506" s="117">
        <v>211.04</v>
      </c>
      <c r="K506" s="108"/>
      <c r="L506" s="97">
        <v>1296442</v>
      </c>
      <c r="M506" s="132"/>
      <c r="N506" s="132"/>
      <c r="O506" s="111" t="s">
        <v>263</v>
      </c>
      <c r="P506" s="100" t="str">
        <f t="shared" si="51"/>
        <v>Hutang PPh 23</v>
      </c>
      <c r="Q506" s="91"/>
      <c r="S506" s="112"/>
      <c r="T506" s="112"/>
      <c r="U506" s="113"/>
      <c r="V506" s="113"/>
      <c r="X506" s="102"/>
    </row>
    <row r="507" spans="1:24" s="101" customFormat="1" hidden="1" x14ac:dyDescent="0.25">
      <c r="A507" s="60" t="str">
        <f t="shared" si="49"/>
        <v>10211,02</v>
      </c>
      <c r="B507" s="60">
        <f>COUNTIF($J$7:J507,J507)</f>
        <v>10</v>
      </c>
      <c r="C507" s="60" t="str">
        <f t="shared" si="50"/>
        <v>0</v>
      </c>
      <c r="D507" s="60">
        <f>COUNTIF($K$7:K507,K507)</f>
        <v>0</v>
      </c>
      <c r="E507" s="91"/>
      <c r="F507" s="92">
        <v>44571.868159722224</v>
      </c>
      <c r="G507" s="116" t="s">
        <v>149</v>
      </c>
      <c r="H507" s="93" t="s">
        <v>264</v>
      </c>
      <c r="I507" s="161" t="s">
        <v>265</v>
      </c>
      <c r="J507" s="117">
        <v>211.02</v>
      </c>
      <c r="K507" s="108"/>
      <c r="L507" s="97">
        <v>16250</v>
      </c>
      <c r="M507" s="132"/>
      <c r="N507" s="132"/>
      <c r="O507" s="136"/>
      <c r="P507" s="100" t="str">
        <f t="shared" si="51"/>
        <v>Hutang PPh 21</v>
      </c>
      <c r="Q507" s="91"/>
      <c r="S507" s="112"/>
      <c r="T507" s="112"/>
      <c r="U507" s="113"/>
      <c r="V507" s="113"/>
      <c r="X507" s="102"/>
    </row>
    <row r="508" spans="1:24" s="101" customFormat="1" hidden="1" x14ac:dyDescent="0.25">
      <c r="A508" s="60" t="str">
        <f t="shared" si="49"/>
        <v>2211,05</v>
      </c>
      <c r="B508" s="60">
        <f>COUNTIF($J$7:J508,J508)</f>
        <v>2</v>
      </c>
      <c r="C508" s="60" t="str">
        <f t="shared" si="50"/>
        <v>0</v>
      </c>
      <c r="D508" s="60">
        <f>COUNTIF($K$7:K508,K508)</f>
        <v>0</v>
      </c>
      <c r="E508" s="91"/>
      <c r="F508" s="92">
        <v>44571.868159722224</v>
      </c>
      <c r="G508" s="116" t="s">
        <v>149</v>
      </c>
      <c r="H508" s="93" t="s">
        <v>266</v>
      </c>
      <c r="I508" s="161" t="s">
        <v>267</v>
      </c>
      <c r="J508" s="117">
        <v>211.05</v>
      </c>
      <c r="K508" s="108"/>
      <c r="L508" s="97">
        <v>18433780</v>
      </c>
      <c r="M508" s="132"/>
      <c r="N508" s="132"/>
      <c r="O508" s="111"/>
      <c r="P508" s="100" t="str">
        <f t="shared" si="51"/>
        <v>Hutang PPh 25</v>
      </c>
      <c r="Q508" s="91"/>
      <c r="S508" s="112"/>
      <c r="T508" s="112"/>
      <c r="U508" s="113"/>
      <c r="V508" s="113"/>
      <c r="X508" s="102"/>
    </row>
    <row r="509" spans="1:24" s="101" customFormat="1" hidden="1" x14ac:dyDescent="0.25">
      <c r="A509" s="60" t="str">
        <f t="shared" si="49"/>
        <v>4119</v>
      </c>
      <c r="B509" s="60">
        <f>COUNTIF($J$7:J509,J509)</f>
        <v>4</v>
      </c>
      <c r="C509" s="60" t="str">
        <f t="shared" si="50"/>
        <v>1119,04</v>
      </c>
      <c r="D509" s="60">
        <f>COUNTIF($K$7:K509,K509)</f>
        <v>1</v>
      </c>
      <c r="E509" s="91"/>
      <c r="F509" s="92">
        <v>44571.869467592594</v>
      </c>
      <c r="G509" s="116" t="s">
        <v>149</v>
      </c>
      <c r="H509" s="93" t="s">
        <v>268</v>
      </c>
      <c r="I509" s="161" t="s">
        <v>269</v>
      </c>
      <c r="J509" s="129">
        <v>119</v>
      </c>
      <c r="K509" s="120">
        <v>119.04</v>
      </c>
      <c r="L509" s="97">
        <v>6000000</v>
      </c>
      <c r="M509" s="132"/>
      <c r="N509" s="132"/>
      <c r="O509" s="111"/>
      <c r="P509" s="100" t="str">
        <f t="shared" si="51"/>
        <v>Uang Muka Biaya Pengiriman dan Perjalanan Dinas Marketing</v>
      </c>
      <c r="Q509" s="91"/>
      <c r="S509" s="112"/>
      <c r="T509" s="112"/>
      <c r="U509" s="113"/>
      <c r="V509" s="113"/>
      <c r="X509" s="102"/>
    </row>
    <row r="510" spans="1:24" s="101" customFormat="1" hidden="1" x14ac:dyDescent="0.25">
      <c r="A510" s="60" t="str">
        <f t="shared" si="49"/>
        <v>1113</v>
      </c>
      <c r="B510" s="60">
        <f>COUNTIF($J$7:J510,J510)</f>
        <v>1</v>
      </c>
      <c r="C510" s="60" t="str">
        <f t="shared" si="50"/>
        <v>0</v>
      </c>
      <c r="D510" s="60">
        <f>COUNTIF($K$7:K510,K510)</f>
        <v>0</v>
      </c>
      <c r="E510" s="91"/>
      <c r="F510" s="92">
        <v>44572.464780092596</v>
      </c>
      <c r="G510" s="116" t="s">
        <v>149</v>
      </c>
      <c r="H510" s="93" t="s">
        <v>270</v>
      </c>
      <c r="I510" s="161" t="s">
        <v>271</v>
      </c>
      <c r="J510" s="117">
        <v>113</v>
      </c>
      <c r="K510" s="108"/>
      <c r="L510" s="97">
        <v>2000000</v>
      </c>
      <c r="M510" s="132"/>
      <c r="N510" s="132"/>
      <c r="O510" s="111"/>
      <c r="P510" s="100" t="str">
        <f t="shared" si="51"/>
        <v>Piutang Karyawan</v>
      </c>
      <c r="Q510" s="91"/>
      <c r="S510" s="112"/>
      <c r="T510" s="112"/>
      <c r="U510" s="113"/>
      <c r="V510" s="113"/>
      <c r="X510" s="102"/>
    </row>
    <row r="511" spans="1:24" s="101" customFormat="1" hidden="1" x14ac:dyDescent="0.25">
      <c r="A511" s="60" t="str">
        <f t="shared" si="49"/>
        <v>1610,09</v>
      </c>
      <c r="B511" s="60">
        <f>COUNTIF($J$7:J511,J511)</f>
        <v>1</v>
      </c>
      <c r="C511" s="60" t="str">
        <f t="shared" si="50"/>
        <v>0</v>
      </c>
      <c r="D511" s="60">
        <f>COUNTIF($K$7:K511,K511)</f>
        <v>0</v>
      </c>
      <c r="E511" s="91"/>
      <c r="F511" s="92">
        <v>44572.506307870368</v>
      </c>
      <c r="G511" s="116" t="s">
        <v>149</v>
      </c>
      <c r="H511" s="93" t="s">
        <v>272</v>
      </c>
      <c r="I511" s="161" t="s">
        <v>273</v>
      </c>
      <c r="J511" s="123">
        <v>610.09</v>
      </c>
      <c r="K511" s="108"/>
      <c r="L511" s="97">
        <v>93777</v>
      </c>
      <c r="M511" s="132"/>
      <c r="N511" s="132"/>
      <c r="O511" s="111"/>
      <c r="P511" s="100" t="str">
        <f t="shared" si="51"/>
        <v>Biaya ATK &amp; Perlengkapan Kantor</v>
      </c>
      <c r="Q511" s="91"/>
      <c r="S511" s="112"/>
      <c r="T511" s="112"/>
      <c r="U511" s="113"/>
      <c r="V511" s="113"/>
      <c r="X511" s="102"/>
    </row>
    <row r="512" spans="1:24" s="101" customFormat="1" hidden="1" x14ac:dyDescent="0.25">
      <c r="A512" s="60" t="str">
        <f t="shared" si="49"/>
        <v>5119</v>
      </c>
      <c r="B512" s="60">
        <f>COUNTIF($J$7:J512,J512)</f>
        <v>5</v>
      </c>
      <c r="C512" s="60" t="str">
        <f t="shared" si="50"/>
        <v>2119,01</v>
      </c>
      <c r="D512" s="60">
        <f>COUNTIF($K$7:K512,K512)</f>
        <v>2</v>
      </c>
      <c r="E512" s="91"/>
      <c r="F512" s="92">
        <v>44572.506307870368</v>
      </c>
      <c r="G512" s="116" t="s">
        <v>149</v>
      </c>
      <c r="H512" s="93" t="s">
        <v>274</v>
      </c>
      <c r="I512" s="161" t="s">
        <v>275</v>
      </c>
      <c r="J512" s="129">
        <v>119</v>
      </c>
      <c r="K512" s="108">
        <v>119.01</v>
      </c>
      <c r="L512" s="97">
        <v>2000000</v>
      </c>
      <c r="M512" s="132"/>
      <c r="N512" s="132"/>
      <c r="O512" s="111"/>
      <c r="P512" s="100" t="str">
        <f t="shared" si="51"/>
        <v>Uang Muka Biaya Pengiriman dan Perjalanan Dinas Marketing</v>
      </c>
      <c r="Q512" s="91"/>
      <c r="S512" s="112"/>
      <c r="T512" s="112"/>
      <c r="U512" s="113"/>
      <c r="V512" s="113"/>
      <c r="X512" s="102"/>
    </row>
    <row r="513" spans="1:24" s="101" customFormat="1" hidden="1" x14ac:dyDescent="0.25">
      <c r="A513" s="60" t="str">
        <f t="shared" si="49"/>
        <v>3512,03</v>
      </c>
      <c r="B513" s="60">
        <f>COUNTIF($J$7:J513,J513)</f>
        <v>3</v>
      </c>
      <c r="C513" s="60" t="str">
        <f t="shared" si="50"/>
        <v>0</v>
      </c>
      <c r="D513" s="60">
        <f>COUNTIF($K$7:K513,K513)</f>
        <v>0</v>
      </c>
      <c r="E513" s="91"/>
      <c r="F513" s="92">
        <v>44572.506307870368</v>
      </c>
      <c r="G513" s="116" t="s">
        <v>149</v>
      </c>
      <c r="H513" s="93" t="s">
        <v>276</v>
      </c>
      <c r="I513" s="161" t="s">
        <v>277</v>
      </c>
      <c r="J513" s="163">
        <v>512.03</v>
      </c>
      <c r="K513" s="108"/>
      <c r="L513" s="97">
        <v>502250</v>
      </c>
      <c r="M513" s="132"/>
      <c r="N513" s="132"/>
      <c r="O513" s="111"/>
      <c r="P513" s="100" t="str">
        <f t="shared" si="51"/>
        <v>Beban Gasoline Marketing (Bensin, Parkir, Tol)</v>
      </c>
      <c r="Q513" s="91"/>
      <c r="S513" s="112"/>
      <c r="T513" s="112"/>
      <c r="U513" s="113"/>
      <c r="V513" s="113"/>
      <c r="X513" s="102"/>
    </row>
    <row r="514" spans="1:24" s="101" customFormat="1" hidden="1" x14ac:dyDescent="0.25">
      <c r="A514" s="60" t="str">
        <f t="shared" si="49"/>
        <v>2610,09</v>
      </c>
      <c r="B514" s="60">
        <f>COUNTIF($J$7:J514,J514)</f>
        <v>2</v>
      </c>
      <c r="C514" s="60" t="str">
        <f t="shared" si="50"/>
        <v>0</v>
      </c>
      <c r="D514" s="60">
        <f>COUNTIF($K$7:K514,K514)</f>
        <v>0</v>
      </c>
      <c r="E514" s="91"/>
      <c r="F514" s="92">
        <v>44572.506319444445</v>
      </c>
      <c r="G514" s="116" t="s">
        <v>149</v>
      </c>
      <c r="H514" s="93" t="s">
        <v>278</v>
      </c>
      <c r="I514" s="161" t="s">
        <v>279</v>
      </c>
      <c r="J514" s="123">
        <v>610.09</v>
      </c>
      <c r="K514" s="108"/>
      <c r="L514" s="97">
        <v>225524</v>
      </c>
      <c r="M514" s="132"/>
      <c r="N514" s="132"/>
      <c r="O514" s="111"/>
      <c r="P514" s="100" t="str">
        <f t="shared" si="51"/>
        <v>Biaya ATK &amp; Perlengkapan Kantor</v>
      </c>
      <c r="Q514" s="91"/>
      <c r="S514" s="112"/>
      <c r="T514" s="112"/>
      <c r="U514" s="113"/>
      <c r="V514" s="113"/>
      <c r="X514" s="102"/>
    </row>
    <row r="515" spans="1:24" s="101" customFormat="1" hidden="1" x14ac:dyDescent="0.25">
      <c r="A515" s="60" t="str">
        <f t="shared" si="49"/>
        <v>16220,03</v>
      </c>
      <c r="B515" s="60">
        <f>COUNTIF($J$7:J515,J515)</f>
        <v>16</v>
      </c>
      <c r="C515" s="60" t="str">
        <f t="shared" si="50"/>
        <v>0</v>
      </c>
      <c r="D515" s="60">
        <f>COUNTIF($K$7:K515,K515)</f>
        <v>0</v>
      </c>
      <c r="E515" s="91"/>
      <c r="F515" s="92">
        <v>44572.506319444445</v>
      </c>
      <c r="G515" s="116" t="s">
        <v>149</v>
      </c>
      <c r="H515" s="93" t="s">
        <v>280</v>
      </c>
      <c r="I515" s="161" t="s">
        <v>281</v>
      </c>
      <c r="J515" s="119">
        <v>220.03</v>
      </c>
      <c r="K515" s="108"/>
      <c r="L515" s="97">
        <v>633750</v>
      </c>
      <c r="M515" s="132"/>
      <c r="N515" s="132"/>
      <c r="O515" s="111"/>
      <c r="P515" s="100" t="str">
        <f t="shared" si="51"/>
        <v>Hutang BIaya</v>
      </c>
      <c r="Q515" s="91"/>
      <c r="S515" s="112"/>
      <c r="T515" s="112"/>
      <c r="U515" s="113"/>
      <c r="V515" s="113"/>
      <c r="X515" s="102"/>
    </row>
    <row r="516" spans="1:24" s="101" customFormat="1" hidden="1" x14ac:dyDescent="0.25">
      <c r="A516" s="60" t="str">
        <f t="shared" si="49"/>
        <v>13810,01</v>
      </c>
      <c r="B516" s="60">
        <f>COUNTIF($J$7:J516,J516)</f>
        <v>13</v>
      </c>
      <c r="C516" s="60" t="str">
        <f t="shared" si="50"/>
        <v>0</v>
      </c>
      <c r="D516" s="60">
        <f>COUNTIF($K$7:K516,K516)</f>
        <v>0</v>
      </c>
      <c r="E516" s="91"/>
      <c r="F516" s="92">
        <v>44572</v>
      </c>
      <c r="G516" s="116" t="s">
        <v>149</v>
      </c>
      <c r="H516" s="93" t="s">
        <v>280</v>
      </c>
      <c r="I516" s="161" t="s">
        <v>282</v>
      </c>
      <c r="J516" s="117">
        <v>810.01</v>
      </c>
      <c r="K516" s="108"/>
      <c r="L516" s="97">
        <v>6500</v>
      </c>
      <c r="M516" s="132"/>
      <c r="N516" s="132"/>
      <c r="O516" s="111"/>
      <c r="P516" s="100" t="str">
        <f t="shared" si="51"/>
        <v>Biaya Admin Transfer dan Rek</v>
      </c>
      <c r="Q516" s="91"/>
      <c r="S516" s="112"/>
      <c r="T516" s="112"/>
      <c r="U516" s="113"/>
      <c r="V516" s="113"/>
      <c r="X516" s="102"/>
    </row>
    <row r="517" spans="1:24" s="101" customFormat="1" hidden="1" x14ac:dyDescent="0.25">
      <c r="A517" s="60" t="str">
        <f t="shared" si="49"/>
        <v>17220,03</v>
      </c>
      <c r="B517" s="60">
        <f>COUNTIF($J$7:J517,J517)</f>
        <v>17</v>
      </c>
      <c r="C517" s="60" t="str">
        <f t="shared" si="50"/>
        <v>0</v>
      </c>
      <c r="D517" s="60">
        <f>COUNTIF($K$7:K517,K517)</f>
        <v>0</v>
      </c>
      <c r="E517" s="91"/>
      <c r="F517" s="92">
        <v>44572.506319444445</v>
      </c>
      <c r="G517" s="116" t="s">
        <v>149</v>
      </c>
      <c r="H517" s="93" t="s">
        <v>283</v>
      </c>
      <c r="I517" s="161" t="s">
        <v>284</v>
      </c>
      <c r="J517" s="119">
        <v>220.03</v>
      </c>
      <c r="K517" s="108"/>
      <c r="L517" s="97">
        <v>8271800</v>
      </c>
      <c r="M517" s="132"/>
      <c r="N517" s="132"/>
      <c r="O517" s="111"/>
      <c r="P517" s="100" t="str">
        <f t="shared" si="51"/>
        <v>Hutang BIaya</v>
      </c>
      <c r="Q517" s="91"/>
      <c r="S517" s="112"/>
      <c r="T517" s="112"/>
      <c r="U517" s="113"/>
      <c r="V517" s="113"/>
      <c r="X517" s="102"/>
    </row>
    <row r="518" spans="1:24" s="101" customFormat="1" hidden="1" x14ac:dyDescent="0.25">
      <c r="A518" s="60" t="str">
        <f t="shared" si="49"/>
        <v>14810,01</v>
      </c>
      <c r="B518" s="60">
        <f>COUNTIF($J$7:J518,J518)</f>
        <v>14</v>
      </c>
      <c r="C518" s="60" t="str">
        <f t="shared" si="50"/>
        <v>0</v>
      </c>
      <c r="D518" s="60">
        <f>COUNTIF($K$7:K518,K518)</f>
        <v>0</v>
      </c>
      <c r="E518" s="91"/>
      <c r="F518" s="92">
        <v>44572</v>
      </c>
      <c r="G518" s="116" t="s">
        <v>149</v>
      </c>
      <c r="H518" s="93" t="s">
        <v>283</v>
      </c>
      <c r="I518" s="161" t="s">
        <v>282</v>
      </c>
      <c r="J518" s="117">
        <v>810.01</v>
      </c>
      <c r="K518" s="108"/>
      <c r="L518" s="97">
        <v>6500</v>
      </c>
      <c r="M518" s="132"/>
      <c r="N518" s="132"/>
      <c r="O518" s="111"/>
      <c r="P518" s="100" t="str">
        <f t="shared" si="51"/>
        <v>Biaya Admin Transfer dan Rek</v>
      </c>
      <c r="Q518" s="91"/>
      <c r="S518" s="112"/>
      <c r="T518" s="112"/>
      <c r="U518" s="113"/>
      <c r="V518" s="113"/>
      <c r="X518" s="102"/>
    </row>
    <row r="519" spans="1:24" s="101" customFormat="1" hidden="1" x14ac:dyDescent="0.25">
      <c r="A519" s="60" t="str">
        <f t="shared" ref="A519:A582" si="52">B519&amp;J519</f>
        <v>18220,03</v>
      </c>
      <c r="B519" s="60">
        <f>COUNTIF($J$7:J519,J519)</f>
        <v>18</v>
      </c>
      <c r="C519" s="60" t="str">
        <f t="shared" ref="C519:C582" si="53">D519&amp;K519</f>
        <v>0</v>
      </c>
      <c r="D519" s="60">
        <f>COUNTIF($K$7:K519,K519)</f>
        <v>0</v>
      </c>
      <c r="E519" s="91"/>
      <c r="F519" s="92">
        <v>44572.506319444445</v>
      </c>
      <c r="G519" s="116" t="s">
        <v>149</v>
      </c>
      <c r="H519" s="93" t="s">
        <v>285</v>
      </c>
      <c r="I519" s="161" t="s">
        <v>286</v>
      </c>
      <c r="J519" s="119">
        <v>220.03</v>
      </c>
      <c r="K519" s="108"/>
      <c r="L519" s="97">
        <v>26888929</v>
      </c>
      <c r="M519" s="132"/>
      <c r="N519" s="132"/>
      <c r="O519" s="111"/>
      <c r="P519" s="100" t="str">
        <f t="shared" ref="P519:P582" si="54">IF(J519=0,"-",+VLOOKUP(J519,DAF_AKUN,2,FALSE))</f>
        <v>Hutang BIaya</v>
      </c>
      <c r="Q519" s="91"/>
      <c r="S519" s="112"/>
      <c r="T519" s="112"/>
      <c r="U519" s="113"/>
      <c r="V519" s="113"/>
      <c r="X519" s="102"/>
    </row>
    <row r="520" spans="1:24" s="101" customFormat="1" hidden="1" x14ac:dyDescent="0.25">
      <c r="A520" s="60" t="str">
        <f t="shared" si="52"/>
        <v>15810,01</v>
      </c>
      <c r="B520" s="60">
        <f>COUNTIF($J$7:J520,J520)</f>
        <v>15</v>
      </c>
      <c r="C520" s="60" t="str">
        <f t="shared" si="53"/>
        <v>0</v>
      </c>
      <c r="D520" s="60">
        <f>COUNTIF($K$7:K520,K520)</f>
        <v>0</v>
      </c>
      <c r="E520" s="91"/>
      <c r="F520" s="92">
        <v>44572</v>
      </c>
      <c r="G520" s="116" t="s">
        <v>149</v>
      </c>
      <c r="H520" s="93" t="s">
        <v>285</v>
      </c>
      <c r="I520" s="161" t="s">
        <v>282</v>
      </c>
      <c r="J520" s="117">
        <v>810.01</v>
      </c>
      <c r="K520" s="108"/>
      <c r="L520" s="97">
        <v>6500</v>
      </c>
      <c r="M520" s="132"/>
      <c r="N520" s="132"/>
      <c r="O520" s="111"/>
      <c r="P520" s="100" t="str">
        <f t="shared" si="54"/>
        <v>Biaya Admin Transfer dan Rek</v>
      </c>
      <c r="Q520" s="91"/>
      <c r="S520" s="112"/>
      <c r="T520" s="112"/>
      <c r="U520" s="113"/>
      <c r="V520" s="113"/>
      <c r="X520" s="102"/>
    </row>
    <row r="521" spans="1:24" s="101" customFormat="1" hidden="1" x14ac:dyDescent="0.25">
      <c r="A521" s="60" t="str">
        <f t="shared" si="52"/>
        <v>3610,09</v>
      </c>
      <c r="B521" s="60">
        <f>COUNTIF($J$7:J521,J521)</f>
        <v>3</v>
      </c>
      <c r="C521" s="60" t="str">
        <f t="shared" si="53"/>
        <v>0</v>
      </c>
      <c r="D521" s="60">
        <f>COUNTIF($K$7:K521,K521)</f>
        <v>0</v>
      </c>
      <c r="E521" s="91"/>
      <c r="F521" s="92">
        <v>44572.506331018521</v>
      </c>
      <c r="G521" s="116" t="s">
        <v>149</v>
      </c>
      <c r="H521" s="93" t="s">
        <v>287</v>
      </c>
      <c r="I521" s="161" t="s">
        <v>288</v>
      </c>
      <c r="J521" s="123">
        <v>610.09</v>
      </c>
      <c r="K521" s="108"/>
      <c r="L521" s="97">
        <v>495804</v>
      </c>
      <c r="M521" s="132"/>
      <c r="N521" s="132"/>
      <c r="O521" s="111"/>
      <c r="P521" s="100" t="str">
        <f t="shared" si="54"/>
        <v>Biaya ATK &amp; Perlengkapan Kantor</v>
      </c>
      <c r="Q521" s="91"/>
      <c r="S521" s="112"/>
      <c r="T521" s="112"/>
      <c r="U521" s="113"/>
      <c r="V521" s="113"/>
      <c r="X521" s="102"/>
    </row>
    <row r="522" spans="1:24" s="101" customFormat="1" hidden="1" x14ac:dyDescent="0.25">
      <c r="A522" s="60" t="str">
        <f t="shared" si="52"/>
        <v>4610,09</v>
      </c>
      <c r="B522" s="60">
        <f>COUNTIF($J$7:J522,J522)</f>
        <v>4</v>
      </c>
      <c r="C522" s="60" t="str">
        <f t="shared" si="53"/>
        <v>0</v>
      </c>
      <c r="D522" s="60">
        <f>COUNTIF($K$7:K522,K522)</f>
        <v>0</v>
      </c>
      <c r="E522" s="91"/>
      <c r="F522" s="92">
        <v>44572.506331018521</v>
      </c>
      <c r="G522" s="116" t="s">
        <v>149</v>
      </c>
      <c r="H522" s="93" t="s">
        <v>289</v>
      </c>
      <c r="I522" s="161" t="s">
        <v>290</v>
      </c>
      <c r="J522" s="123">
        <v>610.09</v>
      </c>
      <c r="K522" s="108"/>
      <c r="L522" s="97">
        <v>178864</v>
      </c>
      <c r="M522" s="132"/>
      <c r="N522" s="132"/>
      <c r="O522" s="111"/>
      <c r="P522" s="100" t="str">
        <f t="shared" si="54"/>
        <v>Biaya ATK &amp; Perlengkapan Kantor</v>
      </c>
      <c r="Q522" s="91"/>
      <c r="S522" s="112"/>
      <c r="T522" s="112"/>
      <c r="U522" s="113"/>
      <c r="V522" s="113"/>
      <c r="X522" s="102"/>
    </row>
    <row r="523" spans="1:24" s="101" customFormat="1" hidden="1" x14ac:dyDescent="0.25">
      <c r="A523" s="60" t="str">
        <f t="shared" si="52"/>
        <v>6119</v>
      </c>
      <c r="B523" s="60">
        <f>COUNTIF($J$7:J523,J523)</f>
        <v>6</v>
      </c>
      <c r="C523" s="60" t="str">
        <f t="shared" si="53"/>
        <v>3119,01</v>
      </c>
      <c r="D523" s="60">
        <f>COUNTIF($K$7:K523,K523)</f>
        <v>3</v>
      </c>
      <c r="E523" s="91"/>
      <c r="F523" s="92">
        <v>44572.506331018521</v>
      </c>
      <c r="G523" s="116" t="s">
        <v>149</v>
      </c>
      <c r="H523" s="93" t="s">
        <v>291</v>
      </c>
      <c r="I523" s="161" t="s">
        <v>292</v>
      </c>
      <c r="J523" s="129">
        <v>119</v>
      </c>
      <c r="K523" s="108">
        <v>119.01</v>
      </c>
      <c r="L523" s="97">
        <v>600000</v>
      </c>
      <c r="M523" s="132"/>
      <c r="N523" s="132"/>
      <c r="O523" s="111"/>
      <c r="P523" s="100" t="str">
        <f t="shared" si="54"/>
        <v>Uang Muka Biaya Pengiriman dan Perjalanan Dinas Marketing</v>
      </c>
      <c r="Q523" s="91"/>
      <c r="S523" s="112"/>
      <c r="T523" s="112"/>
      <c r="U523" s="113"/>
      <c r="V523" s="113"/>
      <c r="X523" s="102"/>
    </row>
    <row r="524" spans="1:24" s="101" customFormat="1" hidden="1" x14ac:dyDescent="0.25">
      <c r="A524" s="60" t="str">
        <f t="shared" si="52"/>
        <v>19220,03</v>
      </c>
      <c r="B524" s="60">
        <f>COUNTIF($J$7:J524,J524)</f>
        <v>19</v>
      </c>
      <c r="C524" s="60" t="str">
        <f t="shared" si="53"/>
        <v>0</v>
      </c>
      <c r="D524" s="60">
        <f>COUNTIF($K$7:K524,K524)</f>
        <v>0</v>
      </c>
      <c r="E524" s="91"/>
      <c r="F524" s="92">
        <v>44572.506331018521</v>
      </c>
      <c r="G524" s="116" t="s">
        <v>149</v>
      </c>
      <c r="H524" s="93" t="s">
        <v>293</v>
      </c>
      <c r="I524" s="161" t="s">
        <v>173</v>
      </c>
      <c r="J524" s="119">
        <v>220.03</v>
      </c>
      <c r="K524" s="108"/>
      <c r="L524" s="97">
        <v>1753125</v>
      </c>
      <c r="M524" s="132"/>
      <c r="N524" s="132"/>
      <c r="O524" s="111"/>
      <c r="P524" s="100" t="str">
        <f t="shared" si="54"/>
        <v>Hutang BIaya</v>
      </c>
      <c r="Q524" s="91"/>
      <c r="S524" s="112"/>
      <c r="T524" s="112"/>
      <c r="U524" s="113"/>
      <c r="V524" s="113"/>
      <c r="X524" s="102"/>
    </row>
    <row r="525" spans="1:24" s="101" customFormat="1" hidden="1" x14ac:dyDescent="0.25">
      <c r="A525" s="60" t="str">
        <f t="shared" si="52"/>
        <v>16810,01</v>
      </c>
      <c r="B525" s="60">
        <f>COUNTIF($J$7:J525,J525)</f>
        <v>16</v>
      </c>
      <c r="C525" s="60" t="str">
        <f t="shared" si="53"/>
        <v>0</v>
      </c>
      <c r="D525" s="60">
        <f>COUNTIF($K$7:K525,K525)</f>
        <v>0</v>
      </c>
      <c r="E525" s="91"/>
      <c r="F525" s="92">
        <v>44572</v>
      </c>
      <c r="G525" s="116" t="s">
        <v>149</v>
      </c>
      <c r="H525" s="93" t="s">
        <v>293</v>
      </c>
      <c r="I525" s="161" t="s">
        <v>282</v>
      </c>
      <c r="J525" s="117">
        <v>810.01</v>
      </c>
      <c r="K525" s="108"/>
      <c r="L525" s="97">
        <v>6500</v>
      </c>
      <c r="M525" s="132"/>
      <c r="N525" s="132"/>
      <c r="O525" s="111"/>
      <c r="P525" s="100" t="str">
        <f t="shared" si="54"/>
        <v>Biaya Admin Transfer dan Rek</v>
      </c>
      <c r="Q525" s="91"/>
      <c r="S525" s="112"/>
      <c r="T525" s="112"/>
      <c r="U525" s="113"/>
      <c r="V525" s="113"/>
      <c r="X525" s="102"/>
    </row>
    <row r="526" spans="1:24" s="101" customFormat="1" hidden="1" x14ac:dyDescent="0.25">
      <c r="A526" s="60" t="str">
        <f t="shared" si="52"/>
        <v>20220,03</v>
      </c>
      <c r="B526" s="60">
        <f>COUNTIF($J$7:J526,J526)</f>
        <v>20</v>
      </c>
      <c r="C526" s="60" t="str">
        <f t="shared" si="53"/>
        <v>0</v>
      </c>
      <c r="D526" s="60">
        <f>COUNTIF($K$7:K526,K526)</f>
        <v>0</v>
      </c>
      <c r="E526" s="91"/>
      <c r="F526" s="92">
        <v>44572.506331018521</v>
      </c>
      <c r="G526" s="116" t="s">
        <v>149</v>
      </c>
      <c r="H526" s="93" t="s">
        <v>294</v>
      </c>
      <c r="I526" s="126" t="s">
        <v>295</v>
      </c>
      <c r="J526" s="117">
        <v>220.03</v>
      </c>
      <c r="K526" s="108"/>
      <c r="L526" s="97">
        <v>1200174</v>
      </c>
      <c r="M526" s="132"/>
      <c r="N526" s="132"/>
      <c r="O526" s="111"/>
      <c r="P526" s="100" t="str">
        <f t="shared" si="54"/>
        <v>Hutang BIaya</v>
      </c>
      <c r="Q526" s="91"/>
      <c r="S526" s="112"/>
      <c r="T526" s="112"/>
      <c r="U526" s="113"/>
      <c r="V526" s="113"/>
      <c r="X526" s="102"/>
    </row>
    <row r="527" spans="1:24" s="101" customFormat="1" hidden="1" x14ac:dyDescent="0.25">
      <c r="A527" s="60" t="str">
        <f t="shared" si="52"/>
        <v>17810,01</v>
      </c>
      <c r="B527" s="60">
        <f>COUNTIF($J$7:J527,J527)</f>
        <v>17</v>
      </c>
      <c r="C527" s="60" t="str">
        <f t="shared" si="53"/>
        <v>0</v>
      </c>
      <c r="D527" s="60">
        <f>COUNTIF($K$7:K527,K527)</f>
        <v>0</v>
      </c>
      <c r="E527" s="91"/>
      <c r="F527" s="92">
        <v>44572</v>
      </c>
      <c r="G527" s="116" t="s">
        <v>149</v>
      </c>
      <c r="H527" s="93" t="s">
        <v>294</v>
      </c>
      <c r="I527" s="161" t="s">
        <v>282</v>
      </c>
      <c r="J527" s="117">
        <v>810.01</v>
      </c>
      <c r="K527" s="108"/>
      <c r="L527" s="97">
        <v>6500</v>
      </c>
      <c r="M527" s="132"/>
      <c r="N527" s="132"/>
      <c r="O527" s="111"/>
      <c r="P527" s="100" t="str">
        <f t="shared" si="54"/>
        <v>Biaya Admin Transfer dan Rek</v>
      </c>
      <c r="Q527" s="91"/>
      <c r="S527" s="112"/>
      <c r="T527" s="112"/>
      <c r="U527" s="113"/>
      <c r="V527" s="113"/>
      <c r="X527" s="102"/>
    </row>
    <row r="528" spans="1:24" s="101" customFormat="1" hidden="1" x14ac:dyDescent="0.25">
      <c r="A528" s="60" t="str">
        <f t="shared" si="52"/>
        <v>21220,03</v>
      </c>
      <c r="B528" s="60">
        <f>COUNTIF($J$7:J528,J528)</f>
        <v>21</v>
      </c>
      <c r="C528" s="60" t="str">
        <f t="shared" si="53"/>
        <v>0</v>
      </c>
      <c r="D528" s="60">
        <f>COUNTIF($K$7:K528,K528)</f>
        <v>0</v>
      </c>
      <c r="E528" s="91"/>
      <c r="F528" s="92">
        <v>44572.506342592591</v>
      </c>
      <c r="G528" s="116" t="s">
        <v>149</v>
      </c>
      <c r="H528" s="93" t="s">
        <v>296</v>
      </c>
      <c r="I528" s="161" t="s">
        <v>297</v>
      </c>
      <c r="J528" s="119">
        <v>220.03</v>
      </c>
      <c r="K528" s="108"/>
      <c r="L528" s="97">
        <v>26888929</v>
      </c>
      <c r="M528" s="132"/>
      <c r="N528" s="132"/>
      <c r="O528" s="111"/>
      <c r="P528" s="100" t="str">
        <f t="shared" si="54"/>
        <v>Hutang BIaya</v>
      </c>
      <c r="Q528" s="91"/>
      <c r="S528" s="112"/>
      <c r="T528" s="112"/>
      <c r="U528" s="113"/>
      <c r="V528" s="113"/>
      <c r="X528" s="102"/>
    </row>
    <row r="529" spans="1:24" s="101" customFormat="1" hidden="1" x14ac:dyDescent="0.25">
      <c r="A529" s="60" t="str">
        <f t="shared" si="52"/>
        <v>18810,01</v>
      </c>
      <c r="B529" s="60">
        <f>COUNTIF($J$7:J529,J529)</f>
        <v>18</v>
      </c>
      <c r="C529" s="60" t="str">
        <f t="shared" si="53"/>
        <v>0</v>
      </c>
      <c r="D529" s="60">
        <f>COUNTIF($K$7:K529,K529)</f>
        <v>0</v>
      </c>
      <c r="E529" s="91"/>
      <c r="F529" s="92">
        <v>44572</v>
      </c>
      <c r="G529" s="116" t="s">
        <v>149</v>
      </c>
      <c r="H529" s="93" t="s">
        <v>296</v>
      </c>
      <c r="I529" s="161" t="s">
        <v>282</v>
      </c>
      <c r="J529" s="117">
        <v>810.01</v>
      </c>
      <c r="K529" s="108"/>
      <c r="L529" s="97">
        <v>6500</v>
      </c>
      <c r="M529" s="132"/>
      <c r="N529" s="132"/>
      <c r="O529" s="111"/>
      <c r="P529" s="100" t="str">
        <f t="shared" si="54"/>
        <v>Biaya Admin Transfer dan Rek</v>
      </c>
      <c r="Q529" s="91"/>
      <c r="S529" s="112"/>
      <c r="T529" s="112"/>
      <c r="U529" s="113"/>
      <c r="V529" s="113"/>
      <c r="X529" s="102"/>
    </row>
    <row r="530" spans="1:24" s="101" customFormat="1" hidden="1" x14ac:dyDescent="0.25">
      <c r="A530" s="60" t="str">
        <f t="shared" si="52"/>
        <v>22220,03</v>
      </c>
      <c r="B530" s="60">
        <f>COUNTIF($J$7:J530,J530)</f>
        <v>22</v>
      </c>
      <c r="C530" s="60" t="str">
        <f t="shared" si="53"/>
        <v>0</v>
      </c>
      <c r="D530" s="60">
        <f>COUNTIF($K$7:K530,K530)</f>
        <v>0</v>
      </c>
      <c r="E530" s="91"/>
      <c r="F530" s="92">
        <v>44572.506377314814</v>
      </c>
      <c r="G530" s="116" t="s">
        <v>149</v>
      </c>
      <c r="H530" s="93" t="s">
        <v>298</v>
      </c>
      <c r="I530" s="161" t="s">
        <v>299</v>
      </c>
      <c r="J530" s="119">
        <v>220.03</v>
      </c>
      <c r="K530" s="108"/>
      <c r="L530" s="97">
        <v>3412500</v>
      </c>
      <c r="M530" s="132"/>
      <c r="N530" s="132"/>
      <c r="O530" s="111"/>
      <c r="P530" s="100" t="str">
        <f t="shared" si="54"/>
        <v>Hutang BIaya</v>
      </c>
      <c r="Q530" s="91"/>
      <c r="S530" s="112"/>
      <c r="T530" s="112"/>
      <c r="U530" s="113"/>
      <c r="V530" s="113"/>
      <c r="X530" s="102"/>
    </row>
    <row r="531" spans="1:24" s="101" customFormat="1" hidden="1" x14ac:dyDescent="0.25">
      <c r="A531" s="60" t="str">
        <f t="shared" si="52"/>
        <v>19810,01</v>
      </c>
      <c r="B531" s="60">
        <f>COUNTIF($J$7:J531,J531)</f>
        <v>19</v>
      </c>
      <c r="C531" s="60" t="str">
        <f t="shared" si="53"/>
        <v>0</v>
      </c>
      <c r="D531" s="60">
        <f>COUNTIF($K$7:K531,K531)</f>
        <v>0</v>
      </c>
      <c r="E531" s="91"/>
      <c r="F531" s="92">
        <v>44572</v>
      </c>
      <c r="G531" s="116" t="s">
        <v>149</v>
      </c>
      <c r="H531" s="93" t="s">
        <v>298</v>
      </c>
      <c r="I531" s="161" t="s">
        <v>282</v>
      </c>
      <c r="J531" s="117">
        <v>810.01</v>
      </c>
      <c r="K531" s="108"/>
      <c r="L531" s="97">
        <v>6500</v>
      </c>
      <c r="M531" s="132"/>
      <c r="N531" s="132"/>
      <c r="O531" s="111"/>
      <c r="P531" s="100" t="str">
        <f t="shared" si="54"/>
        <v>Biaya Admin Transfer dan Rek</v>
      </c>
      <c r="Q531" s="91"/>
      <c r="S531" s="112"/>
      <c r="T531" s="112"/>
      <c r="U531" s="113"/>
      <c r="V531" s="113"/>
      <c r="X531" s="102"/>
    </row>
    <row r="532" spans="1:24" s="101" customFormat="1" hidden="1" x14ac:dyDescent="0.25">
      <c r="A532" s="60" t="str">
        <f t="shared" si="52"/>
        <v>2220,01</v>
      </c>
      <c r="B532" s="60">
        <f>COUNTIF($J$7:J532,J532)</f>
        <v>2</v>
      </c>
      <c r="C532" s="60" t="str">
        <f t="shared" si="53"/>
        <v>0</v>
      </c>
      <c r="D532" s="60">
        <f>COUNTIF($K$7:K532,K532)</f>
        <v>0</v>
      </c>
      <c r="E532" s="91"/>
      <c r="F532" s="92">
        <v>44573.445069444446</v>
      </c>
      <c r="G532" s="116" t="s">
        <v>149</v>
      </c>
      <c r="H532" s="93" t="s">
        <v>300</v>
      </c>
      <c r="I532" s="125" t="s">
        <v>301</v>
      </c>
      <c r="J532" s="117">
        <v>220.01</v>
      </c>
      <c r="K532" s="108"/>
      <c r="L532" s="132">
        <v>4364658</v>
      </c>
      <c r="M532" s="132"/>
      <c r="N532" s="132"/>
      <c r="O532" s="111"/>
      <c r="P532" s="100" t="str">
        <f t="shared" si="54"/>
        <v>Hutang Bank/Leasing</v>
      </c>
      <c r="Q532" s="91"/>
      <c r="T532" s="112"/>
      <c r="U532" s="113"/>
      <c r="V532" s="113"/>
      <c r="X532" s="102"/>
    </row>
    <row r="533" spans="1:24" s="101" customFormat="1" hidden="1" x14ac:dyDescent="0.25">
      <c r="A533" s="60" t="str">
        <f t="shared" si="52"/>
        <v>1810,03</v>
      </c>
      <c r="B533" s="60">
        <f>COUNTIF($J$7:J533,J533)</f>
        <v>1</v>
      </c>
      <c r="C533" s="60" t="str">
        <f t="shared" si="53"/>
        <v>0</v>
      </c>
      <c r="D533" s="60">
        <f>COUNTIF($K$7:K533,K533)</f>
        <v>0</v>
      </c>
      <c r="E533" s="91"/>
      <c r="F533" s="92">
        <v>44573.445069444446</v>
      </c>
      <c r="G533" s="116" t="s">
        <v>149</v>
      </c>
      <c r="H533" s="93" t="s">
        <v>300</v>
      </c>
      <c r="I533" s="125" t="s">
        <v>301</v>
      </c>
      <c r="J533" s="119">
        <v>810.03</v>
      </c>
      <c r="K533" s="108"/>
      <c r="L533" s="132">
        <v>617342</v>
      </c>
      <c r="M533" s="132"/>
      <c r="N533" s="132"/>
      <c r="O533" s="111"/>
      <c r="P533" s="100" t="str">
        <f t="shared" si="54"/>
        <v>Biaya Bunga Pinjaman Bank/Leasing</v>
      </c>
      <c r="Q533" s="91"/>
      <c r="S533" s="112"/>
      <c r="T533" s="112"/>
      <c r="U533" s="113"/>
      <c r="V533" s="113"/>
      <c r="X533" s="102"/>
    </row>
    <row r="534" spans="1:24" s="101" customFormat="1" hidden="1" x14ac:dyDescent="0.25">
      <c r="A534" s="60" t="str">
        <f t="shared" si="52"/>
        <v>7119</v>
      </c>
      <c r="B534" s="60">
        <f>COUNTIF($J$7:J534,J534)</f>
        <v>7</v>
      </c>
      <c r="C534" s="60" t="str">
        <f t="shared" si="53"/>
        <v>1119,07</v>
      </c>
      <c r="D534" s="60">
        <f>COUNTIF($K$7:K534,K534)</f>
        <v>1</v>
      </c>
      <c r="E534" s="91"/>
      <c r="F534" s="92">
        <v>44573.476157407407</v>
      </c>
      <c r="G534" s="116" t="s">
        <v>149</v>
      </c>
      <c r="H534" s="93" t="s">
        <v>302</v>
      </c>
      <c r="I534" s="161" t="s">
        <v>303</v>
      </c>
      <c r="J534" s="129">
        <v>119</v>
      </c>
      <c r="K534" s="120">
        <v>119.07</v>
      </c>
      <c r="L534" s="97">
        <v>1100000</v>
      </c>
      <c r="M534" s="132"/>
      <c r="N534" s="132"/>
      <c r="O534" s="111"/>
      <c r="P534" s="100" t="str">
        <f t="shared" si="54"/>
        <v>Uang Muka Biaya Pengiriman dan Perjalanan Dinas Marketing</v>
      </c>
      <c r="Q534" s="91"/>
      <c r="S534" s="112"/>
      <c r="T534" s="112"/>
      <c r="U534" s="113"/>
      <c r="V534" s="113"/>
      <c r="X534" s="102"/>
    </row>
    <row r="535" spans="1:24" s="101" customFormat="1" hidden="1" x14ac:dyDescent="0.25">
      <c r="A535" s="60" t="str">
        <f t="shared" si="52"/>
        <v>3610,1</v>
      </c>
      <c r="B535" s="60">
        <f>COUNTIF($J$7:J535,J535)</f>
        <v>3</v>
      </c>
      <c r="C535" s="60" t="str">
        <f t="shared" si="53"/>
        <v>0</v>
      </c>
      <c r="D535" s="60">
        <f>COUNTIF($K$7:K535,K535)</f>
        <v>0</v>
      </c>
      <c r="E535" s="91"/>
      <c r="F535" s="92">
        <v>44573.476157407407</v>
      </c>
      <c r="G535" s="116" t="s">
        <v>149</v>
      </c>
      <c r="H535" s="93" t="s">
        <v>304</v>
      </c>
      <c r="I535" s="161" t="s">
        <v>305</v>
      </c>
      <c r="J535" s="123">
        <v>610.1</v>
      </c>
      <c r="K535" s="108"/>
      <c r="L535" s="97">
        <v>126135</v>
      </c>
      <c r="M535" s="132"/>
      <c r="N535" s="132"/>
      <c r="O535" s="111"/>
      <c r="P535" s="100" t="str">
        <f t="shared" si="54"/>
        <v>Biaya Rumah Tangga Kantor</v>
      </c>
      <c r="Q535" s="91"/>
      <c r="S535" s="112"/>
      <c r="T535" s="112"/>
      <c r="U535" s="113"/>
      <c r="V535" s="113"/>
      <c r="X535" s="102"/>
    </row>
    <row r="536" spans="1:24" s="101" customFormat="1" hidden="1" x14ac:dyDescent="0.25">
      <c r="A536" s="60" t="str">
        <f t="shared" si="52"/>
        <v>5610,09</v>
      </c>
      <c r="B536" s="60">
        <f>COUNTIF($J$7:J536,J536)</f>
        <v>5</v>
      </c>
      <c r="C536" s="60" t="str">
        <f t="shared" si="53"/>
        <v>0</v>
      </c>
      <c r="D536" s="60">
        <f>COUNTIF($K$7:K536,K536)</f>
        <v>0</v>
      </c>
      <c r="E536" s="91"/>
      <c r="F536" s="92">
        <v>44573.476157407407</v>
      </c>
      <c r="G536" s="116" t="s">
        <v>149</v>
      </c>
      <c r="H536" s="93" t="s">
        <v>306</v>
      </c>
      <c r="I536" s="161" t="s">
        <v>307</v>
      </c>
      <c r="J536" s="123">
        <v>610.09</v>
      </c>
      <c r="K536" s="108"/>
      <c r="L536" s="97">
        <v>171432</v>
      </c>
      <c r="M536" s="132"/>
      <c r="N536" s="132"/>
      <c r="O536" s="111"/>
      <c r="P536" s="100" t="str">
        <f t="shared" si="54"/>
        <v>Biaya ATK &amp; Perlengkapan Kantor</v>
      </c>
      <c r="Q536" s="91"/>
      <c r="S536" s="112"/>
      <c r="T536" s="112"/>
      <c r="U536" s="113"/>
      <c r="V536" s="113"/>
      <c r="X536" s="102"/>
    </row>
    <row r="537" spans="1:24" s="101" customFormat="1" hidden="1" x14ac:dyDescent="0.25">
      <c r="A537" s="60" t="str">
        <f t="shared" si="52"/>
        <v>20810,01</v>
      </c>
      <c r="B537" s="60">
        <f>COUNTIF($J$7:J537,J537)</f>
        <v>20</v>
      </c>
      <c r="C537" s="60" t="str">
        <f t="shared" si="53"/>
        <v>0</v>
      </c>
      <c r="D537" s="60">
        <f>COUNTIF($K$7:K537,K537)</f>
        <v>0</v>
      </c>
      <c r="E537" s="91"/>
      <c r="F537" s="92">
        <v>44573</v>
      </c>
      <c r="G537" s="116" t="s">
        <v>149</v>
      </c>
      <c r="H537" s="93" t="s">
        <v>306</v>
      </c>
      <c r="I537" s="161" t="s">
        <v>282</v>
      </c>
      <c r="J537" s="117">
        <v>810.01</v>
      </c>
      <c r="K537" s="108"/>
      <c r="L537" s="97">
        <v>6500</v>
      </c>
      <c r="M537" s="132"/>
      <c r="N537" s="132"/>
      <c r="O537" s="111"/>
      <c r="P537" s="100" t="str">
        <f t="shared" si="54"/>
        <v>Biaya Admin Transfer dan Rek</v>
      </c>
      <c r="Q537" s="91"/>
      <c r="S537" s="112"/>
      <c r="T537" s="112"/>
      <c r="U537" s="113"/>
      <c r="V537" s="113"/>
      <c r="X537" s="102"/>
    </row>
    <row r="538" spans="1:24" s="101" customFormat="1" hidden="1" x14ac:dyDescent="0.25">
      <c r="A538" s="60" t="str">
        <f t="shared" si="52"/>
        <v>8119</v>
      </c>
      <c r="B538" s="60">
        <f>COUNTIF($J$7:J538,J538)</f>
        <v>8</v>
      </c>
      <c r="C538" s="60" t="str">
        <f t="shared" si="53"/>
        <v>2119,07</v>
      </c>
      <c r="D538" s="60">
        <f>COUNTIF($K$7:K538,K538)</f>
        <v>2</v>
      </c>
      <c r="E538" s="91"/>
      <c r="F538" s="92">
        <v>44573.476168981484</v>
      </c>
      <c r="G538" s="116" t="s">
        <v>149</v>
      </c>
      <c r="H538" s="93" t="s">
        <v>308</v>
      </c>
      <c r="I538" s="161" t="s">
        <v>309</v>
      </c>
      <c r="J538" s="129">
        <v>119</v>
      </c>
      <c r="K538" s="120">
        <v>119.07</v>
      </c>
      <c r="L538" s="97">
        <v>4000000</v>
      </c>
      <c r="M538" s="132"/>
      <c r="N538" s="132"/>
      <c r="O538" s="111"/>
      <c r="P538" s="100" t="str">
        <f t="shared" si="54"/>
        <v>Uang Muka Biaya Pengiriman dan Perjalanan Dinas Marketing</v>
      </c>
      <c r="Q538" s="91"/>
      <c r="S538" s="112"/>
      <c r="T538" s="112"/>
      <c r="U538" s="113"/>
      <c r="V538" s="113"/>
      <c r="X538" s="102"/>
    </row>
    <row r="539" spans="1:24" s="101" customFormat="1" hidden="1" x14ac:dyDescent="0.25">
      <c r="A539" s="60" t="str">
        <f t="shared" si="52"/>
        <v>4610,1</v>
      </c>
      <c r="B539" s="60">
        <f>COUNTIF($J$7:J539,J539)</f>
        <v>4</v>
      </c>
      <c r="C539" s="60" t="str">
        <f t="shared" si="53"/>
        <v>0</v>
      </c>
      <c r="D539" s="60">
        <f>COUNTIF($K$7:K539,K539)</f>
        <v>0</v>
      </c>
      <c r="E539" s="91"/>
      <c r="F539" s="92">
        <v>44573.476168981484</v>
      </c>
      <c r="G539" s="116" t="s">
        <v>149</v>
      </c>
      <c r="H539" s="93" t="s">
        <v>310</v>
      </c>
      <c r="I539" s="161" t="s">
        <v>311</v>
      </c>
      <c r="J539" s="117">
        <v>610.1</v>
      </c>
      <c r="K539" s="108"/>
      <c r="L539" s="97">
        <v>61165</v>
      </c>
      <c r="M539" s="132"/>
      <c r="N539" s="132"/>
      <c r="O539" s="111"/>
      <c r="P539" s="100" t="str">
        <f t="shared" si="54"/>
        <v>Biaya Rumah Tangga Kantor</v>
      </c>
      <c r="Q539" s="91"/>
      <c r="S539" s="112"/>
      <c r="T539" s="112"/>
      <c r="U539" s="113"/>
      <c r="V539" s="113"/>
      <c r="X539" s="102"/>
    </row>
    <row r="540" spans="1:24" s="101" customFormat="1" hidden="1" x14ac:dyDescent="0.25">
      <c r="A540" s="60" t="str">
        <f t="shared" si="52"/>
        <v>50111,01</v>
      </c>
      <c r="B540" s="60">
        <f>COUNTIF($J$7:J540,J540)</f>
        <v>50</v>
      </c>
      <c r="C540" s="60" t="str">
        <f t="shared" si="53"/>
        <v>0</v>
      </c>
      <c r="D540" s="60">
        <f>COUNTIF($K$7:K540,K540)</f>
        <v>0</v>
      </c>
      <c r="E540" s="91"/>
      <c r="F540" s="92">
        <v>44571.760636574072</v>
      </c>
      <c r="G540" s="116" t="s">
        <v>149</v>
      </c>
      <c r="H540" s="93" t="s">
        <v>254</v>
      </c>
      <c r="I540" s="161" t="s">
        <v>312</v>
      </c>
      <c r="J540" s="117">
        <v>111.01</v>
      </c>
      <c r="K540" s="108"/>
      <c r="L540" s="131"/>
      <c r="M540" s="117">
        <v>100000000</v>
      </c>
      <c r="N540" s="117"/>
      <c r="O540" s="111"/>
      <c r="P540" s="100" t="str">
        <f t="shared" si="54"/>
        <v>BNI IDR 768</v>
      </c>
      <c r="Q540" s="91"/>
      <c r="S540" s="112"/>
      <c r="T540" s="112"/>
      <c r="U540" s="113"/>
      <c r="V540" s="113"/>
      <c r="X540" s="102"/>
    </row>
    <row r="541" spans="1:24" s="101" customFormat="1" hidden="1" x14ac:dyDescent="0.25">
      <c r="A541" s="60" t="str">
        <f t="shared" si="52"/>
        <v>51111,01</v>
      </c>
      <c r="B541" s="60">
        <f>COUNTIF($J$7:J541,J541)</f>
        <v>51</v>
      </c>
      <c r="C541" s="60" t="str">
        <f t="shared" si="53"/>
        <v>0</v>
      </c>
      <c r="D541" s="60">
        <f>COUNTIF($K$7:K541,K541)</f>
        <v>0</v>
      </c>
      <c r="E541" s="91"/>
      <c r="F541" s="92">
        <v>44571.760636574072</v>
      </c>
      <c r="G541" s="116" t="s">
        <v>149</v>
      </c>
      <c r="H541" s="93" t="s">
        <v>256</v>
      </c>
      <c r="I541" s="161" t="s">
        <v>257</v>
      </c>
      <c r="J541" s="117">
        <v>111.01</v>
      </c>
      <c r="K541" s="108"/>
      <c r="L541" s="131"/>
      <c r="M541" s="117">
        <v>2962605</v>
      </c>
      <c r="N541" s="117"/>
      <c r="O541" s="162"/>
      <c r="P541" s="100" t="str">
        <f t="shared" si="54"/>
        <v>BNI IDR 768</v>
      </c>
      <c r="Q541" s="91"/>
      <c r="S541" s="112"/>
      <c r="T541" s="112"/>
      <c r="U541" s="113"/>
      <c r="V541" s="113"/>
      <c r="X541" s="102"/>
    </row>
    <row r="542" spans="1:24" s="101" customFormat="1" hidden="1" x14ac:dyDescent="0.25">
      <c r="A542" s="60" t="str">
        <f t="shared" si="52"/>
        <v>52111,01</v>
      </c>
      <c r="B542" s="60">
        <f>COUNTIF($J$7:J542,J542)</f>
        <v>52</v>
      </c>
      <c r="C542" s="60" t="str">
        <f t="shared" si="53"/>
        <v>0</v>
      </c>
      <c r="D542" s="60">
        <f>COUNTIF($K$7:K542,K542)</f>
        <v>0</v>
      </c>
      <c r="E542" s="91"/>
      <c r="F542" s="92">
        <v>44571.760648148149</v>
      </c>
      <c r="G542" s="116" t="s">
        <v>149</v>
      </c>
      <c r="H542" s="93" t="s">
        <v>258</v>
      </c>
      <c r="I542" s="161" t="s">
        <v>313</v>
      </c>
      <c r="J542" s="117">
        <v>111.01</v>
      </c>
      <c r="K542" s="108"/>
      <c r="L542" s="131"/>
      <c r="M542" s="117">
        <v>105000000</v>
      </c>
      <c r="N542" s="117"/>
      <c r="O542" s="111"/>
      <c r="P542" s="100" t="str">
        <f t="shared" si="54"/>
        <v>BNI IDR 768</v>
      </c>
      <c r="Q542" s="91"/>
      <c r="S542" s="112"/>
      <c r="T542" s="112"/>
      <c r="U542" s="113"/>
      <c r="V542" s="113"/>
      <c r="X542" s="102"/>
    </row>
    <row r="543" spans="1:24" s="101" customFormat="1" hidden="1" x14ac:dyDescent="0.25">
      <c r="A543" s="60" t="str">
        <f t="shared" si="52"/>
        <v>53111,01</v>
      </c>
      <c r="B543" s="60">
        <f>COUNTIF($J$7:J543,J543)</f>
        <v>53</v>
      </c>
      <c r="C543" s="60" t="str">
        <f t="shared" si="53"/>
        <v>0</v>
      </c>
      <c r="D543" s="60">
        <f>COUNTIF($K$7:K543,K543)</f>
        <v>0</v>
      </c>
      <c r="E543" s="91"/>
      <c r="F543" s="92">
        <v>44571.868136574078</v>
      </c>
      <c r="G543" s="116" t="s">
        <v>149</v>
      </c>
      <c r="H543" s="93" t="s">
        <v>259</v>
      </c>
      <c r="I543" s="161" t="s">
        <v>260</v>
      </c>
      <c r="J543" s="117">
        <v>111.01</v>
      </c>
      <c r="K543" s="108"/>
      <c r="L543" s="131"/>
      <c r="M543" s="117">
        <v>4215500</v>
      </c>
      <c r="N543" s="117"/>
      <c r="O543" s="111"/>
      <c r="P543" s="100" t="str">
        <f t="shared" si="54"/>
        <v>BNI IDR 768</v>
      </c>
      <c r="Q543" s="91"/>
      <c r="S543" s="112"/>
      <c r="T543" s="112"/>
      <c r="U543" s="113"/>
      <c r="V543" s="113"/>
      <c r="X543" s="102"/>
    </row>
    <row r="544" spans="1:24" s="101" customFormat="1" hidden="1" x14ac:dyDescent="0.25">
      <c r="A544" s="60" t="str">
        <f t="shared" si="52"/>
        <v>54111,01</v>
      </c>
      <c r="B544" s="60">
        <f>COUNTIF($J$7:J544,J544)</f>
        <v>54</v>
      </c>
      <c r="C544" s="60" t="str">
        <f t="shared" si="53"/>
        <v>0</v>
      </c>
      <c r="D544" s="60">
        <f>COUNTIF($K$7:K544,K544)</f>
        <v>0</v>
      </c>
      <c r="E544" s="91"/>
      <c r="F544" s="92">
        <v>44571.868136574078</v>
      </c>
      <c r="G544" s="116" t="s">
        <v>149</v>
      </c>
      <c r="H544" s="93" t="s">
        <v>261</v>
      </c>
      <c r="I544" s="161" t="s">
        <v>314</v>
      </c>
      <c r="J544" s="117">
        <v>111.01</v>
      </c>
      <c r="K544" s="108"/>
      <c r="L544" s="131"/>
      <c r="M544" s="117">
        <v>1296442</v>
      </c>
      <c r="N544" s="117"/>
      <c r="O544" s="111"/>
      <c r="P544" s="100" t="str">
        <f t="shared" si="54"/>
        <v>BNI IDR 768</v>
      </c>
      <c r="Q544" s="91"/>
      <c r="S544" s="112"/>
      <c r="T544" s="112"/>
      <c r="U544" s="113"/>
      <c r="V544" s="113"/>
      <c r="X544" s="102"/>
    </row>
    <row r="545" spans="1:24" s="101" customFormat="1" hidden="1" x14ac:dyDescent="0.25">
      <c r="A545" s="60" t="str">
        <f t="shared" si="52"/>
        <v>55111,01</v>
      </c>
      <c r="B545" s="60">
        <f>COUNTIF($J$7:J545,J545)</f>
        <v>55</v>
      </c>
      <c r="C545" s="60" t="str">
        <f t="shared" si="53"/>
        <v>0</v>
      </c>
      <c r="D545" s="60">
        <f>COUNTIF($K$7:K545,K545)</f>
        <v>0</v>
      </c>
      <c r="E545" s="91"/>
      <c r="F545" s="92">
        <v>44571.868159722224</v>
      </c>
      <c r="G545" s="116" t="s">
        <v>149</v>
      </c>
      <c r="H545" s="93" t="s">
        <v>264</v>
      </c>
      <c r="I545" s="161" t="s">
        <v>265</v>
      </c>
      <c r="J545" s="117">
        <v>111.01</v>
      </c>
      <c r="K545" s="108"/>
      <c r="L545" s="131"/>
      <c r="M545" s="117">
        <v>16250</v>
      </c>
      <c r="N545" s="117"/>
      <c r="O545" s="111"/>
      <c r="P545" s="100" t="str">
        <f t="shared" si="54"/>
        <v>BNI IDR 768</v>
      </c>
      <c r="Q545" s="91"/>
      <c r="S545" s="112"/>
      <c r="T545" s="112"/>
      <c r="U545" s="113"/>
      <c r="V545" s="113"/>
      <c r="X545" s="102"/>
    </row>
    <row r="546" spans="1:24" s="101" customFormat="1" hidden="1" x14ac:dyDescent="0.25">
      <c r="A546" s="60" t="str">
        <f t="shared" si="52"/>
        <v>56111,01</v>
      </c>
      <c r="B546" s="60">
        <f>COUNTIF($J$7:J546,J546)</f>
        <v>56</v>
      </c>
      <c r="C546" s="60" t="str">
        <f t="shared" si="53"/>
        <v>0</v>
      </c>
      <c r="D546" s="60">
        <f>COUNTIF($K$7:K546,K546)</f>
        <v>0</v>
      </c>
      <c r="E546" s="91"/>
      <c r="F546" s="92">
        <v>44571.868159722224</v>
      </c>
      <c r="G546" s="116" t="s">
        <v>149</v>
      </c>
      <c r="H546" s="93" t="s">
        <v>266</v>
      </c>
      <c r="I546" s="161" t="s">
        <v>315</v>
      </c>
      <c r="J546" s="117">
        <v>111.01</v>
      </c>
      <c r="K546" s="108"/>
      <c r="L546" s="131"/>
      <c r="M546" s="117">
        <v>18433780</v>
      </c>
      <c r="N546" s="117"/>
      <c r="O546" s="111"/>
      <c r="P546" s="100" t="str">
        <f t="shared" si="54"/>
        <v>BNI IDR 768</v>
      </c>
      <c r="Q546" s="91"/>
      <c r="S546" s="112"/>
      <c r="T546" s="112"/>
      <c r="U546" s="113"/>
      <c r="V546" s="113"/>
      <c r="X546" s="102"/>
    </row>
    <row r="547" spans="1:24" s="101" customFormat="1" hidden="1" x14ac:dyDescent="0.25">
      <c r="A547" s="60" t="str">
        <f t="shared" si="52"/>
        <v>57111,01</v>
      </c>
      <c r="B547" s="60">
        <f>COUNTIF($J$7:J547,J547)</f>
        <v>57</v>
      </c>
      <c r="C547" s="60" t="str">
        <f t="shared" si="53"/>
        <v>0</v>
      </c>
      <c r="D547" s="60">
        <f>COUNTIF($K$7:K547,K547)</f>
        <v>0</v>
      </c>
      <c r="E547" s="91"/>
      <c r="F547" s="92">
        <v>44571.869467592594</v>
      </c>
      <c r="G547" s="116" t="s">
        <v>149</v>
      </c>
      <c r="H547" s="93" t="s">
        <v>268</v>
      </c>
      <c r="I547" s="161" t="s">
        <v>269</v>
      </c>
      <c r="J547" s="117">
        <v>111.01</v>
      </c>
      <c r="K547" s="108"/>
      <c r="L547" s="131"/>
      <c r="M547" s="117">
        <v>6000000</v>
      </c>
      <c r="N547" s="117"/>
      <c r="O547" s="111"/>
      <c r="P547" s="100" t="str">
        <f t="shared" si="54"/>
        <v>BNI IDR 768</v>
      </c>
      <c r="Q547" s="91"/>
      <c r="S547" s="112"/>
      <c r="T547" s="112"/>
      <c r="U547" s="113"/>
      <c r="V547" s="113"/>
      <c r="X547" s="102"/>
    </row>
    <row r="548" spans="1:24" s="101" customFormat="1" hidden="1" x14ac:dyDescent="0.25">
      <c r="A548" s="60" t="str">
        <f t="shared" si="52"/>
        <v>58111,01</v>
      </c>
      <c r="B548" s="60">
        <f>COUNTIF($J$7:J548,J548)</f>
        <v>58</v>
      </c>
      <c r="C548" s="60" t="str">
        <f t="shared" si="53"/>
        <v>0</v>
      </c>
      <c r="D548" s="60">
        <f>COUNTIF($K$7:K548,K548)</f>
        <v>0</v>
      </c>
      <c r="E548" s="91"/>
      <c r="F548" s="92">
        <v>44572.464780092596</v>
      </c>
      <c r="G548" s="116" t="s">
        <v>149</v>
      </c>
      <c r="H548" s="93" t="s">
        <v>270</v>
      </c>
      <c r="I548" s="161" t="s">
        <v>271</v>
      </c>
      <c r="J548" s="117">
        <v>111.01</v>
      </c>
      <c r="K548" s="108"/>
      <c r="L548" s="131"/>
      <c r="M548" s="117">
        <v>2000000</v>
      </c>
      <c r="N548" s="117"/>
      <c r="O548" s="111"/>
      <c r="P548" s="100" t="str">
        <f t="shared" si="54"/>
        <v>BNI IDR 768</v>
      </c>
      <c r="Q548" s="91"/>
      <c r="S548" s="112"/>
      <c r="T548" s="112"/>
      <c r="U548" s="113"/>
      <c r="V548" s="113"/>
      <c r="X548" s="102"/>
    </row>
    <row r="549" spans="1:24" s="101" customFormat="1" hidden="1" x14ac:dyDescent="0.25">
      <c r="A549" s="60" t="str">
        <f t="shared" si="52"/>
        <v>59111,01</v>
      </c>
      <c r="B549" s="60">
        <f>COUNTIF($J$7:J549,J549)</f>
        <v>59</v>
      </c>
      <c r="C549" s="60" t="str">
        <f t="shared" si="53"/>
        <v>0</v>
      </c>
      <c r="D549" s="60">
        <f>COUNTIF($K$7:K549,K549)</f>
        <v>0</v>
      </c>
      <c r="E549" s="91"/>
      <c r="F549" s="92">
        <v>44572.506307870368</v>
      </c>
      <c r="G549" s="116" t="s">
        <v>149</v>
      </c>
      <c r="H549" s="93" t="s">
        <v>272</v>
      </c>
      <c r="I549" s="161" t="s">
        <v>273</v>
      </c>
      <c r="J549" s="117">
        <v>111.01</v>
      </c>
      <c r="K549" s="108"/>
      <c r="L549" s="131"/>
      <c r="M549" s="117">
        <v>93777</v>
      </c>
      <c r="N549" s="117"/>
      <c r="O549" s="111"/>
      <c r="P549" s="100" t="str">
        <f t="shared" si="54"/>
        <v>BNI IDR 768</v>
      </c>
      <c r="Q549" s="91"/>
      <c r="S549" s="112"/>
      <c r="T549" s="112"/>
      <c r="U549" s="113"/>
      <c r="V549" s="113"/>
      <c r="X549" s="102"/>
    </row>
    <row r="550" spans="1:24" s="101" customFormat="1" hidden="1" x14ac:dyDescent="0.25">
      <c r="A550" s="60" t="str">
        <f t="shared" si="52"/>
        <v>60111,01</v>
      </c>
      <c r="B550" s="60">
        <f>COUNTIF($J$7:J550,J550)</f>
        <v>60</v>
      </c>
      <c r="C550" s="60" t="str">
        <f t="shared" si="53"/>
        <v>0</v>
      </c>
      <c r="D550" s="60">
        <f>COUNTIF($K$7:K550,K550)</f>
        <v>0</v>
      </c>
      <c r="E550" s="91"/>
      <c r="F550" s="92">
        <v>44572.506307870368</v>
      </c>
      <c r="G550" s="116" t="s">
        <v>149</v>
      </c>
      <c r="H550" s="93" t="s">
        <v>274</v>
      </c>
      <c r="I550" s="161" t="s">
        <v>275</v>
      </c>
      <c r="J550" s="117">
        <v>111.01</v>
      </c>
      <c r="K550" s="108"/>
      <c r="L550" s="131"/>
      <c r="M550" s="117">
        <v>2000000</v>
      </c>
      <c r="N550" s="117"/>
      <c r="O550" s="111"/>
      <c r="P550" s="100" t="str">
        <f t="shared" si="54"/>
        <v>BNI IDR 768</v>
      </c>
      <c r="Q550" s="91"/>
      <c r="S550" s="112"/>
      <c r="T550" s="112"/>
      <c r="U550" s="113"/>
      <c r="V550" s="113"/>
      <c r="X550" s="102"/>
    </row>
    <row r="551" spans="1:24" s="101" customFormat="1" hidden="1" x14ac:dyDescent="0.25">
      <c r="A551" s="60" t="str">
        <f t="shared" si="52"/>
        <v>61111,01</v>
      </c>
      <c r="B551" s="60">
        <f>COUNTIF($J$7:J551,J551)</f>
        <v>61</v>
      </c>
      <c r="C551" s="60" t="str">
        <f t="shared" si="53"/>
        <v>0</v>
      </c>
      <c r="D551" s="60">
        <f>COUNTIF($K$7:K551,K551)</f>
        <v>0</v>
      </c>
      <c r="E551" s="91"/>
      <c r="F551" s="92">
        <v>44572.506307870368</v>
      </c>
      <c r="G551" s="116" t="s">
        <v>149</v>
      </c>
      <c r="H551" s="93" t="s">
        <v>276</v>
      </c>
      <c r="I551" s="161" t="s">
        <v>277</v>
      </c>
      <c r="J551" s="117">
        <v>111.01</v>
      </c>
      <c r="K551" s="108"/>
      <c r="L551" s="131"/>
      <c r="M551" s="117">
        <v>502250</v>
      </c>
      <c r="N551" s="117"/>
      <c r="O551" s="111"/>
      <c r="P551" s="100" t="str">
        <f t="shared" si="54"/>
        <v>BNI IDR 768</v>
      </c>
      <c r="Q551" s="91"/>
      <c r="S551" s="112"/>
      <c r="T551" s="112"/>
      <c r="U551" s="113"/>
      <c r="V551" s="113"/>
      <c r="X551" s="102"/>
    </row>
    <row r="552" spans="1:24" s="101" customFormat="1" hidden="1" x14ac:dyDescent="0.25">
      <c r="A552" s="60" t="str">
        <f t="shared" si="52"/>
        <v>62111,01</v>
      </c>
      <c r="B552" s="60">
        <f>COUNTIF($J$7:J552,J552)</f>
        <v>62</v>
      </c>
      <c r="C552" s="60" t="str">
        <f t="shared" si="53"/>
        <v>0</v>
      </c>
      <c r="D552" s="60">
        <f>COUNTIF($K$7:K552,K552)</f>
        <v>0</v>
      </c>
      <c r="E552" s="91"/>
      <c r="F552" s="92">
        <v>44572.506319444445</v>
      </c>
      <c r="G552" s="116" t="s">
        <v>149</v>
      </c>
      <c r="H552" s="93" t="s">
        <v>278</v>
      </c>
      <c r="I552" s="161" t="s">
        <v>279</v>
      </c>
      <c r="J552" s="117">
        <v>111.01</v>
      </c>
      <c r="K552" s="108"/>
      <c r="L552" s="131"/>
      <c r="M552" s="117">
        <v>225524</v>
      </c>
      <c r="N552" s="117"/>
      <c r="O552" s="111"/>
      <c r="P552" s="100" t="str">
        <f t="shared" si="54"/>
        <v>BNI IDR 768</v>
      </c>
      <c r="Q552" s="91"/>
      <c r="S552" s="112"/>
      <c r="T552" s="112"/>
      <c r="U552" s="113"/>
      <c r="V552" s="113"/>
      <c r="X552" s="102"/>
    </row>
    <row r="553" spans="1:24" s="101" customFormat="1" hidden="1" x14ac:dyDescent="0.25">
      <c r="A553" s="60" t="str">
        <f t="shared" si="52"/>
        <v>63111,01</v>
      </c>
      <c r="B553" s="60">
        <f>COUNTIF($J$7:J553,J553)</f>
        <v>63</v>
      </c>
      <c r="C553" s="60" t="str">
        <f t="shared" si="53"/>
        <v>0</v>
      </c>
      <c r="D553" s="60">
        <f>COUNTIF($K$7:K553,K553)</f>
        <v>0</v>
      </c>
      <c r="E553" s="91"/>
      <c r="F553" s="92">
        <v>44572.506319444445</v>
      </c>
      <c r="G553" s="116" t="s">
        <v>149</v>
      </c>
      <c r="H553" s="93" t="s">
        <v>280</v>
      </c>
      <c r="I553" s="161" t="s">
        <v>281</v>
      </c>
      <c r="J553" s="117">
        <v>111.01</v>
      </c>
      <c r="K553" s="108"/>
      <c r="L553" s="131"/>
      <c r="M553" s="117">
        <v>633750</v>
      </c>
      <c r="N553" s="117"/>
      <c r="O553" s="111"/>
      <c r="P553" s="100" t="str">
        <f t="shared" si="54"/>
        <v>BNI IDR 768</v>
      </c>
      <c r="Q553" s="91"/>
      <c r="S553" s="112"/>
      <c r="T553" s="112"/>
      <c r="U553" s="113"/>
      <c r="V553" s="113"/>
      <c r="X553" s="102"/>
    </row>
    <row r="554" spans="1:24" s="101" customFormat="1" hidden="1" x14ac:dyDescent="0.25">
      <c r="A554" s="60" t="str">
        <f t="shared" si="52"/>
        <v>64111,01</v>
      </c>
      <c r="B554" s="60">
        <f>COUNTIF($J$7:J554,J554)</f>
        <v>64</v>
      </c>
      <c r="C554" s="60" t="str">
        <f t="shared" si="53"/>
        <v>0</v>
      </c>
      <c r="D554" s="60">
        <f>COUNTIF($K$7:K554,K554)</f>
        <v>0</v>
      </c>
      <c r="E554" s="91"/>
      <c r="F554" s="92">
        <v>44572</v>
      </c>
      <c r="G554" s="116" t="s">
        <v>149</v>
      </c>
      <c r="H554" s="93" t="s">
        <v>280</v>
      </c>
      <c r="I554" s="161" t="s">
        <v>282</v>
      </c>
      <c r="J554" s="117">
        <v>111.01</v>
      </c>
      <c r="K554" s="108"/>
      <c r="L554" s="131"/>
      <c r="M554" s="117">
        <v>6500</v>
      </c>
      <c r="N554" s="117"/>
      <c r="O554" s="111"/>
      <c r="P554" s="100" t="str">
        <f t="shared" si="54"/>
        <v>BNI IDR 768</v>
      </c>
      <c r="Q554" s="91"/>
      <c r="S554" s="112"/>
      <c r="T554" s="112"/>
      <c r="U554" s="113"/>
      <c r="V554" s="113"/>
      <c r="X554" s="102"/>
    </row>
    <row r="555" spans="1:24" s="101" customFormat="1" hidden="1" x14ac:dyDescent="0.25">
      <c r="A555" s="60" t="str">
        <f t="shared" si="52"/>
        <v>65111,01</v>
      </c>
      <c r="B555" s="60">
        <f>COUNTIF($J$7:J555,J555)</f>
        <v>65</v>
      </c>
      <c r="C555" s="60" t="str">
        <f t="shared" si="53"/>
        <v>0</v>
      </c>
      <c r="D555" s="60">
        <f>COUNTIF($K$7:K555,K555)</f>
        <v>0</v>
      </c>
      <c r="E555" s="91"/>
      <c r="F555" s="92">
        <v>44572.506319444445</v>
      </c>
      <c r="G555" s="116" t="s">
        <v>149</v>
      </c>
      <c r="H555" s="93" t="s">
        <v>283</v>
      </c>
      <c r="I555" s="161" t="s">
        <v>284</v>
      </c>
      <c r="J555" s="117">
        <v>111.01</v>
      </c>
      <c r="K555" s="108"/>
      <c r="L555" s="131"/>
      <c r="M555" s="117">
        <v>8271800</v>
      </c>
      <c r="N555" s="117"/>
      <c r="O555" s="111"/>
      <c r="P555" s="100" t="str">
        <f t="shared" si="54"/>
        <v>BNI IDR 768</v>
      </c>
      <c r="Q555" s="91"/>
      <c r="S555" s="112"/>
      <c r="T555" s="112"/>
      <c r="U555" s="113"/>
      <c r="V555" s="113"/>
      <c r="X555" s="102"/>
    </row>
    <row r="556" spans="1:24" s="101" customFormat="1" hidden="1" x14ac:dyDescent="0.25">
      <c r="A556" s="60" t="str">
        <f t="shared" si="52"/>
        <v>66111,01</v>
      </c>
      <c r="B556" s="60">
        <f>COUNTIF($J$7:J556,J556)</f>
        <v>66</v>
      </c>
      <c r="C556" s="60" t="str">
        <f t="shared" si="53"/>
        <v>0</v>
      </c>
      <c r="D556" s="60">
        <f>COUNTIF($K$7:K556,K556)</f>
        <v>0</v>
      </c>
      <c r="E556" s="91"/>
      <c r="F556" s="92">
        <v>44572</v>
      </c>
      <c r="G556" s="116" t="s">
        <v>149</v>
      </c>
      <c r="H556" s="93" t="s">
        <v>283</v>
      </c>
      <c r="I556" s="161" t="s">
        <v>282</v>
      </c>
      <c r="J556" s="117">
        <v>111.01</v>
      </c>
      <c r="K556" s="108"/>
      <c r="L556" s="131"/>
      <c r="M556" s="117">
        <v>6500</v>
      </c>
      <c r="N556" s="117"/>
      <c r="O556" s="111"/>
      <c r="P556" s="100" t="str">
        <f t="shared" si="54"/>
        <v>BNI IDR 768</v>
      </c>
      <c r="Q556" s="91"/>
      <c r="S556" s="112"/>
      <c r="T556" s="112"/>
      <c r="U556" s="113"/>
      <c r="V556" s="113"/>
      <c r="X556" s="102"/>
    </row>
    <row r="557" spans="1:24" s="101" customFormat="1" hidden="1" x14ac:dyDescent="0.25">
      <c r="A557" s="60" t="str">
        <f t="shared" si="52"/>
        <v>67111,01</v>
      </c>
      <c r="B557" s="60">
        <f>COUNTIF($J$7:J557,J557)</f>
        <v>67</v>
      </c>
      <c r="C557" s="60" t="str">
        <f t="shared" si="53"/>
        <v>0</v>
      </c>
      <c r="D557" s="60">
        <f>COUNTIF($K$7:K557,K557)</f>
        <v>0</v>
      </c>
      <c r="E557" s="91"/>
      <c r="F557" s="92">
        <v>44572.506319444445</v>
      </c>
      <c r="G557" s="116" t="s">
        <v>149</v>
      </c>
      <c r="H557" s="93" t="s">
        <v>285</v>
      </c>
      <c r="I557" s="161" t="s">
        <v>316</v>
      </c>
      <c r="J557" s="117">
        <v>111.01</v>
      </c>
      <c r="K557" s="108"/>
      <c r="L557" s="131"/>
      <c r="M557" s="117">
        <v>26888929</v>
      </c>
      <c r="N557" s="117"/>
      <c r="O557" s="111"/>
      <c r="P557" s="100" t="str">
        <f t="shared" si="54"/>
        <v>BNI IDR 768</v>
      </c>
      <c r="Q557" s="91"/>
      <c r="S557" s="112"/>
      <c r="T557" s="112"/>
      <c r="U557" s="113"/>
      <c r="V557" s="113"/>
      <c r="X557" s="102"/>
    </row>
    <row r="558" spans="1:24" s="101" customFormat="1" hidden="1" x14ac:dyDescent="0.25">
      <c r="A558" s="60" t="str">
        <f t="shared" si="52"/>
        <v>68111,01</v>
      </c>
      <c r="B558" s="60">
        <f>COUNTIF($J$7:J558,J558)</f>
        <v>68</v>
      </c>
      <c r="C558" s="60" t="str">
        <f t="shared" si="53"/>
        <v>0</v>
      </c>
      <c r="D558" s="60">
        <f>COUNTIF($K$7:K558,K558)</f>
        <v>0</v>
      </c>
      <c r="E558" s="91"/>
      <c r="F558" s="92">
        <v>44572</v>
      </c>
      <c r="G558" s="116" t="s">
        <v>149</v>
      </c>
      <c r="H558" s="93" t="s">
        <v>285</v>
      </c>
      <c r="I558" s="161" t="s">
        <v>282</v>
      </c>
      <c r="J558" s="117">
        <v>111.01</v>
      </c>
      <c r="K558" s="108"/>
      <c r="L558" s="131"/>
      <c r="M558" s="117">
        <v>6500</v>
      </c>
      <c r="N558" s="117"/>
      <c r="O558" s="111"/>
      <c r="P558" s="100" t="str">
        <f t="shared" si="54"/>
        <v>BNI IDR 768</v>
      </c>
      <c r="Q558" s="91"/>
      <c r="S558" s="112"/>
      <c r="T558" s="112"/>
      <c r="U558" s="113"/>
      <c r="V558" s="113"/>
      <c r="X558" s="102"/>
    </row>
    <row r="559" spans="1:24" s="101" customFormat="1" hidden="1" x14ac:dyDescent="0.25">
      <c r="A559" s="60" t="str">
        <f t="shared" si="52"/>
        <v>69111,01</v>
      </c>
      <c r="B559" s="60">
        <f>COUNTIF($J$7:J559,J559)</f>
        <v>69</v>
      </c>
      <c r="C559" s="60" t="str">
        <f t="shared" si="53"/>
        <v>0</v>
      </c>
      <c r="D559" s="60">
        <f>COUNTIF($K$7:K559,K559)</f>
        <v>0</v>
      </c>
      <c r="E559" s="91"/>
      <c r="F559" s="92">
        <v>44572.506331018521</v>
      </c>
      <c r="G559" s="116" t="s">
        <v>149</v>
      </c>
      <c r="H559" s="93" t="s">
        <v>287</v>
      </c>
      <c r="I559" s="161" t="s">
        <v>288</v>
      </c>
      <c r="J559" s="117">
        <v>111.01</v>
      </c>
      <c r="K559" s="108"/>
      <c r="L559" s="131"/>
      <c r="M559" s="117">
        <v>495804</v>
      </c>
      <c r="N559" s="117"/>
      <c r="O559" s="111"/>
      <c r="P559" s="100" t="str">
        <f t="shared" si="54"/>
        <v>BNI IDR 768</v>
      </c>
      <c r="Q559" s="91"/>
      <c r="S559" s="112"/>
      <c r="T559" s="112"/>
      <c r="U559" s="113"/>
      <c r="V559" s="113"/>
      <c r="X559" s="102"/>
    </row>
    <row r="560" spans="1:24" s="101" customFormat="1" hidden="1" x14ac:dyDescent="0.25">
      <c r="A560" s="60" t="str">
        <f t="shared" si="52"/>
        <v>70111,01</v>
      </c>
      <c r="B560" s="60">
        <f>COUNTIF($J$7:J560,J560)</f>
        <v>70</v>
      </c>
      <c r="C560" s="60" t="str">
        <f t="shared" si="53"/>
        <v>0</v>
      </c>
      <c r="D560" s="60">
        <f>COUNTIF($K$7:K560,K560)</f>
        <v>0</v>
      </c>
      <c r="E560" s="91"/>
      <c r="F560" s="92">
        <v>44572.506331018521</v>
      </c>
      <c r="G560" s="116" t="s">
        <v>149</v>
      </c>
      <c r="H560" s="93" t="s">
        <v>289</v>
      </c>
      <c r="I560" s="161" t="s">
        <v>290</v>
      </c>
      <c r="J560" s="117">
        <v>111.01</v>
      </c>
      <c r="K560" s="108"/>
      <c r="L560" s="131"/>
      <c r="M560" s="117">
        <v>178864</v>
      </c>
      <c r="N560" s="117"/>
      <c r="O560" s="111"/>
      <c r="P560" s="100" t="str">
        <f t="shared" si="54"/>
        <v>BNI IDR 768</v>
      </c>
      <c r="Q560" s="91"/>
      <c r="S560" s="112"/>
      <c r="T560" s="112"/>
      <c r="U560" s="113"/>
      <c r="V560" s="113"/>
      <c r="X560" s="102"/>
    </row>
    <row r="561" spans="1:24" s="101" customFormat="1" hidden="1" x14ac:dyDescent="0.25">
      <c r="A561" s="60" t="str">
        <f t="shared" si="52"/>
        <v>71111,01</v>
      </c>
      <c r="B561" s="60">
        <f>COUNTIF($J$7:J561,J561)</f>
        <v>71</v>
      </c>
      <c r="C561" s="60" t="str">
        <f t="shared" si="53"/>
        <v>0</v>
      </c>
      <c r="D561" s="60">
        <f>COUNTIF($K$7:K561,K561)</f>
        <v>0</v>
      </c>
      <c r="E561" s="91"/>
      <c r="F561" s="92">
        <v>44572.506331018521</v>
      </c>
      <c r="G561" s="116" t="s">
        <v>149</v>
      </c>
      <c r="H561" s="93" t="s">
        <v>291</v>
      </c>
      <c r="I561" s="161" t="s">
        <v>292</v>
      </c>
      <c r="J561" s="117">
        <v>111.01</v>
      </c>
      <c r="K561" s="108"/>
      <c r="L561" s="131"/>
      <c r="M561" s="117">
        <v>600000</v>
      </c>
      <c r="N561" s="117"/>
      <c r="O561" s="111"/>
      <c r="P561" s="100" t="str">
        <f t="shared" si="54"/>
        <v>BNI IDR 768</v>
      </c>
      <c r="Q561" s="91"/>
      <c r="S561" s="112"/>
      <c r="T561" s="112"/>
      <c r="U561" s="113"/>
      <c r="V561" s="113"/>
      <c r="X561" s="102"/>
    </row>
    <row r="562" spans="1:24" s="101" customFormat="1" hidden="1" x14ac:dyDescent="0.25">
      <c r="A562" s="60" t="str">
        <f t="shared" si="52"/>
        <v>72111,01</v>
      </c>
      <c r="B562" s="60">
        <f>COUNTIF($J$7:J562,J562)</f>
        <v>72</v>
      </c>
      <c r="C562" s="60" t="str">
        <f t="shared" si="53"/>
        <v>0</v>
      </c>
      <c r="D562" s="60">
        <f>COUNTIF($K$7:K562,K562)</f>
        <v>0</v>
      </c>
      <c r="E562" s="91"/>
      <c r="F562" s="92">
        <v>44572.506331018521</v>
      </c>
      <c r="G562" s="116" t="s">
        <v>149</v>
      </c>
      <c r="H562" s="93" t="s">
        <v>293</v>
      </c>
      <c r="I562" s="161" t="s">
        <v>173</v>
      </c>
      <c r="J562" s="117">
        <v>111.01</v>
      </c>
      <c r="K562" s="108"/>
      <c r="L562" s="131"/>
      <c r="M562" s="117">
        <v>1753125</v>
      </c>
      <c r="N562" s="117"/>
      <c r="O562" s="111"/>
      <c r="P562" s="100" t="str">
        <f t="shared" si="54"/>
        <v>BNI IDR 768</v>
      </c>
      <c r="Q562" s="91"/>
      <c r="S562" s="112"/>
      <c r="T562" s="112"/>
      <c r="U562" s="113"/>
      <c r="V562" s="113"/>
      <c r="X562" s="102"/>
    </row>
    <row r="563" spans="1:24" s="101" customFormat="1" hidden="1" x14ac:dyDescent="0.25">
      <c r="A563" s="60" t="str">
        <f t="shared" si="52"/>
        <v>73111,01</v>
      </c>
      <c r="B563" s="60">
        <f>COUNTIF($J$7:J563,J563)</f>
        <v>73</v>
      </c>
      <c r="C563" s="60" t="str">
        <f t="shared" si="53"/>
        <v>0</v>
      </c>
      <c r="D563" s="60">
        <f>COUNTIF($K$7:K563,K563)</f>
        <v>0</v>
      </c>
      <c r="E563" s="91"/>
      <c r="F563" s="92">
        <v>44572</v>
      </c>
      <c r="G563" s="116" t="s">
        <v>149</v>
      </c>
      <c r="H563" s="93" t="s">
        <v>293</v>
      </c>
      <c r="I563" s="161" t="s">
        <v>282</v>
      </c>
      <c r="J563" s="117">
        <v>111.01</v>
      </c>
      <c r="K563" s="108"/>
      <c r="L563" s="131"/>
      <c r="M563" s="117">
        <v>6500</v>
      </c>
      <c r="N563" s="117"/>
      <c r="O563" s="111"/>
      <c r="P563" s="100" t="str">
        <f t="shared" si="54"/>
        <v>BNI IDR 768</v>
      </c>
      <c r="Q563" s="91"/>
      <c r="S563" s="112"/>
      <c r="T563" s="112"/>
      <c r="U563" s="113"/>
      <c r="V563" s="113"/>
      <c r="X563" s="102"/>
    </row>
    <row r="564" spans="1:24" s="101" customFormat="1" hidden="1" x14ac:dyDescent="0.25">
      <c r="A564" s="60" t="str">
        <f t="shared" si="52"/>
        <v>74111,01</v>
      </c>
      <c r="B564" s="60">
        <f>COUNTIF($J$7:J564,J564)</f>
        <v>74</v>
      </c>
      <c r="C564" s="60" t="str">
        <f t="shared" si="53"/>
        <v>0</v>
      </c>
      <c r="D564" s="60">
        <f>COUNTIF($K$7:K564,K564)</f>
        <v>0</v>
      </c>
      <c r="E564" s="91"/>
      <c r="F564" s="92">
        <v>44572.506331018521</v>
      </c>
      <c r="G564" s="116" t="s">
        <v>149</v>
      </c>
      <c r="H564" s="93" t="s">
        <v>294</v>
      </c>
      <c r="I564" s="126" t="s">
        <v>295</v>
      </c>
      <c r="J564" s="117">
        <v>111.01</v>
      </c>
      <c r="K564" s="108"/>
      <c r="L564" s="131"/>
      <c r="M564" s="117">
        <v>1200174</v>
      </c>
      <c r="N564" s="117"/>
      <c r="O564" s="111"/>
      <c r="P564" s="100" t="str">
        <f t="shared" si="54"/>
        <v>BNI IDR 768</v>
      </c>
      <c r="Q564" s="91"/>
      <c r="S564" s="112"/>
      <c r="T564" s="112"/>
      <c r="U564" s="113"/>
      <c r="V564" s="113"/>
      <c r="X564" s="102"/>
    </row>
    <row r="565" spans="1:24" s="101" customFormat="1" hidden="1" x14ac:dyDescent="0.25">
      <c r="A565" s="60" t="str">
        <f t="shared" si="52"/>
        <v>75111,01</v>
      </c>
      <c r="B565" s="60">
        <f>COUNTIF($J$7:J565,J565)</f>
        <v>75</v>
      </c>
      <c r="C565" s="60" t="str">
        <f t="shared" si="53"/>
        <v>0</v>
      </c>
      <c r="D565" s="60">
        <f>COUNTIF($K$7:K565,K565)</f>
        <v>0</v>
      </c>
      <c r="E565" s="91"/>
      <c r="F565" s="92">
        <v>44572</v>
      </c>
      <c r="G565" s="116" t="s">
        <v>149</v>
      </c>
      <c r="H565" s="93" t="s">
        <v>294</v>
      </c>
      <c r="I565" s="161" t="s">
        <v>282</v>
      </c>
      <c r="J565" s="117">
        <v>111.01</v>
      </c>
      <c r="K565" s="108"/>
      <c r="L565" s="131"/>
      <c r="M565" s="117">
        <v>6500</v>
      </c>
      <c r="N565" s="117"/>
      <c r="O565" s="111"/>
      <c r="P565" s="100" t="str">
        <f t="shared" si="54"/>
        <v>BNI IDR 768</v>
      </c>
      <c r="Q565" s="91"/>
      <c r="S565" s="112"/>
      <c r="T565" s="112"/>
      <c r="U565" s="113"/>
      <c r="V565" s="113"/>
      <c r="X565" s="102"/>
    </row>
    <row r="566" spans="1:24" s="101" customFormat="1" hidden="1" x14ac:dyDescent="0.25">
      <c r="A566" s="60" t="str">
        <f t="shared" si="52"/>
        <v>76111,01</v>
      </c>
      <c r="B566" s="60">
        <f>COUNTIF($J$7:J566,J566)</f>
        <v>76</v>
      </c>
      <c r="C566" s="60" t="str">
        <f t="shared" si="53"/>
        <v>0</v>
      </c>
      <c r="D566" s="60">
        <f>COUNTIF($K$7:K566,K566)</f>
        <v>0</v>
      </c>
      <c r="E566" s="91"/>
      <c r="F566" s="92">
        <v>44572.506342592591</v>
      </c>
      <c r="G566" s="116" t="s">
        <v>149</v>
      </c>
      <c r="H566" s="93" t="s">
        <v>296</v>
      </c>
      <c r="I566" s="161" t="s">
        <v>297</v>
      </c>
      <c r="J566" s="117">
        <v>111.01</v>
      </c>
      <c r="K566" s="108"/>
      <c r="L566" s="131"/>
      <c r="M566" s="117">
        <v>26888929</v>
      </c>
      <c r="N566" s="117"/>
      <c r="O566" s="111"/>
      <c r="P566" s="100" t="str">
        <f t="shared" si="54"/>
        <v>BNI IDR 768</v>
      </c>
      <c r="Q566" s="91"/>
      <c r="S566" s="112"/>
      <c r="T566" s="112"/>
      <c r="U566" s="113"/>
      <c r="V566" s="113"/>
      <c r="X566" s="102"/>
    </row>
    <row r="567" spans="1:24" s="101" customFormat="1" hidden="1" x14ac:dyDescent="0.25">
      <c r="A567" s="60" t="str">
        <f t="shared" si="52"/>
        <v>77111,01</v>
      </c>
      <c r="B567" s="60">
        <f>COUNTIF($J$7:J567,J567)</f>
        <v>77</v>
      </c>
      <c r="C567" s="60" t="str">
        <f t="shared" si="53"/>
        <v>0</v>
      </c>
      <c r="D567" s="60">
        <f>COUNTIF($K$7:K567,K567)</f>
        <v>0</v>
      </c>
      <c r="E567" s="91"/>
      <c r="F567" s="92">
        <v>44572</v>
      </c>
      <c r="G567" s="116" t="s">
        <v>149</v>
      </c>
      <c r="H567" s="93" t="s">
        <v>296</v>
      </c>
      <c r="I567" s="161" t="s">
        <v>282</v>
      </c>
      <c r="J567" s="117">
        <v>111.01</v>
      </c>
      <c r="K567" s="108"/>
      <c r="L567" s="131"/>
      <c r="M567" s="117">
        <v>6500</v>
      </c>
      <c r="N567" s="117"/>
      <c r="O567" s="111"/>
      <c r="P567" s="100" t="str">
        <f t="shared" si="54"/>
        <v>BNI IDR 768</v>
      </c>
      <c r="Q567" s="91"/>
      <c r="S567" s="112"/>
      <c r="T567" s="112"/>
      <c r="U567" s="113"/>
      <c r="V567" s="113"/>
      <c r="X567" s="102"/>
    </row>
    <row r="568" spans="1:24" s="101" customFormat="1" hidden="1" x14ac:dyDescent="0.25">
      <c r="A568" s="60" t="str">
        <f t="shared" si="52"/>
        <v>78111,01</v>
      </c>
      <c r="B568" s="60">
        <f>COUNTIF($J$7:J568,J568)</f>
        <v>78</v>
      </c>
      <c r="C568" s="60" t="str">
        <f t="shared" si="53"/>
        <v>0</v>
      </c>
      <c r="D568" s="60">
        <f>COUNTIF($K$7:K568,K568)</f>
        <v>0</v>
      </c>
      <c r="E568" s="91"/>
      <c r="F568" s="92">
        <v>44572.506377314814</v>
      </c>
      <c r="G568" s="116" t="s">
        <v>149</v>
      </c>
      <c r="H568" s="93" t="s">
        <v>298</v>
      </c>
      <c r="I568" s="161" t="s">
        <v>299</v>
      </c>
      <c r="J568" s="117">
        <v>111.01</v>
      </c>
      <c r="K568" s="108"/>
      <c r="L568" s="131"/>
      <c r="M568" s="117">
        <v>3412500</v>
      </c>
      <c r="N568" s="117"/>
      <c r="O568" s="111"/>
      <c r="P568" s="100" t="str">
        <f t="shared" si="54"/>
        <v>BNI IDR 768</v>
      </c>
      <c r="Q568" s="91"/>
      <c r="S568" s="112"/>
      <c r="T568" s="112"/>
      <c r="U568" s="113"/>
      <c r="V568" s="113"/>
      <c r="X568" s="102"/>
    </row>
    <row r="569" spans="1:24" s="101" customFormat="1" hidden="1" x14ac:dyDescent="0.25">
      <c r="A569" s="60" t="str">
        <f t="shared" si="52"/>
        <v>79111,01</v>
      </c>
      <c r="B569" s="60">
        <f>COUNTIF($J$7:J569,J569)</f>
        <v>79</v>
      </c>
      <c r="C569" s="60" t="str">
        <f t="shared" si="53"/>
        <v>0</v>
      </c>
      <c r="D569" s="60">
        <f>COUNTIF($K$7:K569,K569)</f>
        <v>0</v>
      </c>
      <c r="E569" s="91"/>
      <c r="F569" s="92">
        <v>44572</v>
      </c>
      <c r="G569" s="116" t="s">
        <v>149</v>
      </c>
      <c r="H569" s="93" t="s">
        <v>298</v>
      </c>
      <c r="I569" s="161" t="s">
        <v>282</v>
      </c>
      <c r="J569" s="117">
        <v>111.01</v>
      </c>
      <c r="K569" s="108"/>
      <c r="L569" s="131"/>
      <c r="M569" s="117">
        <v>6500</v>
      </c>
      <c r="N569" s="117"/>
      <c r="O569" s="111"/>
      <c r="P569" s="100" t="str">
        <f t="shared" si="54"/>
        <v>BNI IDR 768</v>
      </c>
      <c r="Q569" s="91"/>
      <c r="S569" s="112"/>
      <c r="T569" s="112"/>
      <c r="U569" s="113"/>
      <c r="V569" s="113"/>
      <c r="X569" s="102"/>
    </row>
    <row r="570" spans="1:24" s="101" customFormat="1" hidden="1" x14ac:dyDescent="0.25">
      <c r="A570" s="60" t="str">
        <f t="shared" si="52"/>
        <v>80111,01</v>
      </c>
      <c r="B570" s="60">
        <f>COUNTIF($J$7:J570,J570)</f>
        <v>80</v>
      </c>
      <c r="C570" s="60" t="str">
        <f t="shared" si="53"/>
        <v>0</v>
      </c>
      <c r="D570" s="60">
        <f>COUNTIF($K$7:K570,K570)</f>
        <v>0</v>
      </c>
      <c r="E570" s="91"/>
      <c r="F570" s="92">
        <v>44573.445069444446</v>
      </c>
      <c r="G570" s="116" t="s">
        <v>149</v>
      </c>
      <c r="H570" s="93" t="s">
        <v>300</v>
      </c>
      <c r="I570" s="125" t="s">
        <v>301</v>
      </c>
      <c r="J570" s="117">
        <v>111.01</v>
      </c>
      <c r="K570" s="108"/>
      <c r="L570" s="131"/>
      <c r="M570" s="132">
        <v>4364658</v>
      </c>
      <c r="N570" s="132"/>
      <c r="O570" s="111"/>
      <c r="P570" s="100" t="str">
        <f t="shared" si="54"/>
        <v>BNI IDR 768</v>
      </c>
      <c r="Q570" s="91"/>
      <c r="S570" s="112"/>
      <c r="T570" s="112"/>
      <c r="U570" s="113"/>
      <c r="V570" s="113"/>
      <c r="X570" s="102"/>
    </row>
    <row r="571" spans="1:24" s="101" customFormat="1" hidden="1" x14ac:dyDescent="0.25">
      <c r="A571" s="60" t="str">
        <f t="shared" si="52"/>
        <v>81111,01</v>
      </c>
      <c r="B571" s="60">
        <f>COUNTIF($J$7:J571,J571)</f>
        <v>81</v>
      </c>
      <c r="C571" s="60" t="str">
        <f t="shared" si="53"/>
        <v>0</v>
      </c>
      <c r="D571" s="60">
        <f>COUNTIF($K$7:K571,K571)</f>
        <v>0</v>
      </c>
      <c r="E571" s="91"/>
      <c r="F571" s="92">
        <v>44573.445069444446</v>
      </c>
      <c r="G571" s="116" t="s">
        <v>149</v>
      </c>
      <c r="H571" s="93" t="s">
        <v>300</v>
      </c>
      <c r="I571" s="125" t="s">
        <v>301</v>
      </c>
      <c r="J571" s="117">
        <v>111.01</v>
      </c>
      <c r="K571" s="108"/>
      <c r="L571" s="131"/>
      <c r="M571" s="132">
        <v>617342</v>
      </c>
      <c r="N571" s="132"/>
      <c r="O571" s="111"/>
      <c r="P571" s="100" t="str">
        <f t="shared" si="54"/>
        <v>BNI IDR 768</v>
      </c>
      <c r="Q571" s="91"/>
      <c r="S571" s="112"/>
      <c r="T571" s="112"/>
      <c r="U571" s="113"/>
      <c r="V571" s="113"/>
      <c r="X571" s="102"/>
    </row>
    <row r="572" spans="1:24" s="101" customFormat="1" hidden="1" x14ac:dyDescent="0.25">
      <c r="A572" s="60" t="str">
        <f t="shared" si="52"/>
        <v>82111,01</v>
      </c>
      <c r="B572" s="60">
        <f>COUNTIF($J$7:J572,J572)</f>
        <v>82</v>
      </c>
      <c r="C572" s="60" t="str">
        <f t="shared" si="53"/>
        <v>0</v>
      </c>
      <c r="D572" s="60">
        <f>COUNTIF($K$7:K572,K572)</f>
        <v>0</v>
      </c>
      <c r="E572" s="91"/>
      <c r="F572" s="92">
        <v>44573.476157407407</v>
      </c>
      <c r="G572" s="116" t="s">
        <v>149</v>
      </c>
      <c r="H572" s="93" t="s">
        <v>302</v>
      </c>
      <c r="I572" s="161" t="s">
        <v>303</v>
      </c>
      <c r="J572" s="117">
        <v>111.01</v>
      </c>
      <c r="K572" s="108"/>
      <c r="L572" s="131"/>
      <c r="M572" s="117">
        <v>1100000</v>
      </c>
      <c r="N572" s="117"/>
      <c r="O572" s="111"/>
      <c r="P572" s="100" t="str">
        <f t="shared" si="54"/>
        <v>BNI IDR 768</v>
      </c>
      <c r="Q572" s="91"/>
      <c r="S572" s="112"/>
      <c r="T572" s="112"/>
      <c r="U572" s="113"/>
      <c r="V572" s="113"/>
      <c r="X572" s="102"/>
    </row>
    <row r="573" spans="1:24" s="101" customFormat="1" hidden="1" x14ac:dyDescent="0.25">
      <c r="A573" s="60" t="str">
        <f t="shared" si="52"/>
        <v>83111,01</v>
      </c>
      <c r="B573" s="60">
        <f>COUNTIF($J$7:J573,J573)</f>
        <v>83</v>
      </c>
      <c r="C573" s="60" t="str">
        <f t="shared" si="53"/>
        <v>0</v>
      </c>
      <c r="D573" s="60">
        <f>COUNTIF($K$7:K573,K573)</f>
        <v>0</v>
      </c>
      <c r="E573" s="91"/>
      <c r="F573" s="92">
        <v>44573.476157407407</v>
      </c>
      <c r="G573" s="116" t="s">
        <v>149</v>
      </c>
      <c r="H573" s="93" t="s">
        <v>304</v>
      </c>
      <c r="I573" s="161" t="s">
        <v>305</v>
      </c>
      <c r="J573" s="117">
        <v>111.01</v>
      </c>
      <c r="K573" s="108"/>
      <c r="L573" s="131"/>
      <c r="M573" s="117">
        <v>126135</v>
      </c>
      <c r="N573" s="117"/>
      <c r="O573" s="111"/>
      <c r="P573" s="100" t="str">
        <f t="shared" si="54"/>
        <v>BNI IDR 768</v>
      </c>
      <c r="Q573" s="91"/>
      <c r="S573" s="112"/>
      <c r="T573" s="112"/>
      <c r="U573" s="113"/>
      <c r="V573" s="113"/>
      <c r="X573" s="102"/>
    </row>
    <row r="574" spans="1:24" s="101" customFormat="1" hidden="1" x14ac:dyDescent="0.25">
      <c r="A574" s="60" t="str">
        <f t="shared" si="52"/>
        <v>84111,01</v>
      </c>
      <c r="B574" s="60">
        <f>COUNTIF($J$7:J574,J574)</f>
        <v>84</v>
      </c>
      <c r="C574" s="60" t="str">
        <f t="shared" si="53"/>
        <v>0</v>
      </c>
      <c r="D574" s="60">
        <f>COUNTIF($K$7:K574,K574)</f>
        <v>0</v>
      </c>
      <c r="E574" s="91"/>
      <c r="F574" s="92">
        <v>44573.476157407407</v>
      </c>
      <c r="G574" s="116" t="s">
        <v>149</v>
      </c>
      <c r="H574" s="93" t="s">
        <v>306</v>
      </c>
      <c r="I574" s="161" t="s">
        <v>317</v>
      </c>
      <c r="J574" s="117">
        <v>111.01</v>
      </c>
      <c r="K574" s="108"/>
      <c r="L574" s="131"/>
      <c r="M574" s="117">
        <v>171432</v>
      </c>
      <c r="N574" s="117"/>
      <c r="O574" s="111"/>
      <c r="P574" s="100" t="str">
        <f t="shared" si="54"/>
        <v>BNI IDR 768</v>
      </c>
      <c r="Q574" s="91"/>
      <c r="S574" s="112"/>
      <c r="T574" s="112"/>
      <c r="U574" s="113"/>
      <c r="V574" s="113"/>
      <c r="X574" s="102"/>
    </row>
    <row r="575" spans="1:24" s="101" customFormat="1" hidden="1" x14ac:dyDescent="0.25">
      <c r="A575" s="60" t="str">
        <f t="shared" si="52"/>
        <v>85111,01</v>
      </c>
      <c r="B575" s="60">
        <f>COUNTIF($J$7:J575,J575)</f>
        <v>85</v>
      </c>
      <c r="C575" s="60" t="str">
        <f t="shared" si="53"/>
        <v>0</v>
      </c>
      <c r="D575" s="60">
        <f>COUNTIF($K$7:K575,K575)</f>
        <v>0</v>
      </c>
      <c r="E575" s="91"/>
      <c r="F575" s="92">
        <v>44573</v>
      </c>
      <c r="G575" s="116" t="s">
        <v>149</v>
      </c>
      <c r="H575" s="93" t="s">
        <v>306</v>
      </c>
      <c r="I575" s="161" t="s">
        <v>282</v>
      </c>
      <c r="J575" s="117">
        <v>111.01</v>
      </c>
      <c r="K575" s="108"/>
      <c r="L575" s="131"/>
      <c r="M575" s="117">
        <v>6500</v>
      </c>
      <c r="N575" s="117"/>
      <c r="O575" s="111"/>
      <c r="P575" s="100" t="str">
        <f t="shared" si="54"/>
        <v>BNI IDR 768</v>
      </c>
      <c r="Q575" s="91"/>
      <c r="S575" s="112"/>
      <c r="T575" s="112"/>
      <c r="U575" s="113"/>
      <c r="V575" s="113"/>
      <c r="X575" s="102"/>
    </row>
    <row r="576" spans="1:24" s="101" customFormat="1" hidden="1" x14ac:dyDescent="0.25">
      <c r="A576" s="60" t="str">
        <f t="shared" si="52"/>
        <v>86111,01</v>
      </c>
      <c r="B576" s="60">
        <f>COUNTIF($J$7:J576,J576)</f>
        <v>86</v>
      </c>
      <c r="C576" s="60" t="str">
        <f t="shared" si="53"/>
        <v>0</v>
      </c>
      <c r="D576" s="60">
        <f>COUNTIF($K$7:K576,K576)</f>
        <v>0</v>
      </c>
      <c r="E576" s="91"/>
      <c r="F576" s="92">
        <v>44573.476168981484</v>
      </c>
      <c r="G576" s="116" t="s">
        <v>149</v>
      </c>
      <c r="H576" s="93" t="s">
        <v>308</v>
      </c>
      <c r="I576" s="161" t="s">
        <v>309</v>
      </c>
      <c r="J576" s="117">
        <v>111.01</v>
      </c>
      <c r="K576" s="108"/>
      <c r="L576" s="131"/>
      <c r="M576" s="117">
        <v>4000000</v>
      </c>
      <c r="N576" s="117"/>
      <c r="O576" s="111"/>
      <c r="P576" s="100" t="str">
        <f t="shared" si="54"/>
        <v>BNI IDR 768</v>
      </c>
      <c r="Q576" s="91"/>
      <c r="S576" s="112"/>
      <c r="T576" s="112"/>
      <c r="U576" s="113"/>
      <c r="V576" s="113"/>
      <c r="X576" s="102"/>
    </row>
    <row r="577" spans="1:24" s="101" customFormat="1" hidden="1" x14ac:dyDescent="0.25">
      <c r="A577" s="60" t="str">
        <f t="shared" si="52"/>
        <v>87111,01</v>
      </c>
      <c r="B577" s="60">
        <f>COUNTIF($J$7:J577,J577)</f>
        <v>87</v>
      </c>
      <c r="C577" s="60" t="str">
        <f t="shared" si="53"/>
        <v>0</v>
      </c>
      <c r="D577" s="60">
        <f>COUNTIF($K$7:K577,K577)</f>
        <v>0</v>
      </c>
      <c r="E577" s="91"/>
      <c r="F577" s="92">
        <v>44573.476168981484</v>
      </c>
      <c r="G577" s="116" t="s">
        <v>149</v>
      </c>
      <c r="H577" s="93" t="s">
        <v>310</v>
      </c>
      <c r="I577" s="161" t="s">
        <v>311</v>
      </c>
      <c r="J577" s="117">
        <v>111.01</v>
      </c>
      <c r="K577" s="108"/>
      <c r="L577" s="131"/>
      <c r="M577" s="117">
        <v>61165</v>
      </c>
      <c r="N577" s="117"/>
      <c r="O577" s="111"/>
      <c r="P577" s="100" t="str">
        <f t="shared" si="54"/>
        <v>BNI IDR 768</v>
      </c>
      <c r="Q577" s="91"/>
      <c r="S577" s="112"/>
      <c r="T577" s="112"/>
      <c r="U577" s="113"/>
      <c r="V577" s="113"/>
      <c r="X577" s="102"/>
    </row>
    <row r="578" spans="1:24" s="101" customFormat="1" hidden="1" x14ac:dyDescent="0.25">
      <c r="A578" s="60" t="str">
        <f t="shared" si="52"/>
        <v>88111,01</v>
      </c>
      <c r="B578" s="60">
        <f>COUNTIF($J$7:J578,J578)</f>
        <v>88</v>
      </c>
      <c r="C578" s="60" t="str">
        <f t="shared" si="53"/>
        <v>0</v>
      </c>
      <c r="D578" s="60">
        <f>COUNTIF($K$7:K578,K578)</f>
        <v>0</v>
      </c>
      <c r="E578" s="91"/>
      <c r="F578" s="92">
        <v>44573.583703703705</v>
      </c>
      <c r="G578" s="116" t="s">
        <v>149</v>
      </c>
      <c r="H578" s="93" t="s">
        <v>318</v>
      </c>
      <c r="I578" s="161" t="s">
        <v>319</v>
      </c>
      <c r="J578" s="117">
        <v>111.01</v>
      </c>
      <c r="K578" s="108"/>
      <c r="L578" s="131">
        <v>88308000</v>
      </c>
      <c r="M578" s="117"/>
      <c r="N578" s="117"/>
      <c r="O578" s="111"/>
      <c r="P578" s="100" t="str">
        <f t="shared" si="54"/>
        <v>BNI IDR 768</v>
      </c>
      <c r="Q578" s="91"/>
      <c r="S578" s="112"/>
      <c r="T578" s="112"/>
      <c r="U578" s="113"/>
      <c r="V578" s="113"/>
      <c r="X578" s="102"/>
    </row>
    <row r="579" spans="1:24" s="101" customFormat="1" hidden="1" x14ac:dyDescent="0.25">
      <c r="A579" s="60" t="str">
        <f t="shared" si="52"/>
        <v>9119</v>
      </c>
      <c r="B579" s="60">
        <f>COUNTIF($J$7:J579,J579)</f>
        <v>9</v>
      </c>
      <c r="C579" s="60" t="str">
        <f t="shared" si="53"/>
        <v>3119,02</v>
      </c>
      <c r="D579" s="60">
        <f>COUNTIF($K$7:K579,K579)</f>
        <v>3</v>
      </c>
      <c r="E579" s="91"/>
      <c r="F579" s="92">
        <v>44573.583703703705</v>
      </c>
      <c r="G579" s="116" t="s">
        <v>149</v>
      </c>
      <c r="H579" s="93" t="s">
        <v>320</v>
      </c>
      <c r="I579" s="161" t="s">
        <v>321</v>
      </c>
      <c r="J579" s="129">
        <v>119</v>
      </c>
      <c r="K579" s="108">
        <v>119.02</v>
      </c>
      <c r="L579" s="131">
        <v>2000000</v>
      </c>
      <c r="M579" s="117"/>
      <c r="N579" s="117"/>
      <c r="O579" s="111"/>
      <c r="P579" s="100" t="str">
        <f t="shared" si="54"/>
        <v>Uang Muka Biaya Pengiriman dan Perjalanan Dinas Marketing</v>
      </c>
      <c r="Q579" s="91"/>
      <c r="S579" s="112"/>
      <c r="T579" s="112"/>
      <c r="U579" s="113"/>
      <c r="V579" s="113"/>
      <c r="X579" s="102"/>
    </row>
    <row r="580" spans="1:24" s="101" customFormat="1" ht="16.149999999999999" hidden="1" customHeight="1" x14ac:dyDescent="0.25">
      <c r="A580" s="60" t="str">
        <f t="shared" si="52"/>
        <v>120112</v>
      </c>
      <c r="B580" s="60">
        <f>COUNTIF($J$7:J580,J580)</f>
        <v>120</v>
      </c>
      <c r="C580" s="60" t="str">
        <f t="shared" si="53"/>
        <v>1112,03</v>
      </c>
      <c r="D580" s="60">
        <f>COUNTIF($K$7:K580,K580)</f>
        <v>1</v>
      </c>
      <c r="E580" s="91"/>
      <c r="F580" s="92">
        <v>44573.583703703705</v>
      </c>
      <c r="G580" s="141" t="s">
        <v>149</v>
      </c>
      <c r="H580" s="93" t="s">
        <v>318</v>
      </c>
      <c r="I580" s="161" t="s">
        <v>319</v>
      </c>
      <c r="J580" s="115">
        <v>112</v>
      </c>
      <c r="K580" s="108">
        <v>112.03</v>
      </c>
      <c r="L580" s="131"/>
      <c r="M580" s="132">
        <v>88308000</v>
      </c>
      <c r="N580" s="132"/>
      <c r="O580" s="111"/>
      <c r="P580" s="100" t="str">
        <f t="shared" si="54"/>
        <v>Piutang Usaha</v>
      </c>
      <c r="Q580" s="91"/>
      <c r="S580" s="112"/>
      <c r="T580" s="112"/>
      <c r="U580" s="113"/>
      <c r="V580" s="113"/>
      <c r="X580" s="102"/>
    </row>
    <row r="581" spans="1:24" s="101" customFormat="1" hidden="1" x14ac:dyDescent="0.25">
      <c r="A581" s="60" t="str">
        <f t="shared" si="52"/>
        <v>89111,01</v>
      </c>
      <c r="B581" s="60">
        <f>COUNTIF($J$7:J581,J581)</f>
        <v>89</v>
      </c>
      <c r="C581" s="60" t="str">
        <f t="shared" si="53"/>
        <v>0</v>
      </c>
      <c r="D581" s="60">
        <f>COUNTIF($K$7:K581,K581)</f>
        <v>0</v>
      </c>
      <c r="E581" s="91"/>
      <c r="F581" s="92">
        <v>44574.425671296296</v>
      </c>
      <c r="G581" s="116" t="s">
        <v>149</v>
      </c>
      <c r="H581" s="93" t="s">
        <v>320</v>
      </c>
      <c r="I581" s="161" t="s">
        <v>321</v>
      </c>
      <c r="J581" s="117">
        <v>111.01</v>
      </c>
      <c r="K581" s="108"/>
      <c r="L581" s="131"/>
      <c r="M581" s="117">
        <v>2000000</v>
      </c>
      <c r="N581" s="117"/>
      <c r="O581" s="111"/>
      <c r="P581" s="100" t="str">
        <f t="shared" si="54"/>
        <v>BNI IDR 768</v>
      </c>
      <c r="Q581" s="91"/>
      <c r="S581" s="112"/>
      <c r="T581" s="112"/>
      <c r="U581" s="113"/>
      <c r="V581" s="113"/>
      <c r="X581" s="102"/>
    </row>
    <row r="582" spans="1:24" s="101" customFormat="1" hidden="1" x14ac:dyDescent="0.25">
      <c r="A582" s="60" t="str">
        <f t="shared" si="52"/>
        <v>90111,01</v>
      </c>
      <c r="B582" s="60">
        <f>COUNTIF($J$7:J582,J582)</f>
        <v>90</v>
      </c>
      <c r="C582" s="60" t="str">
        <f t="shared" si="53"/>
        <v>0</v>
      </c>
      <c r="D582" s="60">
        <f>COUNTIF($K$7:K582,K582)</f>
        <v>0</v>
      </c>
      <c r="E582" s="91"/>
      <c r="F582" s="92">
        <v>44574.457361111112</v>
      </c>
      <c r="G582" s="116" t="s">
        <v>149</v>
      </c>
      <c r="H582" s="93" t="s">
        <v>322</v>
      </c>
      <c r="I582" s="161" t="s">
        <v>323</v>
      </c>
      <c r="J582" s="117">
        <v>111.01</v>
      </c>
      <c r="K582" s="108"/>
      <c r="L582" s="131">
        <v>24676137</v>
      </c>
      <c r="M582" s="117"/>
      <c r="N582" s="117"/>
      <c r="O582" s="111"/>
      <c r="P582" s="100" t="str">
        <f t="shared" si="54"/>
        <v>BNI IDR 768</v>
      </c>
      <c r="Q582" s="91"/>
      <c r="S582" s="112"/>
      <c r="T582" s="112"/>
      <c r="U582" s="113"/>
      <c r="V582" s="113"/>
      <c r="X582" s="102"/>
    </row>
    <row r="583" spans="1:24" s="101" customFormat="1" hidden="1" x14ac:dyDescent="0.25">
      <c r="A583" s="60" t="str">
        <f t="shared" ref="A583:A646" si="55">B583&amp;J583</f>
        <v>91111,01</v>
      </c>
      <c r="B583" s="60">
        <f>COUNTIF($J$7:J583,J583)</f>
        <v>91</v>
      </c>
      <c r="C583" s="60" t="str">
        <f t="shared" ref="C583:C646" si="56">D583&amp;K583</f>
        <v>0</v>
      </c>
      <c r="D583" s="60">
        <f>COUNTIF($K$7:K583,K583)</f>
        <v>0</v>
      </c>
      <c r="E583" s="91"/>
      <c r="F583" s="92">
        <v>44574.477546296293</v>
      </c>
      <c r="G583" s="116" t="s">
        <v>149</v>
      </c>
      <c r="H583" s="93" t="s">
        <v>324</v>
      </c>
      <c r="I583" s="161" t="s">
        <v>325</v>
      </c>
      <c r="J583" s="117">
        <v>111.01</v>
      </c>
      <c r="K583" s="108"/>
      <c r="L583" s="131">
        <v>43557100</v>
      </c>
      <c r="M583" s="117"/>
      <c r="N583" s="117"/>
      <c r="O583" s="111"/>
      <c r="P583" s="100" t="str">
        <f t="shared" ref="P583:P646" si="57">IF(J583=0,"-",+VLOOKUP(J583,DAF_AKUN,2,FALSE))</f>
        <v>BNI IDR 768</v>
      </c>
      <c r="Q583" s="91"/>
      <c r="S583" s="112"/>
      <c r="T583" s="112"/>
      <c r="U583" s="113"/>
      <c r="V583" s="113"/>
      <c r="X583" s="102"/>
    </row>
    <row r="584" spans="1:24" s="101" customFormat="1" hidden="1" x14ac:dyDescent="0.25">
      <c r="A584" s="60" t="str">
        <f t="shared" si="55"/>
        <v>92111,01</v>
      </c>
      <c r="B584" s="60">
        <f>COUNTIF($J$7:J584,J584)</f>
        <v>92</v>
      </c>
      <c r="C584" s="60" t="str">
        <f t="shared" si="56"/>
        <v>0</v>
      </c>
      <c r="D584" s="60">
        <f>COUNTIF($K$7:K584,K584)</f>
        <v>0</v>
      </c>
      <c r="E584" s="91"/>
      <c r="F584" s="92">
        <v>44574.511874999997</v>
      </c>
      <c r="G584" s="116" t="s">
        <v>149</v>
      </c>
      <c r="H584" s="93" t="s">
        <v>326</v>
      </c>
      <c r="I584" s="161" t="s">
        <v>327</v>
      </c>
      <c r="J584" s="117">
        <v>111.01</v>
      </c>
      <c r="K584" s="108"/>
      <c r="L584" s="131">
        <v>596700</v>
      </c>
      <c r="M584" s="117"/>
      <c r="N584" s="117"/>
      <c r="O584" s="111"/>
      <c r="P584" s="100" t="str">
        <f t="shared" si="57"/>
        <v>BNI IDR 768</v>
      </c>
      <c r="Q584" s="91"/>
      <c r="S584" s="112"/>
      <c r="T584" s="112"/>
      <c r="U584" s="113"/>
      <c r="V584" s="113"/>
      <c r="X584" s="102"/>
    </row>
    <row r="585" spans="1:24" s="101" customFormat="1" hidden="1" x14ac:dyDescent="0.25">
      <c r="A585" s="60" t="str">
        <f t="shared" si="55"/>
        <v>93111,01</v>
      </c>
      <c r="B585" s="60">
        <f>COUNTIF($J$7:J585,J585)</f>
        <v>93</v>
      </c>
      <c r="C585" s="60" t="str">
        <f t="shared" si="56"/>
        <v>0</v>
      </c>
      <c r="D585" s="60">
        <f>COUNTIF($K$7:K585,K585)</f>
        <v>0</v>
      </c>
      <c r="E585" s="91"/>
      <c r="F585" s="92">
        <v>44574.516562500001</v>
      </c>
      <c r="G585" s="116" t="s">
        <v>149</v>
      </c>
      <c r="H585" s="93" t="s">
        <v>328</v>
      </c>
      <c r="I585" s="161" t="s">
        <v>329</v>
      </c>
      <c r="J585" s="117">
        <v>111.01</v>
      </c>
      <c r="K585" s="108"/>
      <c r="L585" s="131">
        <v>10953500</v>
      </c>
      <c r="M585" s="117"/>
      <c r="N585" s="117"/>
      <c r="O585" s="111"/>
      <c r="P585" s="100" t="str">
        <f t="shared" si="57"/>
        <v>BNI IDR 768</v>
      </c>
      <c r="Q585" s="91"/>
      <c r="S585" s="112"/>
      <c r="T585" s="112"/>
      <c r="U585" s="113"/>
      <c r="V585" s="113"/>
      <c r="X585" s="102"/>
    </row>
    <row r="586" spans="1:24" s="101" customFormat="1" hidden="1" x14ac:dyDescent="0.25">
      <c r="A586" s="60" t="str">
        <f t="shared" si="55"/>
        <v>94111,01</v>
      </c>
      <c r="B586" s="60">
        <f>COUNTIF($J$7:J586,J586)</f>
        <v>94</v>
      </c>
      <c r="C586" s="60" t="str">
        <f t="shared" si="56"/>
        <v>0</v>
      </c>
      <c r="D586" s="60">
        <f>COUNTIF($K$7:K586,K586)</f>
        <v>0</v>
      </c>
      <c r="E586" s="91"/>
      <c r="F586" s="92">
        <v>44574.561527777776</v>
      </c>
      <c r="G586" s="116" t="s">
        <v>149</v>
      </c>
      <c r="H586" s="93" t="s">
        <v>330</v>
      </c>
      <c r="I586" s="161" t="s">
        <v>331</v>
      </c>
      <c r="J586" s="117">
        <v>111.01</v>
      </c>
      <c r="K586" s="108"/>
      <c r="L586" s="131">
        <v>20983025</v>
      </c>
      <c r="M586" s="117"/>
      <c r="N586" s="117"/>
      <c r="O586" s="111"/>
      <c r="P586" s="100" t="str">
        <f t="shared" si="57"/>
        <v>BNI IDR 768</v>
      </c>
      <c r="Q586" s="91"/>
      <c r="S586" s="112"/>
      <c r="T586" s="112"/>
      <c r="U586" s="113"/>
      <c r="V586" s="113"/>
      <c r="X586" s="102"/>
    </row>
    <row r="587" spans="1:24" s="101" customFormat="1" hidden="1" x14ac:dyDescent="0.25">
      <c r="A587" s="60" t="str">
        <f t="shared" si="55"/>
        <v>121112</v>
      </c>
      <c r="B587" s="60">
        <f>COUNTIF($J$7:J587,J587)</f>
        <v>121</v>
      </c>
      <c r="C587" s="60" t="str">
        <f t="shared" si="56"/>
        <v>32112,4</v>
      </c>
      <c r="D587" s="60">
        <f>COUNTIF($K$7:K587,K587)</f>
        <v>32</v>
      </c>
      <c r="E587" s="91"/>
      <c r="F587" s="92">
        <v>44574.457361111112</v>
      </c>
      <c r="G587" s="141" t="s">
        <v>149</v>
      </c>
      <c r="H587" s="93" t="s">
        <v>322</v>
      </c>
      <c r="I587" s="161" t="s">
        <v>323</v>
      </c>
      <c r="J587" s="115">
        <v>112</v>
      </c>
      <c r="K587" s="108">
        <v>112.4</v>
      </c>
      <c r="L587" s="131"/>
      <c r="M587" s="132">
        <v>24676137</v>
      </c>
      <c r="N587" s="132"/>
      <c r="O587" s="111"/>
      <c r="P587" s="100" t="str">
        <f t="shared" si="57"/>
        <v>Piutang Usaha</v>
      </c>
      <c r="Q587" s="91"/>
      <c r="S587" s="112"/>
      <c r="T587" s="112"/>
      <c r="U587" s="113"/>
      <c r="V587" s="113"/>
      <c r="X587" s="102"/>
    </row>
    <row r="588" spans="1:24" s="101" customFormat="1" hidden="1" x14ac:dyDescent="0.25">
      <c r="A588" s="60" t="str">
        <f t="shared" si="55"/>
        <v>122112</v>
      </c>
      <c r="B588" s="60">
        <f>COUNTIF($J$7:J588,J588)</f>
        <v>122</v>
      </c>
      <c r="C588" s="60" t="str">
        <f t="shared" si="56"/>
        <v>2112,23</v>
      </c>
      <c r="D588" s="60">
        <f>COUNTIF($K$7:K588,K588)</f>
        <v>2</v>
      </c>
      <c r="E588" s="91"/>
      <c r="F588" s="92">
        <v>44574.477546296293</v>
      </c>
      <c r="G588" s="141" t="s">
        <v>149</v>
      </c>
      <c r="H588" s="93" t="s">
        <v>324</v>
      </c>
      <c r="I588" s="161" t="s">
        <v>325</v>
      </c>
      <c r="J588" s="115">
        <v>112</v>
      </c>
      <c r="K588" s="108">
        <v>112.23</v>
      </c>
      <c r="L588" s="131"/>
      <c r="M588" s="132">
        <v>43557100</v>
      </c>
      <c r="N588" s="132"/>
      <c r="O588" s="111"/>
      <c r="P588" s="100" t="str">
        <f t="shared" si="57"/>
        <v>Piutang Usaha</v>
      </c>
      <c r="Q588" s="91"/>
      <c r="S588" s="112"/>
      <c r="T588" s="112"/>
      <c r="U588" s="113"/>
      <c r="V588" s="113"/>
      <c r="X588" s="102"/>
    </row>
    <row r="589" spans="1:24" s="101" customFormat="1" hidden="1" x14ac:dyDescent="0.25">
      <c r="A589" s="60" t="str">
        <f t="shared" si="55"/>
        <v>10119</v>
      </c>
      <c r="B589" s="60">
        <f>COUNTIF($J$7:J589,J589)</f>
        <v>10</v>
      </c>
      <c r="C589" s="60" t="str">
        <f t="shared" si="56"/>
        <v>2119,04</v>
      </c>
      <c r="D589" s="60">
        <f>COUNTIF($K$7:K589,K589)</f>
        <v>2</v>
      </c>
      <c r="E589" s="91"/>
      <c r="F589" s="92">
        <v>44574.511874999997</v>
      </c>
      <c r="G589" s="116" t="s">
        <v>149</v>
      </c>
      <c r="H589" s="93" t="s">
        <v>326</v>
      </c>
      <c r="I589" s="161" t="s">
        <v>327</v>
      </c>
      <c r="J589" s="129">
        <v>119</v>
      </c>
      <c r="K589" s="120">
        <v>119.04</v>
      </c>
      <c r="L589" s="131"/>
      <c r="M589" s="132">
        <v>596700</v>
      </c>
      <c r="N589" s="132"/>
      <c r="O589" s="111"/>
      <c r="P589" s="100" t="str">
        <f t="shared" si="57"/>
        <v>Uang Muka Biaya Pengiriman dan Perjalanan Dinas Marketing</v>
      </c>
      <c r="Q589" s="91"/>
      <c r="S589" s="112"/>
      <c r="T589" s="112"/>
      <c r="U589" s="113"/>
      <c r="V589" s="113"/>
      <c r="X589" s="102"/>
    </row>
    <row r="590" spans="1:24" s="101" customFormat="1" hidden="1" x14ac:dyDescent="0.25">
      <c r="A590" s="60" t="str">
        <f t="shared" si="55"/>
        <v>123112</v>
      </c>
      <c r="B590" s="60">
        <f>COUNTIF($J$7:J590,J590)</f>
        <v>123</v>
      </c>
      <c r="C590" s="60" t="str">
        <f t="shared" si="56"/>
        <v>33112,4</v>
      </c>
      <c r="D590" s="60">
        <f>COUNTIF($K$7:K590,K590)</f>
        <v>33</v>
      </c>
      <c r="E590" s="91"/>
      <c r="F590" s="92">
        <v>44574.516562500001</v>
      </c>
      <c r="G590" s="141" t="s">
        <v>149</v>
      </c>
      <c r="H590" s="93" t="s">
        <v>328</v>
      </c>
      <c r="I590" s="161" t="s">
        <v>329</v>
      </c>
      <c r="J590" s="115">
        <v>112</v>
      </c>
      <c r="K590" s="108">
        <v>112.4</v>
      </c>
      <c r="L590" s="131"/>
      <c r="M590" s="132">
        <v>10953500</v>
      </c>
      <c r="N590" s="132"/>
      <c r="O590" s="111"/>
      <c r="P590" s="100" t="str">
        <f t="shared" si="57"/>
        <v>Piutang Usaha</v>
      </c>
      <c r="Q590" s="91"/>
      <c r="S590" s="112"/>
      <c r="T590" s="112"/>
      <c r="U590" s="113"/>
      <c r="V590" s="113"/>
      <c r="X590" s="102"/>
    </row>
    <row r="591" spans="1:24" s="101" customFormat="1" hidden="1" x14ac:dyDescent="0.25">
      <c r="A591" s="60" t="str">
        <f t="shared" si="55"/>
        <v>124112</v>
      </c>
      <c r="B591" s="60">
        <f>COUNTIF($J$7:J591,J591)</f>
        <v>124</v>
      </c>
      <c r="C591" s="60" t="str">
        <f t="shared" si="56"/>
        <v>9112,45</v>
      </c>
      <c r="D591" s="60">
        <f>COUNTIF($K$7:K591,K591)</f>
        <v>9</v>
      </c>
      <c r="E591" s="91"/>
      <c r="F591" s="92">
        <v>44574.561527777776</v>
      </c>
      <c r="G591" s="141" t="s">
        <v>149</v>
      </c>
      <c r="H591" s="93" t="s">
        <v>330</v>
      </c>
      <c r="I591" s="161" t="s">
        <v>331</v>
      </c>
      <c r="J591" s="115">
        <v>112</v>
      </c>
      <c r="K591" s="108">
        <v>112.45</v>
      </c>
      <c r="L591" s="131"/>
      <c r="M591" s="132">
        <v>20983025</v>
      </c>
      <c r="N591" s="132"/>
      <c r="O591" s="111"/>
      <c r="P591" s="100" t="str">
        <f t="shared" si="57"/>
        <v>Piutang Usaha</v>
      </c>
      <c r="Q591" s="91"/>
      <c r="S591" s="112"/>
      <c r="T591" s="112"/>
      <c r="U591" s="113"/>
      <c r="V591" s="113"/>
      <c r="X591" s="102"/>
    </row>
    <row r="592" spans="1:24" s="101" customFormat="1" hidden="1" x14ac:dyDescent="0.25">
      <c r="A592" s="60" t="str">
        <f t="shared" si="55"/>
        <v>6610,09</v>
      </c>
      <c r="B592" s="60">
        <f>COUNTIF($J$7:J592,J592)</f>
        <v>6</v>
      </c>
      <c r="C592" s="60" t="str">
        <f t="shared" si="56"/>
        <v>0</v>
      </c>
      <c r="D592" s="60">
        <f>COUNTIF($K$7:K592,K592)</f>
        <v>0</v>
      </c>
      <c r="E592" s="91"/>
      <c r="F592" s="92">
        <v>44574.605983796297</v>
      </c>
      <c r="G592" s="116" t="s">
        <v>149</v>
      </c>
      <c r="H592" s="93" t="s">
        <v>332</v>
      </c>
      <c r="I592" s="161" t="s">
        <v>333</v>
      </c>
      <c r="J592" s="123">
        <v>610.09</v>
      </c>
      <c r="K592" s="108"/>
      <c r="L592" s="97">
        <v>628706</v>
      </c>
      <c r="M592" s="132"/>
      <c r="N592" s="132"/>
      <c r="O592" s="111"/>
      <c r="P592" s="100" t="str">
        <f t="shared" si="57"/>
        <v>Biaya ATK &amp; Perlengkapan Kantor</v>
      </c>
      <c r="Q592" s="91"/>
      <c r="S592" s="112"/>
      <c r="T592" s="112"/>
      <c r="U592" s="113"/>
      <c r="V592" s="113"/>
      <c r="X592" s="102"/>
    </row>
    <row r="593" spans="1:24" s="101" customFormat="1" hidden="1" x14ac:dyDescent="0.25">
      <c r="A593" s="60" t="str">
        <f t="shared" si="55"/>
        <v>23220,03</v>
      </c>
      <c r="B593" s="60">
        <f>COUNTIF($J$7:J593,J593)</f>
        <v>23</v>
      </c>
      <c r="C593" s="60" t="str">
        <f t="shared" si="56"/>
        <v>0</v>
      </c>
      <c r="D593" s="60">
        <f>COUNTIF($K$7:K593,K593)</f>
        <v>0</v>
      </c>
      <c r="E593" s="91"/>
      <c r="F593" s="92">
        <v>44574.606006944443</v>
      </c>
      <c r="G593" s="116" t="s">
        <v>149</v>
      </c>
      <c r="H593" s="93" t="s">
        <v>334</v>
      </c>
      <c r="I593" s="161" t="s">
        <v>335</v>
      </c>
      <c r="J593" s="119">
        <v>220.03</v>
      </c>
      <c r="K593" s="108"/>
      <c r="L593" s="97">
        <v>1915284</v>
      </c>
      <c r="M593" s="132"/>
      <c r="N593" s="132"/>
      <c r="O593" s="111"/>
      <c r="P593" s="100" t="str">
        <f t="shared" si="57"/>
        <v>Hutang BIaya</v>
      </c>
      <c r="Q593" s="91"/>
      <c r="S593" s="112"/>
      <c r="T593" s="112"/>
      <c r="U593" s="113"/>
      <c r="V593" s="113"/>
      <c r="X593" s="102"/>
    </row>
    <row r="594" spans="1:24" s="101" customFormat="1" hidden="1" x14ac:dyDescent="0.25">
      <c r="A594" s="60" t="str">
        <f t="shared" si="55"/>
        <v>95111,01</v>
      </c>
      <c r="B594" s="60">
        <f>COUNTIF($J$7:J594,J594)</f>
        <v>95</v>
      </c>
      <c r="C594" s="60" t="str">
        <f t="shared" si="56"/>
        <v>0</v>
      </c>
      <c r="D594" s="60">
        <f>COUNTIF($K$7:K594,K594)</f>
        <v>0</v>
      </c>
      <c r="E594" s="91"/>
      <c r="F594" s="92">
        <v>44574.605983796297</v>
      </c>
      <c r="G594" s="116" t="s">
        <v>149</v>
      </c>
      <c r="H594" s="93" t="s">
        <v>332</v>
      </c>
      <c r="I594" s="161" t="s">
        <v>333</v>
      </c>
      <c r="J594" s="117">
        <v>111.01</v>
      </c>
      <c r="K594" s="108"/>
      <c r="L594" s="131"/>
      <c r="M594" s="117">
        <v>628706</v>
      </c>
      <c r="N594" s="117"/>
      <c r="O594" s="111"/>
      <c r="P594" s="100" t="str">
        <f t="shared" si="57"/>
        <v>BNI IDR 768</v>
      </c>
      <c r="Q594" s="91"/>
      <c r="S594" s="112"/>
      <c r="T594" s="112"/>
      <c r="U594" s="113"/>
      <c r="V594" s="113"/>
      <c r="X594" s="102"/>
    </row>
    <row r="595" spans="1:24" s="101" customFormat="1" hidden="1" x14ac:dyDescent="0.25">
      <c r="A595" s="60" t="str">
        <f t="shared" si="55"/>
        <v>96111,01</v>
      </c>
      <c r="B595" s="60">
        <f>COUNTIF($J$7:J595,J595)</f>
        <v>96</v>
      </c>
      <c r="C595" s="60" t="str">
        <f t="shared" si="56"/>
        <v>0</v>
      </c>
      <c r="D595" s="60">
        <f>COUNTIF($K$7:K595,K595)</f>
        <v>0</v>
      </c>
      <c r="E595" s="91"/>
      <c r="F595" s="92">
        <v>44574.606006944443</v>
      </c>
      <c r="G595" s="116" t="s">
        <v>149</v>
      </c>
      <c r="H595" s="93" t="s">
        <v>334</v>
      </c>
      <c r="I595" s="161" t="s">
        <v>335</v>
      </c>
      <c r="J595" s="117">
        <v>111.01</v>
      </c>
      <c r="K595" s="108"/>
      <c r="L595" s="131"/>
      <c r="M595" s="117">
        <v>1915284</v>
      </c>
      <c r="N595" s="117"/>
      <c r="O595" s="111"/>
      <c r="P595" s="100" t="str">
        <f t="shared" si="57"/>
        <v>BNI IDR 768</v>
      </c>
      <c r="Q595" s="91"/>
      <c r="S595" s="112"/>
      <c r="T595" s="112"/>
      <c r="U595" s="113"/>
      <c r="V595" s="113"/>
      <c r="X595" s="102"/>
    </row>
    <row r="596" spans="1:24" s="101" customFormat="1" hidden="1" x14ac:dyDescent="0.25">
      <c r="A596" s="60" t="str">
        <f t="shared" si="55"/>
        <v>97111,01</v>
      </c>
      <c r="B596" s="60">
        <f>COUNTIF($J$7:J596,J596)</f>
        <v>97</v>
      </c>
      <c r="C596" s="60" t="str">
        <f t="shared" si="56"/>
        <v>0</v>
      </c>
      <c r="D596" s="60">
        <f>COUNTIF($K$7:K596,K596)</f>
        <v>0</v>
      </c>
      <c r="E596" s="91"/>
      <c r="F596" s="92">
        <v>44574.623495370368</v>
      </c>
      <c r="G596" s="72" t="s">
        <v>149</v>
      </c>
      <c r="H596" s="93" t="s">
        <v>336</v>
      </c>
      <c r="I596" s="161" t="s">
        <v>337</v>
      </c>
      <c r="J596" s="117">
        <v>111.01</v>
      </c>
      <c r="K596" s="108"/>
      <c r="L596" s="131">
        <v>10557100</v>
      </c>
      <c r="M596" s="117"/>
      <c r="N596" s="117"/>
      <c r="O596" s="111"/>
      <c r="P596" s="100" t="str">
        <f t="shared" si="57"/>
        <v>BNI IDR 768</v>
      </c>
      <c r="Q596" s="91"/>
      <c r="S596" s="112"/>
      <c r="T596" s="112"/>
      <c r="U596" s="113"/>
      <c r="V596" s="113"/>
      <c r="X596" s="102"/>
    </row>
    <row r="597" spans="1:24" s="101" customFormat="1" hidden="1" x14ac:dyDescent="0.25">
      <c r="A597" s="60" t="str">
        <f t="shared" si="55"/>
        <v>125112</v>
      </c>
      <c r="B597" s="60">
        <f>COUNTIF($J$7:J597,J597)</f>
        <v>125</v>
      </c>
      <c r="C597" s="60" t="str">
        <f t="shared" si="56"/>
        <v>3112,23</v>
      </c>
      <c r="D597" s="60">
        <f>COUNTIF($K$7:K597,K597)</f>
        <v>3</v>
      </c>
      <c r="E597" s="91"/>
      <c r="F597" s="92">
        <v>44574.623495370368</v>
      </c>
      <c r="G597" s="164" t="s">
        <v>149</v>
      </c>
      <c r="H597" s="93" t="s">
        <v>336</v>
      </c>
      <c r="I597" s="161" t="s">
        <v>337</v>
      </c>
      <c r="J597" s="115">
        <v>112</v>
      </c>
      <c r="K597" s="108">
        <v>112.23</v>
      </c>
      <c r="L597" s="97"/>
      <c r="M597" s="132">
        <v>10557100</v>
      </c>
      <c r="N597" s="132"/>
      <c r="O597" s="111"/>
      <c r="P597" s="100" t="str">
        <f t="shared" si="57"/>
        <v>Piutang Usaha</v>
      </c>
      <c r="Q597" s="91"/>
      <c r="S597" s="112"/>
      <c r="T597" s="112"/>
      <c r="U597" s="113"/>
      <c r="V597" s="113"/>
      <c r="X597" s="102"/>
    </row>
    <row r="598" spans="1:24" s="101" customFormat="1" hidden="1" x14ac:dyDescent="0.25">
      <c r="A598" s="60" t="str">
        <f t="shared" si="55"/>
        <v>98111,01</v>
      </c>
      <c r="B598" s="60">
        <f>COUNTIF($J$7:J598,J598)</f>
        <v>98</v>
      </c>
      <c r="C598" s="60" t="str">
        <f t="shared" si="56"/>
        <v>0</v>
      </c>
      <c r="D598" s="60">
        <f>COUNTIF($K$7:K598,K598)</f>
        <v>0</v>
      </c>
      <c r="E598" s="91"/>
      <c r="F598" s="137">
        <v>44575</v>
      </c>
      <c r="G598" s="116" t="s">
        <v>149</v>
      </c>
      <c r="H598" s="93" t="s">
        <v>338</v>
      </c>
      <c r="I598" s="161" t="s">
        <v>339</v>
      </c>
      <c r="J598" s="117">
        <v>111.01</v>
      </c>
      <c r="K598" s="108"/>
      <c r="L598" s="130">
        <v>110000000</v>
      </c>
      <c r="M598" s="117"/>
      <c r="N598" s="117"/>
      <c r="O598" s="111"/>
      <c r="P598" s="100" t="str">
        <f t="shared" si="57"/>
        <v>BNI IDR 768</v>
      </c>
      <c r="Q598" s="91"/>
      <c r="S598" s="112"/>
      <c r="T598" s="112"/>
      <c r="U598" s="113"/>
      <c r="V598" s="113"/>
      <c r="X598" s="102"/>
    </row>
    <row r="599" spans="1:24" s="101" customFormat="1" hidden="1" x14ac:dyDescent="0.25">
      <c r="A599" s="60" t="str">
        <f t="shared" si="55"/>
        <v>99111,01</v>
      </c>
      <c r="B599" s="60">
        <f>COUNTIF($J$7:J599,J599)</f>
        <v>99</v>
      </c>
      <c r="C599" s="60" t="str">
        <f t="shared" si="56"/>
        <v>0</v>
      </c>
      <c r="D599" s="60">
        <f>COUNTIF($K$7:K599,K599)</f>
        <v>0</v>
      </c>
      <c r="E599" s="91"/>
      <c r="F599" s="137">
        <v>44575.492442129631</v>
      </c>
      <c r="G599" s="116" t="s">
        <v>149</v>
      </c>
      <c r="H599" s="93" t="s">
        <v>340</v>
      </c>
      <c r="I599" s="161" t="s">
        <v>341</v>
      </c>
      <c r="J599" s="117">
        <v>111.01</v>
      </c>
      <c r="K599" s="108"/>
      <c r="L599" s="130">
        <v>4000000</v>
      </c>
      <c r="M599" s="117"/>
      <c r="N599" s="117"/>
      <c r="O599" s="111"/>
      <c r="P599" s="100" t="str">
        <f t="shared" si="57"/>
        <v>BNI IDR 768</v>
      </c>
      <c r="Q599" s="91"/>
      <c r="S599" s="112"/>
      <c r="T599" s="112"/>
      <c r="U599" s="113"/>
      <c r="V599" s="113"/>
      <c r="X599" s="102"/>
    </row>
    <row r="600" spans="1:24" s="101" customFormat="1" hidden="1" x14ac:dyDescent="0.25">
      <c r="A600" s="60" t="str">
        <f t="shared" si="55"/>
        <v>126112</v>
      </c>
      <c r="B600" s="60">
        <f>COUNTIF($J$7:J600,J600)</f>
        <v>126</v>
      </c>
      <c r="C600" s="60" t="str">
        <f t="shared" si="56"/>
        <v>15112,01</v>
      </c>
      <c r="D600" s="60">
        <f>COUNTIF($K$7:K600,K600)</f>
        <v>15</v>
      </c>
      <c r="E600" s="91"/>
      <c r="F600" s="137">
        <v>44575</v>
      </c>
      <c r="G600" s="141" t="s">
        <v>149</v>
      </c>
      <c r="H600" s="93" t="s">
        <v>338</v>
      </c>
      <c r="I600" s="161" t="s">
        <v>339</v>
      </c>
      <c r="J600" s="115">
        <v>112</v>
      </c>
      <c r="K600" s="108">
        <v>112.01</v>
      </c>
      <c r="L600" s="130"/>
      <c r="M600" s="165">
        <v>110000000</v>
      </c>
      <c r="N600" s="165"/>
      <c r="O600" s="111"/>
      <c r="P600" s="100" t="str">
        <f t="shared" si="57"/>
        <v>Piutang Usaha</v>
      </c>
      <c r="Q600" s="91"/>
      <c r="S600" s="112"/>
      <c r="T600" s="112"/>
      <c r="U600" s="113"/>
      <c r="V600" s="113"/>
      <c r="X600" s="102"/>
    </row>
    <row r="601" spans="1:24" s="101" customFormat="1" hidden="1" x14ac:dyDescent="0.25">
      <c r="A601" s="60" t="str">
        <f t="shared" si="55"/>
        <v>11119</v>
      </c>
      <c r="B601" s="60">
        <f>COUNTIF($J$7:J601,J601)</f>
        <v>11</v>
      </c>
      <c r="C601" s="60" t="str">
        <f t="shared" si="56"/>
        <v>3119,07</v>
      </c>
      <c r="D601" s="60">
        <f>COUNTIF($K$7:K601,K601)</f>
        <v>3</v>
      </c>
      <c r="E601" s="91"/>
      <c r="F601" s="137">
        <v>44575.492442129631</v>
      </c>
      <c r="G601" s="116" t="s">
        <v>149</v>
      </c>
      <c r="H601" s="93" t="s">
        <v>340</v>
      </c>
      <c r="I601" s="161" t="s">
        <v>341</v>
      </c>
      <c r="J601" s="129">
        <v>119</v>
      </c>
      <c r="K601" s="120">
        <v>119.07</v>
      </c>
      <c r="L601" s="130"/>
      <c r="M601" s="165">
        <v>4000000</v>
      </c>
      <c r="N601" s="165"/>
      <c r="O601" s="111"/>
      <c r="P601" s="100" t="str">
        <f t="shared" si="57"/>
        <v>Uang Muka Biaya Pengiriman dan Perjalanan Dinas Marketing</v>
      </c>
      <c r="Q601" s="91"/>
      <c r="S601" s="112"/>
      <c r="T601" s="112"/>
      <c r="U601" s="113"/>
      <c r="V601" s="113"/>
      <c r="X601" s="102"/>
    </row>
    <row r="602" spans="1:24" s="101" customFormat="1" hidden="1" x14ac:dyDescent="0.25">
      <c r="A602" s="60" t="str">
        <f t="shared" si="55"/>
        <v>1610,32</v>
      </c>
      <c r="B602" s="60">
        <f>COUNTIF($J$7:J602,J602)</f>
        <v>1</v>
      </c>
      <c r="C602" s="60" t="str">
        <f t="shared" si="56"/>
        <v>0</v>
      </c>
      <c r="D602" s="60">
        <f>COUNTIF($K$7:K602,K602)</f>
        <v>0</v>
      </c>
      <c r="E602" s="91"/>
      <c r="F602" s="137">
        <v>44575.521516203706</v>
      </c>
      <c r="G602" s="116" t="s">
        <v>149</v>
      </c>
      <c r="H602" s="93" t="s">
        <v>342</v>
      </c>
      <c r="I602" s="161" t="s">
        <v>343</v>
      </c>
      <c r="J602" s="128">
        <v>610.32000000000005</v>
      </c>
      <c r="K602" s="108"/>
      <c r="L602" s="97">
        <v>3049289</v>
      </c>
      <c r="M602" s="165"/>
      <c r="N602" s="165"/>
      <c r="O602" s="111"/>
      <c r="P602" s="100" t="str">
        <f t="shared" si="57"/>
        <v>Biaya Representasi</v>
      </c>
      <c r="Q602" s="91"/>
      <c r="S602" s="112"/>
      <c r="T602" s="112"/>
      <c r="U602" s="113"/>
      <c r="V602" s="113"/>
      <c r="X602" s="102"/>
    </row>
    <row r="603" spans="1:24" s="101" customFormat="1" hidden="1" x14ac:dyDescent="0.25">
      <c r="A603" s="60" t="str">
        <f t="shared" si="55"/>
        <v>100111,01</v>
      </c>
      <c r="B603" s="60">
        <f>COUNTIF($J$7:J603,J603)</f>
        <v>100</v>
      </c>
      <c r="C603" s="60" t="str">
        <f t="shared" si="56"/>
        <v>0</v>
      </c>
      <c r="D603" s="60">
        <f>COUNTIF($K$7:K603,K603)</f>
        <v>0</v>
      </c>
      <c r="E603" s="91"/>
      <c r="F603" s="137">
        <v>44575.521516203706</v>
      </c>
      <c r="G603" s="116" t="s">
        <v>149</v>
      </c>
      <c r="H603" s="93" t="s">
        <v>342</v>
      </c>
      <c r="I603" s="161" t="s">
        <v>343</v>
      </c>
      <c r="J603" s="117">
        <v>111.01</v>
      </c>
      <c r="K603" s="108"/>
      <c r="L603" s="130"/>
      <c r="M603" s="117">
        <v>3049289</v>
      </c>
      <c r="N603" s="117"/>
      <c r="O603" s="111"/>
      <c r="P603" s="100" t="str">
        <f t="shared" si="57"/>
        <v>BNI IDR 768</v>
      </c>
      <c r="Q603" s="91"/>
      <c r="S603" s="112"/>
      <c r="T603" s="112"/>
      <c r="U603" s="113"/>
      <c r="V603" s="113"/>
      <c r="X603" s="102"/>
    </row>
    <row r="604" spans="1:24" s="101" customFormat="1" hidden="1" x14ac:dyDescent="0.25">
      <c r="A604" s="60" t="str">
        <f t="shared" si="55"/>
        <v>101111,01</v>
      </c>
      <c r="B604" s="60">
        <f>COUNTIF($J$7:J604,J604)</f>
        <v>101</v>
      </c>
      <c r="C604" s="60" t="str">
        <f t="shared" si="56"/>
        <v>0</v>
      </c>
      <c r="D604" s="60">
        <f>COUNTIF($K$7:K604,K604)</f>
        <v>0</v>
      </c>
      <c r="E604" s="91"/>
      <c r="F604" s="137">
        <v>44575.685659722221</v>
      </c>
      <c r="G604" s="116" t="s">
        <v>149</v>
      </c>
      <c r="H604" s="93" t="s">
        <v>344</v>
      </c>
      <c r="I604" s="161" t="s">
        <v>345</v>
      </c>
      <c r="J604" s="117">
        <v>111.01</v>
      </c>
      <c r="K604" s="108"/>
      <c r="L604" s="130">
        <v>628200</v>
      </c>
      <c r="M604" s="117"/>
      <c r="N604" s="117"/>
      <c r="O604" s="111"/>
      <c r="P604" s="100" t="str">
        <f t="shared" si="57"/>
        <v>BNI IDR 768</v>
      </c>
      <c r="Q604" s="91"/>
      <c r="S604" s="112"/>
      <c r="T604" s="112"/>
      <c r="U604" s="113"/>
      <c r="V604" s="113"/>
      <c r="X604" s="102"/>
    </row>
    <row r="605" spans="1:24" s="101" customFormat="1" hidden="1" x14ac:dyDescent="0.25">
      <c r="A605" s="60" t="str">
        <f t="shared" si="55"/>
        <v>102111,01</v>
      </c>
      <c r="B605" s="60">
        <f>COUNTIF($J$7:J605,J605)</f>
        <v>102</v>
      </c>
      <c r="C605" s="60" t="str">
        <f t="shared" si="56"/>
        <v>0</v>
      </c>
      <c r="D605" s="60">
        <f>COUNTIF($K$7:K605,K605)</f>
        <v>0</v>
      </c>
      <c r="E605" s="91"/>
      <c r="F605" s="137">
        <v>44576.441064814811</v>
      </c>
      <c r="G605" s="116" t="s">
        <v>149</v>
      </c>
      <c r="H605" s="93" t="s">
        <v>346</v>
      </c>
      <c r="I605" s="161" t="s">
        <v>347</v>
      </c>
      <c r="J605" s="117">
        <v>111.01</v>
      </c>
      <c r="K605" s="108"/>
      <c r="L605" s="130">
        <v>349000</v>
      </c>
      <c r="M605" s="117"/>
      <c r="N605" s="117"/>
      <c r="O605" s="111"/>
      <c r="P605" s="100" t="str">
        <f t="shared" si="57"/>
        <v>BNI IDR 768</v>
      </c>
      <c r="Q605" s="91"/>
      <c r="S605" s="112"/>
      <c r="T605" s="112"/>
      <c r="U605" s="113"/>
      <c r="V605" s="113"/>
      <c r="X605" s="102"/>
    </row>
    <row r="606" spans="1:24" s="101" customFormat="1" hidden="1" x14ac:dyDescent="0.25">
      <c r="A606" s="60" t="str">
        <f t="shared" si="55"/>
        <v>103111,01</v>
      </c>
      <c r="B606" s="60">
        <f>COUNTIF($J$7:J606,J606)</f>
        <v>103</v>
      </c>
      <c r="C606" s="60" t="str">
        <f t="shared" si="56"/>
        <v>0</v>
      </c>
      <c r="D606" s="60">
        <f>COUNTIF($K$7:K606,K606)</f>
        <v>0</v>
      </c>
      <c r="E606" s="91"/>
      <c r="F606" s="137">
        <v>44576.504108796296</v>
      </c>
      <c r="G606" s="116" t="s">
        <v>149</v>
      </c>
      <c r="H606" s="93" t="s">
        <v>348</v>
      </c>
      <c r="I606" s="161" t="s">
        <v>349</v>
      </c>
      <c r="J606" s="117">
        <v>111.01</v>
      </c>
      <c r="K606" s="108"/>
      <c r="L606" s="130">
        <v>11873500</v>
      </c>
      <c r="M606" s="117"/>
      <c r="N606" s="117"/>
      <c r="O606" s="111"/>
      <c r="P606" s="100" t="str">
        <f t="shared" si="57"/>
        <v>BNI IDR 768</v>
      </c>
      <c r="Q606" s="91"/>
      <c r="S606" s="112"/>
      <c r="T606" s="112"/>
      <c r="U606" s="113"/>
      <c r="V606" s="113"/>
      <c r="X606" s="102"/>
    </row>
    <row r="607" spans="1:24" s="101" customFormat="1" hidden="1" x14ac:dyDescent="0.25">
      <c r="A607" s="60" t="str">
        <f t="shared" si="55"/>
        <v>104111,01</v>
      </c>
      <c r="B607" s="60">
        <f>COUNTIF($J$7:J607,J607)</f>
        <v>104</v>
      </c>
      <c r="C607" s="60" t="str">
        <f t="shared" si="56"/>
        <v>0</v>
      </c>
      <c r="D607" s="60">
        <f>COUNTIF($K$7:K607,K607)</f>
        <v>0</v>
      </c>
      <c r="E607" s="91"/>
      <c r="F607" s="137">
        <v>44578.339212962965</v>
      </c>
      <c r="G607" s="116" t="s">
        <v>149</v>
      </c>
      <c r="H607" s="93" t="s">
        <v>350</v>
      </c>
      <c r="I607" s="161" t="s">
        <v>351</v>
      </c>
      <c r="J607" s="117">
        <v>111.01</v>
      </c>
      <c r="K607" s="108"/>
      <c r="L607" s="130">
        <v>14437500</v>
      </c>
      <c r="M607" s="117"/>
      <c r="N607" s="117"/>
      <c r="O607" s="111"/>
      <c r="P607" s="100" t="str">
        <f t="shared" si="57"/>
        <v>BNI IDR 768</v>
      </c>
      <c r="Q607" s="91"/>
      <c r="S607" s="112"/>
      <c r="T607" s="112"/>
      <c r="U607" s="113"/>
      <c r="V607" s="113"/>
      <c r="X607" s="102"/>
    </row>
    <row r="608" spans="1:24" s="101" customFormat="1" hidden="1" x14ac:dyDescent="0.25">
      <c r="A608" s="60" t="str">
        <f t="shared" si="55"/>
        <v>7610,09</v>
      </c>
      <c r="B608" s="60">
        <f>COUNTIF($J$7:J608,J608)</f>
        <v>7</v>
      </c>
      <c r="C608" s="60" t="str">
        <f t="shared" si="56"/>
        <v>0</v>
      </c>
      <c r="D608" s="60">
        <f>COUNTIF($K$7:K608,K608)</f>
        <v>0</v>
      </c>
      <c r="E608" s="91"/>
      <c r="F608" s="137">
        <v>44575.685659722221</v>
      </c>
      <c r="G608" s="116" t="s">
        <v>149</v>
      </c>
      <c r="H608" s="93" t="s">
        <v>344</v>
      </c>
      <c r="I608" s="161" t="s">
        <v>352</v>
      </c>
      <c r="J608" s="123">
        <v>610.09</v>
      </c>
      <c r="K608" s="108"/>
      <c r="L608" s="130"/>
      <c r="M608" s="165">
        <v>628200</v>
      </c>
      <c r="N608" s="165"/>
      <c r="O608" s="111"/>
      <c r="P608" s="100" t="str">
        <f t="shared" si="57"/>
        <v>Biaya ATK &amp; Perlengkapan Kantor</v>
      </c>
      <c r="Q608" s="91"/>
      <c r="S608" s="112"/>
      <c r="T608" s="112"/>
      <c r="U608" s="113"/>
      <c r="V608" s="113"/>
      <c r="X608" s="102"/>
    </row>
    <row r="609" spans="1:24" s="101" customFormat="1" hidden="1" x14ac:dyDescent="0.25">
      <c r="A609" s="60" t="str">
        <f t="shared" si="55"/>
        <v>1511,04</v>
      </c>
      <c r="B609" s="60">
        <f>COUNTIF($J$7:J609,J609)</f>
        <v>1</v>
      </c>
      <c r="C609" s="60" t="str">
        <f t="shared" si="56"/>
        <v>0</v>
      </c>
      <c r="D609" s="60">
        <f>COUNTIF($K$7:K609,K609)</f>
        <v>0</v>
      </c>
      <c r="E609" s="91"/>
      <c r="F609" s="137">
        <v>44576.441064814811</v>
      </c>
      <c r="G609" s="116" t="s">
        <v>149</v>
      </c>
      <c r="H609" s="93" t="s">
        <v>346</v>
      </c>
      <c r="I609" s="161" t="s">
        <v>353</v>
      </c>
      <c r="J609" s="117">
        <v>511.04</v>
      </c>
      <c r="K609" s="108"/>
      <c r="L609" s="130"/>
      <c r="M609" s="165">
        <v>349000</v>
      </c>
      <c r="N609" s="165"/>
      <c r="O609" s="111"/>
      <c r="P609" s="100" t="str">
        <f t="shared" si="57"/>
        <v>Biaya pengiriman Via Online (Gojek,Grab), Kuli</v>
      </c>
      <c r="Q609" s="91"/>
      <c r="S609" s="112"/>
      <c r="T609" s="112"/>
      <c r="U609" s="113"/>
      <c r="V609" s="113"/>
      <c r="X609" s="102"/>
    </row>
    <row r="610" spans="1:24" s="101" customFormat="1" hidden="1" x14ac:dyDescent="0.25">
      <c r="A610" s="60" t="str">
        <f t="shared" si="55"/>
        <v>127112</v>
      </c>
      <c r="B610" s="60">
        <f>COUNTIF($J$7:J610,J610)</f>
        <v>127</v>
      </c>
      <c r="C610" s="60" t="str">
        <f t="shared" si="56"/>
        <v>1112,68</v>
      </c>
      <c r="D610" s="60">
        <f>COUNTIF($K$7:K610,K610)</f>
        <v>1</v>
      </c>
      <c r="E610" s="91"/>
      <c r="F610" s="137">
        <v>44576.504108796296</v>
      </c>
      <c r="G610" s="141" t="s">
        <v>149</v>
      </c>
      <c r="H610" s="93" t="s">
        <v>348</v>
      </c>
      <c r="I610" s="161" t="s">
        <v>354</v>
      </c>
      <c r="J610" s="115">
        <v>112</v>
      </c>
      <c r="K610" s="120">
        <v>112.68</v>
      </c>
      <c r="L610" s="130"/>
      <c r="M610" s="165">
        <v>11873500</v>
      </c>
      <c r="N610" s="165"/>
      <c r="O610" s="111"/>
      <c r="P610" s="100" t="str">
        <f t="shared" si="57"/>
        <v>Piutang Usaha</v>
      </c>
      <c r="Q610" s="91"/>
      <c r="S610" s="112"/>
      <c r="T610" s="112"/>
      <c r="U610" s="113"/>
      <c r="V610" s="113"/>
      <c r="X610" s="102"/>
    </row>
    <row r="611" spans="1:24" s="101" customFormat="1" hidden="1" x14ac:dyDescent="0.25">
      <c r="A611" s="60" t="str">
        <f t="shared" si="55"/>
        <v>128112</v>
      </c>
      <c r="B611" s="60">
        <f>COUNTIF($J$7:J611,J611)</f>
        <v>128</v>
      </c>
      <c r="C611" s="60" t="str">
        <f t="shared" si="56"/>
        <v>8112,3</v>
      </c>
      <c r="D611" s="60">
        <f>COUNTIF($K$7:K611,K611)</f>
        <v>8</v>
      </c>
      <c r="E611" s="91"/>
      <c r="F611" s="137">
        <v>44578.339212962965</v>
      </c>
      <c r="G611" s="141" t="s">
        <v>149</v>
      </c>
      <c r="H611" s="93" t="s">
        <v>350</v>
      </c>
      <c r="I611" s="161" t="s">
        <v>351</v>
      </c>
      <c r="J611" s="115">
        <v>112</v>
      </c>
      <c r="K611" s="108">
        <v>112.3</v>
      </c>
      <c r="L611" s="130"/>
      <c r="M611" s="165">
        <v>14437500</v>
      </c>
      <c r="N611" s="165"/>
      <c r="O611" s="111"/>
      <c r="P611" s="100" t="str">
        <f t="shared" si="57"/>
        <v>Piutang Usaha</v>
      </c>
      <c r="Q611" s="91"/>
      <c r="S611" s="112"/>
      <c r="T611" s="112"/>
      <c r="U611" s="113"/>
      <c r="V611" s="113"/>
      <c r="X611" s="102"/>
    </row>
    <row r="612" spans="1:24" s="101" customFormat="1" hidden="1" x14ac:dyDescent="0.25">
      <c r="A612" s="60" t="str">
        <f t="shared" si="55"/>
        <v>12119</v>
      </c>
      <c r="B612" s="60">
        <f>COUNTIF($J$7:J612,J612)</f>
        <v>12</v>
      </c>
      <c r="C612" s="60" t="str">
        <f t="shared" si="56"/>
        <v>3119,04</v>
      </c>
      <c r="D612" s="60">
        <f>COUNTIF($K$7:K612,K612)</f>
        <v>3</v>
      </c>
      <c r="E612" s="91"/>
      <c r="F612" s="137">
        <v>44578.397615740738</v>
      </c>
      <c r="G612" s="116" t="s">
        <v>149</v>
      </c>
      <c r="H612" s="93" t="s">
        <v>355</v>
      </c>
      <c r="I612" s="161" t="s">
        <v>356</v>
      </c>
      <c r="J612" s="129">
        <v>119</v>
      </c>
      <c r="K612" s="120">
        <v>119.04</v>
      </c>
      <c r="L612" s="97">
        <v>2500000</v>
      </c>
      <c r="M612" s="117"/>
      <c r="N612" s="117"/>
      <c r="O612" s="111"/>
      <c r="P612" s="100" t="str">
        <f t="shared" si="57"/>
        <v>Uang Muka Biaya Pengiriman dan Perjalanan Dinas Marketing</v>
      </c>
      <c r="Q612" s="91"/>
      <c r="S612" s="112"/>
      <c r="T612" s="112"/>
      <c r="U612" s="113"/>
      <c r="V612" s="113"/>
      <c r="X612" s="102"/>
    </row>
    <row r="613" spans="1:24" s="101" customFormat="1" hidden="1" x14ac:dyDescent="0.25">
      <c r="A613" s="60" t="str">
        <f t="shared" si="55"/>
        <v>105111,01</v>
      </c>
      <c r="B613" s="60">
        <f>COUNTIF($J$7:J613,J613)</f>
        <v>105</v>
      </c>
      <c r="C613" s="60" t="str">
        <f t="shared" si="56"/>
        <v>0</v>
      </c>
      <c r="D613" s="60">
        <f>COUNTIF($K$7:K613,K613)</f>
        <v>0</v>
      </c>
      <c r="E613" s="91"/>
      <c r="F613" s="137">
        <v>44578.397615740738</v>
      </c>
      <c r="G613" s="116" t="s">
        <v>149</v>
      </c>
      <c r="H613" s="93" t="s">
        <v>355</v>
      </c>
      <c r="I613" s="161" t="s">
        <v>357</v>
      </c>
      <c r="J613" s="117">
        <v>111.01</v>
      </c>
      <c r="K613" s="108"/>
      <c r="L613" s="130"/>
      <c r="M613" s="117">
        <v>2500000</v>
      </c>
      <c r="N613" s="117"/>
      <c r="O613" s="111"/>
      <c r="P613" s="100" t="str">
        <f t="shared" si="57"/>
        <v>BNI IDR 768</v>
      </c>
      <c r="Q613" s="91"/>
      <c r="S613" s="112"/>
      <c r="T613" s="112"/>
      <c r="U613" s="113"/>
      <c r="V613" s="113"/>
      <c r="X613" s="102"/>
    </row>
    <row r="614" spans="1:24" s="101" customFormat="1" hidden="1" x14ac:dyDescent="0.25">
      <c r="A614" s="60" t="str">
        <f t="shared" si="55"/>
        <v>106111,01</v>
      </c>
      <c r="B614" s="60">
        <f>COUNTIF($J$7:J614,J614)</f>
        <v>106</v>
      </c>
      <c r="C614" s="60" t="str">
        <f t="shared" si="56"/>
        <v>0</v>
      </c>
      <c r="D614" s="60">
        <f>COUNTIF($K$7:K614,K614)</f>
        <v>0</v>
      </c>
      <c r="E614" s="91"/>
      <c r="F614" s="137">
        <v>44578.442152777781</v>
      </c>
      <c r="G614" s="116" t="s">
        <v>149</v>
      </c>
      <c r="H614" s="93" t="s">
        <v>358</v>
      </c>
      <c r="I614" s="161" t="s">
        <v>359</v>
      </c>
      <c r="J614" s="117">
        <v>111.01</v>
      </c>
      <c r="K614" s="108"/>
      <c r="L614" s="130">
        <v>1060000</v>
      </c>
      <c r="M614" s="117"/>
      <c r="N614" s="117"/>
      <c r="O614" s="111"/>
      <c r="P614" s="100" t="str">
        <f t="shared" si="57"/>
        <v>BNI IDR 768</v>
      </c>
      <c r="Q614" s="91"/>
      <c r="S614" s="112"/>
      <c r="T614" s="112"/>
      <c r="U614" s="113"/>
      <c r="V614" s="113"/>
      <c r="X614" s="102"/>
    </row>
    <row r="615" spans="1:24" s="101" customFormat="1" hidden="1" x14ac:dyDescent="0.25">
      <c r="A615" s="60" t="str">
        <f t="shared" si="55"/>
        <v>107111,01</v>
      </c>
      <c r="B615" s="60">
        <f>COUNTIF($J$7:J615,J615)</f>
        <v>107</v>
      </c>
      <c r="C615" s="60" t="str">
        <f t="shared" si="56"/>
        <v>0</v>
      </c>
      <c r="D615" s="60">
        <f>COUNTIF($K$7:K615,K615)</f>
        <v>0</v>
      </c>
      <c r="E615" s="91"/>
      <c r="F615" s="137">
        <v>44578.585995370369</v>
      </c>
      <c r="G615" s="116" t="s">
        <v>149</v>
      </c>
      <c r="H615" s="93" t="s">
        <v>360</v>
      </c>
      <c r="I615" s="161" t="s">
        <v>253</v>
      </c>
      <c r="J615" s="117">
        <v>111.01</v>
      </c>
      <c r="K615" s="108"/>
      <c r="L615" s="130">
        <v>11896500</v>
      </c>
      <c r="M615" s="117"/>
      <c r="N615" s="117"/>
      <c r="O615" s="111"/>
      <c r="P615" s="100" t="str">
        <f t="shared" si="57"/>
        <v>BNI IDR 768</v>
      </c>
      <c r="Q615" s="91"/>
      <c r="S615" s="112"/>
      <c r="T615" s="112"/>
      <c r="U615" s="113"/>
      <c r="V615" s="113"/>
      <c r="X615" s="102"/>
    </row>
    <row r="616" spans="1:24" s="101" customFormat="1" hidden="1" x14ac:dyDescent="0.25">
      <c r="A616" s="60" t="str">
        <f t="shared" si="55"/>
        <v>2511,04</v>
      </c>
      <c r="B616" s="60">
        <f>COUNTIF($J$7:J616,J616)</f>
        <v>2</v>
      </c>
      <c r="C616" s="60" t="str">
        <f t="shared" si="56"/>
        <v>0</v>
      </c>
      <c r="D616" s="60">
        <f>COUNTIF($K$7:K616,K616)</f>
        <v>0</v>
      </c>
      <c r="E616" s="91"/>
      <c r="F616" s="137">
        <v>44578.442152777781</v>
      </c>
      <c r="G616" s="116" t="s">
        <v>149</v>
      </c>
      <c r="H616" s="93" t="s">
        <v>358</v>
      </c>
      <c r="I616" s="161" t="s">
        <v>359</v>
      </c>
      <c r="J616" s="117">
        <v>511.04</v>
      </c>
      <c r="K616" s="108"/>
      <c r="L616" s="130"/>
      <c r="M616" s="165">
        <v>1060000</v>
      </c>
      <c r="N616" s="165"/>
      <c r="O616" s="111"/>
      <c r="P616" s="100" t="str">
        <f t="shared" si="57"/>
        <v>Biaya pengiriman Via Online (Gojek,Grab), Kuli</v>
      </c>
      <c r="Q616" s="91"/>
      <c r="S616" s="112"/>
      <c r="T616" s="112"/>
      <c r="U616" s="113"/>
      <c r="V616" s="113"/>
      <c r="X616" s="102"/>
    </row>
    <row r="617" spans="1:24" s="101" customFormat="1" hidden="1" x14ac:dyDescent="0.25">
      <c r="A617" s="60" t="str">
        <f t="shared" si="55"/>
        <v>129112</v>
      </c>
      <c r="B617" s="60">
        <f>COUNTIF($J$7:J617,J617)</f>
        <v>129</v>
      </c>
      <c r="C617" s="60" t="str">
        <f t="shared" si="56"/>
        <v>4112,04</v>
      </c>
      <c r="D617" s="60">
        <f>COUNTIF($K$7:K617,K617)</f>
        <v>4</v>
      </c>
      <c r="E617" s="91"/>
      <c r="F617" s="137">
        <v>44578.585995370369</v>
      </c>
      <c r="G617" s="141" t="s">
        <v>149</v>
      </c>
      <c r="H617" s="93" t="s">
        <v>360</v>
      </c>
      <c r="I617" s="161" t="s">
        <v>253</v>
      </c>
      <c r="J617" s="115">
        <v>112</v>
      </c>
      <c r="K617" s="108">
        <v>112.04</v>
      </c>
      <c r="L617" s="130"/>
      <c r="M617" s="165">
        <v>11896500</v>
      </c>
      <c r="N617" s="165"/>
      <c r="O617" s="111"/>
      <c r="P617" s="100" t="str">
        <f t="shared" si="57"/>
        <v>Piutang Usaha</v>
      </c>
      <c r="Q617" s="91"/>
      <c r="S617" s="112"/>
      <c r="T617" s="112"/>
      <c r="U617" s="113"/>
      <c r="V617" s="113"/>
      <c r="X617" s="102"/>
    </row>
    <row r="618" spans="1:24" s="101" customFormat="1" hidden="1" x14ac:dyDescent="0.25">
      <c r="A618" s="60" t="str">
        <f t="shared" si="55"/>
        <v>13119</v>
      </c>
      <c r="B618" s="60">
        <f>COUNTIF($J$7:J618,J618)</f>
        <v>13</v>
      </c>
      <c r="C618" s="60" t="str">
        <f t="shared" si="56"/>
        <v>4119,02</v>
      </c>
      <c r="D618" s="60">
        <f>COUNTIF($K$7:K618,K618)</f>
        <v>4</v>
      </c>
      <c r="E618" s="91"/>
      <c r="F618" s="137">
        <v>44579.524722222224</v>
      </c>
      <c r="G618" s="116" t="s">
        <v>149</v>
      </c>
      <c r="H618" s="93" t="s">
        <v>361</v>
      </c>
      <c r="I618" s="161" t="s">
        <v>362</v>
      </c>
      <c r="J618" s="129">
        <v>119</v>
      </c>
      <c r="K618" s="108">
        <v>119.02</v>
      </c>
      <c r="L618" s="97">
        <v>1500000</v>
      </c>
      <c r="M618" s="165"/>
      <c r="N618" s="165"/>
      <c r="O618" s="111"/>
      <c r="P618" s="100" t="str">
        <f t="shared" si="57"/>
        <v>Uang Muka Biaya Pengiriman dan Perjalanan Dinas Marketing</v>
      </c>
      <c r="Q618" s="91"/>
      <c r="S618" s="112"/>
      <c r="T618" s="112"/>
      <c r="U618" s="113"/>
      <c r="V618" s="113"/>
      <c r="X618" s="102"/>
    </row>
    <row r="619" spans="1:24" s="101" customFormat="1" hidden="1" x14ac:dyDescent="0.25">
      <c r="A619" s="60" t="str">
        <f t="shared" si="55"/>
        <v>14119</v>
      </c>
      <c r="B619" s="60">
        <f>COUNTIF($J$7:J619,J619)</f>
        <v>14</v>
      </c>
      <c r="C619" s="60" t="str">
        <f t="shared" si="56"/>
        <v>4119,01</v>
      </c>
      <c r="D619" s="60">
        <f>COUNTIF($K$7:K619,K619)</f>
        <v>4</v>
      </c>
      <c r="E619" s="91"/>
      <c r="F619" s="137">
        <v>44579.524722222224</v>
      </c>
      <c r="G619" s="116" t="s">
        <v>149</v>
      </c>
      <c r="H619" s="93" t="s">
        <v>363</v>
      </c>
      <c r="I619" s="161" t="s">
        <v>364</v>
      </c>
      <c r="J619" s="129">
        <v>119</v>
      </c>
      <c r="K619" s="108">
        <v>119.01</v>
      </c>
      <c r="L619" s="97">
        <v>1000000</v>
      </c>
      <c r="M619" s="165"/>
      <c r="N619" s="165"/>
      <c r="O619" s="111"/>
      <c r="P619" s="100" t="str">
        <f t="shared" si="57"/>
        <v>Uang Muka Biaya Pengiriman dan Perjalanan Dinas Marketing</v>
      </c>
      <c r="Q619" s="91"/>
      <c r="S619" s="112"/>
      <c r="T619" s="112"/>
      <c r="U619" s="113"/>
      <c r="V619" s="113"/>
      <c r="X619" s="102"/>
    </row>
    <row r="620" spans="1:24" s="101" customFormat="1" hidden="1" x14ac:dyDescent="0.25">
      <c r="A620" s="60" t="str">
        <f t="shared" si="55"/>
        <v>15119</v>
      </c>
      <c r="B620" s="60">
        <f>COUNTIF($J$7:J620,J620)</f>
        <v>15</v>
      </c>
      <c r="C620" s="60" t="str">
        <f t="shared" si="56"/>
        <v>5119,01</v>
      </c>
      <c r="D620" s="60">
        <f>COUNTIF($K$7:K620,K620)</f>
        <v>5</v>
      </c>
      <c r="E620" s="91"/>
      <c r="F620" s="137">
        <v>44579.524733796294</v>
      </c>
      <c r="G620" s="116" t="s">
        <v>149</v>
      </c>
      <c r="H620" s="93" t="s">
        <v>365</v>
      </c>
      <c r="I620" s="161" t="s">
        <v>366</v>
      </c>
      <c r="J620" s="129">
        <v>119</v>
      </c>
      <c r="K620" s="108">
        <v>119.01</v>
      </c>
      <c r="L620" s="97">
        <v>1000000</v>
      </c>
      <c r="M620" s="165"/>
      <c r="N620" s="165"/>
      <c r="O620" s="111"/>
      <c r="P620" s="100" t="str">
        <f t="shared" si="57"/>
        <v>Uang Muka Biaya Pengiriman dan Perjalanan Dinas Marketing</v>
      </c>
      <c r="Q620" s="91"/>
      <c r="S620" s="112"/>
      <c r="T620" s="112"/>
      <c r="U620" s="113"/>
      <c r="V620" s="113"/>
      <c r="X620" s="102"/>
    </row>
    <row r="621" spans="1:24" s="101" customFormat="1" hidden="1" x14ac:dyDescent="0.25">
      <c r="A621" s="60" t="str">
        <f t="shared" si="55"/>
        <v>24220,03</v>
      </c>
      <c r="B621" s="60">
        <f>COUNTIF($J$7:J621,J621)</f>
        <v>24</v>
      </c>
      <c r="C621" s="60" t="str">
        <f t="shared" si="56"/>
        <v>0</v>
      </c>
      <c r="D621" s="60">
        <f>COUNTIF($K$7:K621,K621)</f>
        <v>0</v>
      </c>
      <c r="E621" s="91"/>
      <c r="F621" s="137">
        <v>44581.344305555554</v>
      </c>
      <c r="G621" s="116" t="s">
        <v>149</v>
      </c>
      <c r="H621" s="93" t="s">
        <v>367</v>
      </c>
      <c r="I621" s="161" t="s">
        <v>174</v>
      </c>
      <c r="J621" s="119">
        <v>220.03</v>
      </c>
      <c r="K621" s="108"/>
      <c r="L621" s="97">
        <v>29579073</v>
      </c>
      <c r="M621" s="165"/>
      <c r="N621" s="165"/>
      <c r="O621" s="111"/>
      <c r="P621" s="100" t="str">
        <f t="shared" si="57"/>
        <v>Hutang BIaya</v>
      </c>
      <c r="Q621" s="91"/>
      <c r="S621" s="112"/>
      <c r="T621" s="112"/>
      <c r="U621" s="113"/>
      <c r="V621" s="113"/>
      <c r="X621" s="102"/>
    </row>
    <row r="622" spans="1:24" s="101" customFormat="1" hidden="1" x14ac:dyDescent="0.25">
      <c r="A622" s="60" t="str">
        <f t="shared" si="55"/>
        <v>21810,01</v>
      </c>
      <c r="B622" s="60">
        <f>COUNTIF($J$7:J622,J622)</f>
        <v>21</v>
      </c>
      <c r="C622" s="60" t="str">
        <f t="shared" si="56"/>
        <v>0</v>
      </c>
      <c r="D622" s="60">
        <f>COUNTIF($K$7:K622,K622)</f>
        <v>0</v>
      </c>
      <c r="E622" s="91"/>
      <c r="F622" s="137">
        <v>44581</v>
      </c>
      <c r="G622" s="116" t="s">
        <v>149</v>
      </c>
      <c r="H622" s="93" t="s">
        <v>367</v>
      </c>
      <c r="I622" s="161" t="s">
        <v>282</v>
      </c>
      <c r="J622" s="117">
        <v>810.01</v>
      </c>
      <c r="K622" s="108"/>
      <c r="L622" s="97">
        <v>6500</v>
      </c>
      <c r="M622" s="165"/>
      <c r="N622" s="165"/>
      <c r="O622" s="111"/>
      <c r="P622" s="100" t="str">
        <f t="shared" si="57"/>
        <v>Biaya Admin Transfer dan Rek</v>
      </c>
      <c r="Q622" s="91"/>
      <c r="S622" s="112"/>
      <c r="T622" s="112"/>
      <c r="U622" s="113"/>
      <c r="V622" s="113"/>
      <c r="X622" s="102"/>
    </row>
    <row r="623" spans="1:24" s="101" customFormat="1" hidden="1" x14ac:dyDescent="0.25">
      <c r="A623" s="60" t="str">
        <f t="shared" si="55"/>
        <v>25220,03</v>
      </c>
      <c r="B623" s="60">
        <f>COUNTIF($J$7:J623,J623)</f>
        <v>25</v>
      </c>
      <c r="C623" s="60" t="str">
        <f t="shared" si="56"/>
        <v>0</v>
      </c>
      <c r="D623" s="60">
        <f>COUNTIF($K$7:K623,K623)</f>
        <v>0</v>
      </c>
      <c r="E623" s="91"/>
      <c r="F623" s="137">
        <v>44581.344305555554</v>
      </c>
      <c r="G623" s="116" t="s">
        <v>149</v>
      </c>
      <c r="H623" s="93" t="s">
        <v>368</v>
      </c>
      <c r="I623" s="161" t="s">
        <v>174</v>
      </c>
      <c r="J623" s="119">
        <v>220.03</v>
      </c>
      <c r="K623" s="108"/>
      <c r="L623" s="97">
        <v>21702545</v>
      </c>
      <c r="M623" s="165"/>
      <c r="N623" s="165"/>
      <c r="O623" s="111"/>
      <c r="P623" s="100" t="str">
        <f t="shared" si="57"/>
        <v>Hutang BIaya</v>
      </c>
      <c r="Q623" s="91"/>
      <c r="S623" s="112"/>
      <c r="T623" s="112"/>
      <c r="U623" s="113"/>
      <c r="V623" s="113"/>
      <c r="X623" s="102"/>
    </row>
    <row r="624" spans="1:24" s="101" customFormat="1" hidden="1" x14ac:dyDescent="0.25">
      <c r="A624" s="60" t="str">
        <f t="shared" si="55"/>
        <v>22810,01</v>
      </c>
      <c r="B624" s="60">
        <f>COUNTIF($J$7:J624,J624)</f>
        <v>22</v>
      </c>
      <c r="C624" s="60" t="str">
        <f t="shared" si="56"/>
        <v>0</v>
      </c>
      <c r="D624" s="60">
        <f>COUNTIF($K$7:K624,K624)</f>
        <v>0</v>
      </c>
      <c r="E624" s="91"/>
      <c r="F624" s="137">
        <v>44581</v>
      </c>
      <c r="G624" s="116" t="s">
        <v>149</v>
      </c>
      <c r="H624" s="93" t="s">
        <v>368</v>
      </c>
      <c r="I624" s="161" t="s">
        <v>282</v>
      </c>
      <c r="J624" s="117">
        <v>810.01</v>
      </c>
      <c r="K624" s="108"/>
      <c r="L624" s="97">
        <v>6500</v>
      </c>
      <c r="M624" s="165"/>
      <c r="N624" s="165"/>
      <c r="O624" s="111"/>
      <c r="P624" s="100" t="str">
        <f t="shared" si="57"/>
        <v>Biaya Admin Transfer dan Rek</v>
      </c>
      <c r="Q624" s="91"/>
      <c r="S624" s="112"/>
      <c r="T624" s="112"/>
      <c r="U624" s="113"/>
      <c r="V624" s="113"/>
      <c r="X624" s="102"/>
    </row>
    <row r="625" spans="1:24" s="101" customFormat="1" hidden="1" x14ac:dyDescent="0.25">
      <c r="A625" s="60" t="str">
        <f t="shared" si="55"/>
        <v>4512,03</v>
      </c>
      <c r="B625" s="60">
        <f>COUNTIF($J$7:J625,J625)</f>
        <v>4</v>
      </c>
      <c r="C625" s="60" t="str">
        <f t="shared" si="56"/>
        <v>0</v>
      </c>
      <c r="D625" s="60">
        <f>COUNTIF($K$7:K625,K625)</f>
        <v>0</v>
      </c>
      <c r="E625" s="91"/>
      <c r="F625" s="137">
        <v>44581.344328703701</v>
      </c>
      <c r="G625" s="116" t="s">
        <v>149</v>
      </c>
      <c r="H625" s="93" t="s">
        <v>369</v>
      </c>
      <c r="I625" s="161" t="s">
        <v>370</v>
      </c>
      <c r="J625" s="128">
        <v>512.03</v>
      </c>
      <c r="K625" s="108"/>
      <c r="L625" s="97">
        <v>1319000</v>
      </c>
      <c r="M625" s="165"/>
      <c r="N625" s="165"/>
      <c r="O625" s="111"/>
      <c r="P625" s="100" t="str">
        <f t="shared" si="57"/>
        <v>Beban Gasoline Marketing (Bensin, Parkir, Tol)</v>
      </c>
      <c r="Q625" s="91"/>
      <c r="S625" s="112"/>
      <c r="T625" s="112"/>
      <c r="U625" s="113"/>
      <c r="V625" s="113"/>
      <c r="X625" s="102"/>
    </row>
    <row r="626" spans="1:24" s="101" customFormat="1" hidden="1" x14ac:dyDescent="0.25">
      <c r="A626" s="60" t="str">
        <f t="shared" si="55"/>
        <v>108111,01</v>
      </c>
      <c r="B626" s="60">
        <f>COUNTIF($J$7:J626,J626)</f>
        <v>108</v>
      </c>
      <c r="C626" s="60" t="str">
        <f t="shared" si="56"/>
        <v>0</v>
      </c>
      <c r="D626" s="60">
        <f>COUNTIF($K$7:K626,K626)</f>
        <v>0</v>
      </c>
      <c r="E626" s="91"/>
      <c r="F626" s="137">
        <v>44579.524722222224</v>
      </c>
      <c r="G626" s="116" t="s">
        <v>149</v>
      </c>
      <c r="H626" s="93" t="s">
        <v>361</v>
      </c>
      <c r="I626" s="161" t="s">
        <v>371</v>
      </c>
      <c r="J626" s="117">
        <v>111.01</v>
      </c>
      <c r="K626" s="108"/>
      <c r="L626" s="130"/>
      <c r="M626" s="117">
        <v>1500000</v>
      </c>
      <c r="N626" s="117"/>
      <c r="O626" s="111"/>
      <c r="P626" s="100" t="str">
        <f t="shared" si="57"/>
        <v>BNI IDR 768</v>
      </c>
      <c r="Q626" s="91"/>
      <c r="S626" s="112"/>
      <c r="T626" s="112"/>
      <c r="U626" s="113"/>
      <c r="V626" s="113"/>
      <c r="X626" s="102"/>
    </row>
    <row r="627" spans="1:24" s="101" customFormat="1" hidden="1" x14ac:dyDescent="0.25">
      <c r="A627" s="60" t="str">
        <f t="shared" si="55"/>
        <v>109111,01</v>
      </c>
      <c r="B627" s="60">
        <f>COUNTIF($J$7:J627,J627)</f>
        <v>109</v>
      </c>
      <c r="C627" s="60" t="str">
        <f t="shared" si="56"/>
        <v>0</v>
      </c>
      <c r="D627" s="60">
        <f>COUNTIF($K$7:K627,K627)</f>
        <v>0</v>
      </c>
      <c r="E627" s="91"/>
      <c r="F627" s="137">
        <v>44579.524722222224</v>
      </c>
      <c r="G627" s="116" t="s">
        <v>149</v>
      </c>
      <c r="H627" s="93" t="s">
        <v>363</v>
      </c>
      <c r="I627" s="161" t="s">
        <v>372</v>
      </c>
      <c r="J627" s="117">
        <v>111.01</v>
      </c>
      <c r="K627" s="108"/>
      <c r="L627" s="130"/>
      <c r="M627" s="117">
        <v>1000000</v>
      </c>
      <c r="N627" s="117"/>
      <c r="O627" s="111"/>
      <c r="P627" s="100" t="str">
        <f t="shared" si="57"/>
        <v>BNI IDR 768</v>
      </c>
      <c r="Q627" s="91"/>
      <c r="S627" s="112"/>
      <c r="T627" s="112"/>
      <c r="U627" s="113"/>
      <c r="V627" s="113"/>
      <c r="X627" s="102"/>
    </row>
    <row r="628" spans="1:24" s="101" customFormat="1" hidden="1" x14ac:dyDescent="0.25">
      <c r="A628" s="60" t="str">
        <f t="shared" si="55"/>
        <v>110111,01</v>
      </c>
      <c r="B628" s="60">
        <f>COUNTIF($J$7:J628,J628)</f>
        <v>110</v>
      </c>
      <c r="C628" s="60" t="str">
        <f t="shared" si="56"/>
        <v>0</v>
      </c>
      <c r="D628" s="60">
        <f>COUNTIF($K$7:K628,K628)</f>
        <v>0</v>
      </c>
      <c r="E628" s="91"/>
      <c r="F628" s="137">
        <v>44579.524733796294</v>
      </c>
      <c r="G628" s="116" t="s">
        <v>149</v>
      </c>
      <c r="H628" s="93" t="s">
        <v>365</v>
      </c>
      <c r="I628" s="161" t="s">
        <v>373</v>
      </c>
      <c r="J628" s="117">
        <v>111.01</v>
      </c>
      <c r="K628" s="108"/>
      <c r="L628" s="130"/>
      <c r="M628" s="117">
        <v>1000000</v>
      </c>
      <c r="N628" s="117"/>
      <c r="O628" s="111"/>
      <c r="P628" s="100" t="str">
        <f t="shared" si="57"/>
        <v>BNI IDR 768</v>
      </c>
      <c r="Q628" s="91"/>
      <c r="S628" s="112"/>
      <c r="T628" s="112"/>
      <c r="U628" s="113"/>
      <c r="V628" s="113"/>
      <c r="X628" s="102"/>
    </row>
    <row r="629" spans="1:24" s="101" customFormat="1" hidden="1" x14ac:dyDescent="0.25">
      <c r="A629" s="60" t="str">
        <f t="shared" si="55"/>
        <v>111111,01</v>
      </c>
      <c r="B629" s="60">
        <f>COUNTIF($J$7:J629,J629)</f>
        <v>111</v>
      </c>
      <c r="C629" s="60" t="str">
        <f t="shared" si="56"/>
        <v>0</v>
      </c>
      <c r="D629" s="60">
        <f>COUNTIF($K$7:K629,K629)</f>
        <v>0</v>
      </c>
      <c r="E629" s="91"/>
      <c r="F629" s="137">
        <v>44581.344305555554</v>
      </c>
      <c r="G629" s="116" t="s">
        <v>149</v>
      </c>
      <c r="H629" s="93" t="s">
        <v>367</v>
      </c>
      <c r="I629" s="161" t="s">
        <v>374</v>
      </c>
      <c r="J629" s="117">
        <v>111.01</v>
      </c>
      <c r="K629" s="108"/>
      <c r="L629" s="130"/>
      <c r="M629" s="117">
        <v>29579073</v>
      </c>
      <c r="N629" s="117"/>
      <c r="O629" s="111"/>
      <c r="P629" s="100" t="str">
        <f t="shared" si="57"/>
        <v>BNI IDR 768</v>
      </c>
      <c r="Q629" s="91"/>
      <c r="S629" s="112"/>
      <c r="T629" s="112"/>
      <c r="U629" s="113"/>
      <c r="V629" s="113"/>
      <c r="X629" s="102"/>
    </row>
    <row r="630" spans="1:24" s="101" customFormat="1" hidden="1" x14ac:dyDescent="0.25">
      <c r="A630" s="60" t="str">
        <f t="shared" si="55"/>
        <v>112111,01</v>
      </c>
      <c r="B630" s="60">
        <f>COUNTIF($J$7:J630,J630)</f>
        <v>112</v>
      </c>
      <c r="C630" s="60" t="str">
        <f t="shared" si="56"/>
        <v>0</v>
      </c>
      <c r="D630" s="60">
        <f>COUNTIF($K$7:K630,K630)</f>
        <v>0</v>
      </c>
      <c r="E630" s="91"/>
      <c r="F630" s="137">
        <v>44581</v>
      </c>
      <c r="G630" s="116" t="s">
        <v>149</v>
      </c>
      <c r="H630" s="93" t="s">
        <v>367</v>
      </c>
      <c r="I630" s="161" t="s">
        <v>282</v>
      </c>
      <c r="J630" s="117">
        <v>111.01</v>
      </c>
      <c r="K630" s="108"/>
      <c r="L630" s="130"/>
      <c r="M630" s="117">
        <v>6500</v>
      </c>
      <c r="N630" s="117"/>
      <c r="O630" s="111"/>
      <c r="P630" s="100" t="str">
        <f t="shared" si="57"/>
        <v>BNI IDR 768</v>
      </c>
      <c r="Q630" s="91"/>
      <c r="S630" s="112"/>
      <c r="T630" s="112"/>
      <c r="U630" s="113"/>
      <c r="V630" s="113"/>
      <c r="X630" s="102"/>
    </row>
    <row r="631" spans="1:24" s="101" customFormat="1" hidden="1" x14ac:dyDescent="0.25">
      <c r="A631" s="60" t="str">
        <f t="shared" si="55"/>
        <v>113111,01</v>
      </c>
      <c r="B631" s="60">
        <f>COUNTIF($J$7:J631,J631)</f>
        <v>113</v>
      </c>
      <c r="C631" s="60" t="str">
        <f t="shared" si="56"/>
        <v>0</v>
      </c>
      <c r="D631" s="60">
        <f>COUNTIF($K$7:K631,K631)</f>
        <v>0</v>
      </c>
      <c r="E631" s="91"/>
      <c r="F631" s="137">
        <v>44581.344305555554</v>
      </c>
      <c r="G631" s="116" t="s">
        <v>149</v>
      </c>
      <c r="H631" s="93" t="s">
        <v>368</v>
      </c>
      <c r="I631" s="161" t="s">
        <v>375</v>
      </c>
      <c r="J631" s="117">
        <v>111.01</v>
      </c>
      <c r="K631" s="108"/>
      <c r="L631" s="130"/>
      <c r="M631" s="117">
        <v>21702545</v>
      </c>
      <c r="N631" s="117"/>
      <c r="O631" s="111"/>
      <c r="P631" s="100" t="str">
        <f t="shared" si="57"/>
        <v>BNI IDR 768</v>
      </c>
      <c r="Q631" s="91"/>
      <c r="S631" s="112"/>
      <c r="T631" s="112"/>
      <c r="U631" s="113"/>
      <c r="V631" s="113"/>
      <c r="X631" s="102"/>
    </row>
    <row r="632" spans="1:24" s="101" customFormat="1" hidden="1" x14ac:dyDescent="0.25">
      <c r="A632" s="60" t="str">
        <f t="shared" si="55"/>
        <v>114111,01</v>
      </c>
      <c r="B632" s="60">
        <f>COUNTIF($J$7:J632,J632)</f>
        <v>114</v>
      </c>
      <c r="C632" s="60" t="str">
        <f t="shared" si="56"/>
        <v>0</v>
      </c>
      <c r="D632" s="60">
        <f>COUNTIF($K$7:K632,K632)</f>
        <v>0</v>
      </c>
      <c r="E632" s="91"/>
      <c r="F632" s="137">
        <v>44581</v>
      </c>
      <c r="G632" s="116" t="s">
        <v>149</v>
      </c>
      <c r="H632" s="93" t="s">
        <v>368</v>
      </c>
      <c r="I632" s="161" t="s">
        <v>282</v>
      </c>
      <c r="J632" s="117">
        <v>111.01</v>
      </c>
      <c r="K632" s="108"/>
      <c r="L632" s="130"/>
      <c r="M632" s="117">
        <v>6500</v>
      </c>
      <c r="N632" s="117"/>
      <c r="O632" s="111"/>
      <c r="P632" s="100" t="str">
        <f t="shared" si="57"/>
        <v>BNI IDR 768</v>
      </c>
      <c r="Q632" s="91"/>
      <c r="S632" s="112"/>
      <c r="T632" s="112"/>
      <c r="U632" s="113"/>
      <c r="V632" s="113"/>
      <c r="X632" s="102"/>
    </row>
    <row r="633" spans="1:24" s="101" customFormat="1" hidden="1" x14ac:dyDescent="0.25">
      <c r="A633" s="60" t="str">
        <f t="shared" si="55"/>
        <v>115111,01</v>
      </c>
      <c r="B633" s="60">
        <f>COUNTIF($J$7:J633,J633)</f>
        <v>115</v>
      </c>
      <c r="C633" s="60" t="str">
        <f t="shared" si="56"/>
        <v>0</v>
      </c>
      <c r="D633" s="60">
        <f>COUNTIF($K$7:K633,K633)</f>
        <v>0</v>
      </c>
      <c r="E633" s="91"/>
      <c r="F633" s="137">
        <v>44581.344328703701</v>
      </c>
      <c r="G633" s="116" t="s">
        <v>149</v>
      </c>
      <c r="H633" s="93" t="s">
        <v>369</v>
      </c>
      <c r="I633" s="161" t="s">
        <v>376</v>
      </c>
      <c r="J633" s="117">
        <v>111.01</v>
      </c>
      <c r="K633" s="108"/>
      <c r="L633" s="130"/>
      <c r="M633" s="117">
        <v>1319000</v>
      </c>
      <c r="N633" s="117"/>
      <c r="O633" s="111"/>
      <c r="P633" s="100" t="str">
        <f t="shared" si="57"/>
        <v>BNI IDR 768</v>
      </c>
      <c r="Q633" s="91"/>
      <c r="S633" s="112"/>
      <c r="T633" s="112"/>
      <c r="U633" s="113"/>
      <c r="V633" s="113"/>
      <c r="X633" s="102"/>
    </row>
    <row r="634" spans="1:24" s="101" customFormat="1" hidden="1" x14ac:dyDescent="0.25">
      <c r="A634" s="60" t="str">
        <f t="shared" si="55"/>
        <v>116111,01</v>
      </c>
      <c r="B634" s="60">
        <f>COUNTIF($J$7:J634,J634)</f>
        <v>116</v>
      </c>
      <c r="C634" s="60" t="str">
        <f t="shared" si="56"/>
        <v>0</v>
      </c>
      <c r="D634" s="60">
        <f>COUNTIF($K$7:K634,K634)</f>
        <v>0</v>
      </c>
      <c r="E634" s="91"/>
      <c r="F634" s="137">
        <v>44581.410763888889</v>
      </c>
      <c r="G634" s="116" t="s">
        <v>149</v>
      </c>
      <c r="H634" s="93" t="s">
        <v>377</v>
      </c>
      <c r="I634" s="161" t="s">
        <v>323</v>
      </c>
      <c r="J634" s="117">
        <v>111.01</v>
      </c>
      <c r="K634" s="108"/>
      <c r="L634" s="97">
        <v>6465500</v>
      </c>
      <c r="M634" s="139"/>
      <c r="N634" s="139"/>
      <c r="O634" s="111"/>
      <c r="P634" s="100" t="str">
        <f t="shared" si="57"/>
        <v>BNI IDR 768</v>
      </c>
      <c r="Q634" s="91"/>
      <c r="S634" s="112"/>
      <c r="T634" s="112"/>
      <c r="U634" s="113"/>
      <c r="V634" s="113"/>
      <c r="X634" s="102"/>
    </row>
    <row r="635" spans="1:24" s="101" customFormat="1" hidden="1" x14ac:dyDescent="0.25">
      <c r="A635" s="60" t="str">
        <f t="shared" si="55"/>
        <v>117111,01</v>
      </c>
      <c r="B635" s="60">
        <f>COUNTIF($J$7:J635,J635)</f>
        <v>117</v>
      </c>
      <c r="C635" s="60" t="str">
        <f t="shared" si="56"/>
        <v>0</v>
      </c>
      <c r="D635" s="60">
        <f>COUNTIF($K$7:K635,K635)</f>
        <v>0</v>
      </c>
      <c r="E635" s="91"/>
      <c r="F635" s="137">
        <v>44581.523611111108</v>
      </c>
      <c r="G635" s="116" t="s">
        <v>149</v>
      </c>
      <c r="H635" s="93" t="s">
        <v>378</v>
      </c>
      <c r="I635" s="161" t="s">
        <v>379</v>
      </c>
      <c r="J635" s="117">
        <v>111.01</v>
      </c>
      <c r="K635" s="108"/>
      <c r="L635" s="97">
        <v>67968011</v>
      </c>
      <c r="M635" s="139"/>
      <c r="N635" s="139"/>
      <c r="O635" s="111"/>
      <c r="P635" s="100" t="str">
        <f t="shared" si="57"/>
        <v>BNI IDR 768</v>
      </c>
      <c r="Q635" s="91"/>
      <c r="S635" s="112"/>
      <c r="T635" s="112"/>
      <c r="U635" s="113"/>
      <c r="V635" s="113"/>
      <c r="X635" s="102"/>
    </row>
    <row r="636" spans="1:24" s="101" customFormat="1" hidden="1" x14ac:dyDescent="0.25">
      <c r="A636" s="60" t="str">
        <f t="shared" si="55"/>
        <v>118111,01</v>
      </c>
      <c r="B636" s="60">
        <f>COUNTIF($J$7:J636,J636)</f>
        <v>118</v>
      </c>
      <c r="C636" s="60" t="str">
        <f t="shared" si="56"/>
        <v>0</v>
      </c>
      <c r="D636" s="60">
        <f>COUNTIF($K$7:K636,K636)</f>
        <v>0</v>
      </c>
      <c r="E636" s="91"/>
      <c r="F636" s="137">
        <v>44581.582152777781</v>
      </c>
      <c r="G636" s="116" t="s">
        <v>149</v>
      </c>
      <c r="H636" s="93" t="s">
        <v>380</v>
      </c>
      <c r="I636" s="161" t="s">
        <v>381</v>
      </c>
      <c r="J636" s="117">
        <v>111.01</v>
      </c>
      <c r="K636" s="108"/>
      <c r="L636" s="97">
        <v>7912550</v>
      </c>
      <c r="M636" s="139"/>
      <c r="N636" s="139"/>
      <c r="O636" s="111"/>
      <c r="P636" s="100" t="str">
        <f t="shared" si="57"/>
        <v>BNI IDR 768</v>
      </c>
      <c r="Q636" s="91"/>
      <c r="S636" s="112"/>
      <c r="T636" s="112"/>
      <c r="U636" s="113"/>
      <c r="V636" s="113"/>
      <c r="X636" s="102"/>
    </row>
    <row r="637" spans="1:24" s="101" customFormat="1" hidden="1" x14ac:dyDescent="0.25">
      <c r="A637" s="60" t="str">
        <f t="shared" si="55"/>
        <v>119111,01</v>
      </c>
      <c r="B637" s="60">
        <f>COUNTIF($J$7:J637,J637)</f>
        <v>119</v>
      </c>
      <c r="C637" s="60" t="str">
        <f t="shared" si="56"/>
        <v>0</v>
      </c>
      <c r="D637" s="60">
        <f>COUNTIF($K$7:K637,K637)</f>
        <v>0</v>
      </c>
      <c r="E637" s="91"/>
      <c r="F637" s="137">
        <v>44581.808368055557</v>
      </c>
      <c r="G637" s="116" t="s">
        <v>149</v>
      </c>
      <c r="H637" s="93" t="s">
        <v>382</v>
      </c>
      <c r="I637" s="161" t="s">
        <v>383</v>
      </c>
      <c r="J637" s="117">
        <v>111.01</v>
      </c>
      <c r="K637" s="108"/>
      <c r="L637" s="97">
        <v>31673500</v>
      </c>
      <c r="M637" s="139"/>
      <c r="N637" s="139"/>
      <c r="O637" s="111"/>
      <c r="P637" s="100" t="str">
        <f t="shared" si="57"/>
        <v>BNI IDR 768</v>
      </c>
      <c r="Q637" s="91"/>
      <c r="S637" s="112"/>
      <c r="T637" s="112"/>
      <c r="U637" s="113"/>
      <c r="V637" s="113"/>
      <c r="X637" s="102"/>
    </row>
    <row r="638" spans="1:24" s="101" customFormat="1" hidden="1" x14ac:dyDescent="0.25">
      <c r="A638" s="60" t="str">
        <f t="shared" si="55"/>
        <v>130112</v>
      </c>
      <c r="B638" s="60">
        <f>COUNTIF($J$7:J638,J638)</f>
        <v>130</v>
      </c>
      <c r="C638" s="60" t="str">
        <f t="shared" si="56"/>
        <v>34112,4</v>
      </c>
      <c r="D638" s="60">
        <f>COUNTIF($K$7:K638,K638)</f>
        <v>34</v>
      </c>
      <c r="E638" s="91"/>
      <c r="F638" s="137">
        <v>44581.410763888889</v>
      </c>
      <c r="G638" s="141" t="s">
        <v>149</v>
      </c>
      <c r="H638" s="93" t="s">
        <v>377</v>
      </c>
      <c r="I638" s="161" t="s">
        <v>323</v>
      </c>
      <c r="J638" s="115">
        <v>112</v>
      </c>
      <c r="K638" s="108">
        <v>112.4</v>
      </c>
      <c r="L638" s="97"/>
      <c r="M638" s="117">
        <v>6465500</v>
      </c>
      <c r="N638" s="117"/>
      <c r="O638" s="111"/>
      <c r="P638" s="100" t="str">
        <f t="shared" si="57"/>
        <v>Piutang Usaha</v>
      </c>
      <c r="Q638" s="91"/>
      <c r="S638" s="112"/>
      <c r="T638" s="112"/>
      <c r="U638" s="113"/>
      <c r="V638" s="113"/>
      <c r="X638" s="102"/>
    </row>
    <row r="639" spans="1:24" s="101" customFormat="1" hidden="1" x14ac:dyDescent="0.25">
      <c r="A639" s="60" t="str">
        <f t="shared" si="55"/>
        <v>131112</v>
      </c>
      <c r="B639" s="60">
        <f>COUNTIF($J$7:J639,J639)</f>
        <v>131</v>
      </c>
      <c r="C639" s="60" t="str">
        <f t="shared" si="56"/>
        <v>35112,4</v>
      </c>
      <c r="D639" s="60">
        <f>COUNTIF($K$7:K639,K639)</f>
        <v>35</v>
      </c>
      <c r="E639" s="91"/>
      <c r="F639" s="137">
        <v>44581.523611111108</v>
      </c>
      <c r="G639" s="141" t="s">
        <v>149</v>
      </c>
      <c r="H639" s="93" t="s">
        <v>378</v>
      </c>
      <c r="I639" s="161" t="s">
        <v>379</v>
      </c>
      <c r="J639" s="115">
        <v>112</v>
      </c>
      <c r="K639" s="108">
        <v>112.4</v>
      </c>
      <c r="L639" s="97"/>
      <c r="M639" s="117">
        <v>67968011</v>
      </c>
      <c r="N639" s="117"/>
      <c r="O639" s="111"/>
      <c r="P639" s="100" t="str">
        <f t="shared" si="57"/>
        <v>Piutang Usaha</v>
      </c>
      <c r="Q639" s="91"/>
      <c r="S639" s="112"/>
      <c r="T639" s="112"/>
      <c r="U639" s="113"/>
      <c r="V639" s="113"/>
      <c r="X639" s="102"/>
    </row>
    <row r="640" spans="1:24" s="101" customFormat="1" hidden="1" x14ac:dyDescent="0.25">
      <c r="A640" s="60" t="str">
        <f t="shared" si="55"/>
        <v>132112</v>
      </c>
      <c r="B640" s="60">
        <f>COUNTIF($J$7:J640,J640)</f>
        <v>132</v>
      </c>
      <c r="C640" s="60" t="str">
        <f t="shared" si="56"/>
        <v>10112,45</v>
      </c>
      <c r="D640" s="60">
        <f>COUNTIF($K$7:K640,K640)</f>
        <v>10</v>
      </c>
      <c r="E640" s="91"/>
      <c r="F640" s="137">
        <v>44581.582152777781</v>
      </c>
      <c r="G640" s="141" t="s">
        <v>149</v>
      </c>
      <c r="H640" s="93" t="s">
        <v>380</v>
      </c>
      <c r="I640" s="161" t="s">
        <v>381</v>
      </c>
      <c r="J640" s="115">
        <v>112</v>
      </c>
      <c r="K640" s="108">
        <v>112.45</v>
      </c>
      <c r="L640" s="97"/>
      <c r="M640" s="117">
        <v>7912550</v>
      </c>
      <c r="N640" s="117"/>
      <c r="O640" s="111"/>
      <c r="P640" s="100" t="str">
        <f t="shared" si="57"/>
        <v>Piutang Usaha</v>
      </c>
      <c r="Q640" s="91"/>
      <c r="S640" s="112"/>
      <c r="T640" s="112"/>
      <c r="U640" s="113"/>
      <c r="V640" s="113"/>
      <c r="X640" s="102"/>
    </row>
    <row r="641" spans="1:24" s="101" customFormat="1" hidden="1" x14ac:dyDescent="0.25">
      <c r="A641" s="60" t="str">
        <f t="shared" si="55"/>
        <v>133112</v>
      </c>
      <c r="B641" s="60">
        <f>COUNTIF($J$7:J641,J641)</f>
        <v>133</v>
      </c>
      <c r="C641" s="60" t="str">
        <f t="shared" si="56"/>
        <v>2112,68</v>
      </c>
      <c r="D641" s="60">
        <f>COUNTIF($K$7:K641,K641)</f>
        <v>2</v>
      </c>
      <c r="E641" s="91"/>
      <c r="F641" s="137">
        <v>44581.582152777781</v>
      </c>
      <c r="G641" s="141" t="s">
        <v>149</v>
      </c>
      <c r="H641" s="93" t="s">
        <v>382</v>
      </c>
      <c r="I641" s="161" t="s">
        <v>384</v>
      </c>
      <c r="J641" s="115">
        <v>112</v>
      </c>
      <c r="K641" s="120">
        <v>112.68</v>
      </c>
      <c r="L641" s="97"/>
      <c r="M641" s="117">
        <v>31686500</v>
      </c>
      <c r="N641" s="117"/>
      <c r="O641" s="111"/>
      <c r="P641" s="100" t="str">
        <f t="shared" si="57"/>
        <v>Piutang Usaha</v>
      </c>
      <c r="Q641" s="91"/>
      <c r="S641" s="112"/>
      <c r="T641" s="112"/>
      <c r="U641" s="113"/>
      <c r="V641" s="113"/>
      <c r="X641" s="102"/>
    </row>
    <row r="642" spans="1:24" s="101" customFormat="1" hidden="1" x14ac:dyDescent="0.25">
      <c r="A642" s="60" t="str">
        <f t="shared" si="55"/>
        <v>5512,03</v>
      </c>
      <c r="B642" s="60">
        <f>COUNTIF($J$7:J642,J642)</f>
        <v>5</v>
      </c>
      <c r="C642" s="60" t="str">
        <f t="shared" si="56"/>
        <v>0</v>
      </c>
      <c r="D642" s="60">
        <f>COUNTIF($K$7:K642,K642)</f>
        <v>0</v>
      </c>
      <c r="E642" s="91"/>
      <c r="F642" s="137">
        <v>44585.665601851855</v>
      </c>
      <c r="G642" s="116" t="s">
        <v>149</v>
      </c>
      <c r="H642" s="93" t="s">
        <v>385</v>
      </c>
      <c r="I642" s="161" t="s">
        <v>386</v>
      </c>
      <c r="J642" s="128">
        <v>512.03</v>
      </c>
      <c r="K642" s="108"/>
      <c r="L642" s="97">
        <v>250000</v>
      </c>
      <c r="M642" s="117"/>
      <c r="N642" s="117"/>
      <c r="O642" s="111"/>
      <c r="P642" s="100" t="str">
        <f t="shared" si="57"/>
        <v>Beban Gasoline Marketing (Bensin, Parkir, Tol)</v>
      </c>
      <c r="Q642" s="91"/>
      <c r="S642" s="112"/>
      <c r="T642" s="112"/>
      <c r="U642" s="113"/>
      <c r="V642" s="113"/>
      <c r="X642" s="102"/>
    </row>
    <row r="643" spans="1:24" s="101" customFormat="1" hidden="1" x14ac:dyDescent="0.25">
      <c r="A643" s="60" t="str">
        <f t="shared" si="55"/>
        <v>1610,01</v>
      </c>
      <c r="B643" s="60">
        <f>COUNTIF($J$7:J643,J643)</f>
        <v>1</v>
      </c>
      <c r="C643" s="60" t="str">
        <f t="shared" si="56"/>
        <v>0</v>
      </c>
      <c r="D643" s="60">
        <f>COUNTIF($K$7:K643,K643)</f>
        <v>0</v>
      </c>
      <c r="E643" s="91"/>
      <c r="F643" s="137">
        <v>44585.665601851855</v>
      </c>
      <c r="G643" s="116" t="s">
        <v>149</v>
      </c>
      <c r="H643" s="93" t="s">
        <v>387</v>
      </c>
      <c r="I643" s="161" t="s">
        <v>388</v>
      </c>
      <c r="J643" s="115">
        <v>610.01</v>
      </c>
      <c r="K643" s="108"/>
      <c r="L643" s="97">
        <v>4000000</v>
      </c>
      <c r="M643" s="117"/>
      <c r="N643" s="117"/>
      <c r="O643" s="111"/>
      <c r="P643" s="100" t="str">
        <f t="shared" si="57"/>
        <v>Biaya Gaji, Upah &amp; Honorer</v>
      </c>
      <c r="Q643" s="91"/>
      <c r="S643" s="112"/>
      <c r="T643" s="112"/>
      <c r="U643" s="113"/>
      <c r="V643" s="113"/>
      <c r="X643" s="102"/>
    </row>
    <row r="644" spans="1:24" s="101" customFormat="1" hidden="1" x14ac:dyDescent="0.25">
      <c r="A644" s="60" t="str">
        <f t="shared" si="55"/>
        <v>16119</v>
      </c>
      <c r="B644" s="60">
        <f>COUNTIF($J$7:J644,J644)</f>
        <v>16</v>
      </c>
      <c r="C644" s="60" t="str">
        <f t="shared" si="56"/>
        <v>5119,02</v>
      </c>
      <c r="D644" s="60">
        <f>COUNTIF($K$7:K644,K644)</f>
        <v>5</v>
      </c>
      <c r="E644" s="91"/>
      <c r="F644" s="137">
        <v>44585.665613425925</v>
      </c>
      <c r="G644" s="116" t="s">
        <v>149</v>
      </c>
      <c r="H644" s="93" t="s">
        <v>389</v>
      </c>
      <c r="I644" s="161" t="s">
        <v>390</v>
      </c>
      <c r="J644" s="129">
        <v>119</v>
      </c>
      <c r="K644" s="108">
        <v>119.02</v>
      </c>
      <c r="L644" s="97">
        <v>2000000</v>
      </c>
      <c r="M644" s="117"/>
      <c r="N644" s="117"/>
      <c r="O644" s="111"/>
      <c r="P644" s="100" t="str">
        <f t="shared" si="57"/>
        <v>Uang Muka Biaya Pengiriman dan Perjalanan Dinas Marketing</v>
      </c>
      <c r="Q644" s="91"/>
      <c r="S644" s="112"/>
      <c r="T644" s="112"/>
      <c r="U644" s="113"/>
      <c r="V644" s="113"/>
      <c r="X644" s="102"/>
    </row>
    <row r="645" spans="1:24" s="101" customFormat="1" hidden="1" x14ac:dyDescent="0.25">
      <c r="A645" s="60" t="str">
        <f t="shared" si="55"/>
        <v>26220,03</v>
      </c>
      <c r="B645" s="60">
        <f>COUNTIF($J$7:J645,J645)</f>
        <v>26</v>
      </c>
      <c r="C645" s="60" t="str">
        <f t="shared" si="56"/>
        <v>0</v>
      </c>
      <c r="D645" s="60">
        <f>COUNTIF($K$7:K645,K645)</f>
        <v>0</v>
      </c>
      <c r="E645" s="91"/>
      <c r="F645" s="137">
        <v>44585.665613425925</v>
      </c>
      <c r="G645" s="116" t="s">
        <v>149</v>
      </c>
      <c r="H645" s="93" t="s">
        <v>391</v>
      </c>
      <c r="I645" s="161" t="s">
        <v>392</v>
      </c>
      <c r="J645" s="119">
        <v>220.03</v>
      </c>
      <c r="K645" s="108"/>
      <c r="L645" s="97">
        <v>132000</v>
      </c>
      <c r="M645" s="117"/>
      <c r="N645" s="117"/>
      <c r="O645" s="111"/>
      <c r="P645" s="100" t="str">
        <f t="shared" si="57"/>
        <v>Hutang BIaya</v>
      </c>
      <c r="Q645" s="91"/>
      <c r="S645" s="112"/>
      <c r="T645" s="112"/>
      <c r="U645" s="113"/>
      <c r="V645" s="113"/>
      <c r="X645" s="102"/>
    </row>
    <row r="646" spans="1:24" s="101" customFormat="1" hidden="1" x14ac:dyDescent="0.25">
      <c r="A646" s="60" t="str">
        <f t="shared" si="55"/>
        <v>23810,01</v>
      </c>
      <c r="B646" s="60">
        <f>COUNTIF($J$7:J646,J646)</f>
        <v>23</v>
      </c>
      <c r="C646" s="60" t="str">
        <f t="shared" si="56"/>
        <v>0</v>
      </c>
      <c r="D646" s="60">
        <f>COUNTIF($K$7:K646,K646)</f>
        <v>0</v>
      </c>
      <c r="E646" s="91"/>
      <c r="F646" s="137">
        <v>44585</v>
      </c>
      <c r="G646" s="116" t="s">
        <v>149</v>
      </c>
      <c r="H646" s="93" t="s">
        <v>391</v>
      </c>
      <c r="I646" s="161" t="s">
        <v>393</v>
      </c>
      <c r="J646" s="115">
        <v>810.01</v>
      </c>
      <c r="K646" s="108"/>
      <c r="L646" s="97">
        <f>6500+13000</f>
        <v>19500</v>
      </c>
      <c r="M646" s="117"/>
      <c r="N646" s="117"/>
      <c r="O646" s="111"/>
      <c r="P646" s="100" t="str">
        <f t="shared" si="57"/>
        <v>Biaya Admin Transfer dan Rek</v>
      </c>
      <c r="Q646" s="91"/>
      <c r="S646" s="112"/>
      <c r="T646" s="112"/>
      <c r="U646" s="113"/>
      <c r="V646" s="113"/>
      <c r="X646" s="102"/>
    </row>
    <row r="647" spans="1:24" s="101" customFormat="1" hidden="1" x14ac:dyDescent="0.25">
      <c r="A647" s="60" t="str">
        <f t="shared" ref="A647:A710" si="58">B647&amp;J647</f>
        <v>6512,03</v>
      </c>
      <c r="B647" s="60">
        <f>COUNTIF($J$7:J647,J647)</f>
        <v>6</v>
      </c>
      <c r="C647" s="60" t="str">
        <f t="shared" ref="C647:C710" si="59">D647&amp;K647</f>
        <v>0</v>
      </c>
      <c r="D647" s="60">
        <f>COUNTIF($K$7:K647,K647)</f>
        <v>0</v>
      </c>
      <c r="E647" s="91"/>
      <c r="F647" s="137">
        <v>44585.665613425925</v>
      </c>
      <c r="G647" s="116" t="s">
        <v>149</v>
      </c>
      <c r="H647" s="93" t="s">
        <v>394</v>
      </c>
      <c r="I647" s="161" t="s">
        <v>395</v>
      </c>
      <c r="J647" s="128">
        <v>512.03</v>
      </c>
      <c r="K647" s="108"/>
      <c r="L647" s="97">
        <v>1000000</v>
      </c>
      <c r="M647" s="117"/>
      <c r="N647" s="117"/>
      <c r="O647" s="111"/>
      <c r="P647" s="100" t="str">
        <f t="shared" ref="P647:P710" si="60">IF(J647=0,"-",+VLOOKUP(J647,DAF_AKUN,2,FALSE))</f>
        <v>Beban Gasoline Marketing (Bensin, Parkir, Tol)</v>
      </c>
      <c r="Q647" s="91"/>
      <c r="S647" s="112"/>
      <c r="T647" s="112"/>
      <c r="U647" s="113"/>
      <c r="V647" s="113"/>
      <c r="X647" s="102"/>
    </row>
    <row r="648" spans="1:24" s="101" customFormat="1" hidden="1" x14ac:dyDescent="0.25">
      <c r="A648" s="60" t="str">
        <f t="shared" si="58"/>
        <v>1511,01</v>
      </c>
      <c r="B648" s="60">
        <f>COUNTIF($J$7:J648,J648)</f>
        <v>1</v>
      </c>
      <c r="C648" s="60" t="str">
        <f t="shared" si="59"/>
        <v>0</v>
      </c>
      <c r="D648" s="60">
        <f>COUNTIF($K$7:K648,K648)</f>
        <v>0</v>
      </c>
      <c r="E648" s="91"/>
      <c r="F648" s="137">
        <v>44585.665659722225</v>
      </c>
      <c r="G648" s="116" t="s">
        <v>149</v>
      </c>
      <c r="H648" s="93" t="s">
        <v>396</v>
      </c>
      <c r="I648" s="161" t="s">
        <v>397</v>
      </c>
      <c r="J648" s="123">
        <v>511.01</v>
      </c>
      <c r="K648" s="108"/>
      <c r="L648" s="97">
        <v>161000</v>
      </c>
      <c r="M648" s="117"/>
      <c r="N648" s="117"/>
      <c r="O648" s="111"/>
      <c r="P648" s="100" t="str">
        <f t="shared" si="60"/>
        <v>Biaya Packing</v>
      </c>
      <c r="Q648" s="91"/>
      <c r="S648" s="112"/>
      <c r="T648" s="112"/>
      <c r="U648" s="113"/>
      <c r="V648" s="113"/>
      <c r="X648" s="102"/>
    </row>
    <row r="649" spans="1:24" s="101" customFormat="1" hidden="1" x14ac:dyDescent="0.25">
      <c r="A649" s="60" t="str">
        <f t="shared" si="58"/>
        <v>24810,01</v>
      </c>
      <c r="B649" s="60">
        <f>COUNTIF($J$7:J649,J649)</f>
        <v>24</v>
      </c>
      <c r="C649" s="60" t="str">
        <f t="shared" si="59"/>
        <v>0</v>
      </c>
      <c r="D649" s="60">
        <f>COUNTIF($K$7:K649,K649)</f>
        <v>0</v>
      </c>
      <c r="E649" s="91"/>
      <c r="F649" s="137">
        <v>44585</v>
      </c>
      <c r="G649" s="116" t="s">
        <v>149</v>
      </c>
      <c r="H649" s="93" t="s">
        <v>396</v>
      </c>
      <c r="I649" s="161" t="s">
        <v>282</v>
      </c>
      <c r="J649" s="115">
        <v>810.01</v>
      </c>
      <c r="K649" s="108"/>
      <c r="L649" s="97">
        <v>6500</v>
      </c>
      <c r="M649" s="117"/>
      <c r="N649" s="117"/>
      <c r="O649" s="111"/>
      <c r="P649" s="100" t="str">
        <f t="shared" si="60"/>
        <v>Biaya Admin Transfer dan Rek</v>
      </c>
      <c r="Q649" s="91"/>
      <c r="S649" s="112"/>
      <c r="T649" s="112"/>
      <c r="U649" s="113"/>
      <c r="V649" s="113"/>
      <c r="X649" s="102"/>
    </row>
    <row r="650" spans="1:24" s="101" customFormat="1" hidden="1" x14ac:dyDescent="0.25">
      <c r="A650" s="60" t="str">
        <f t="shared" si="58"/>
        <v>2610,01</v>
      </c>
      <c r="B650" s="60">
        <f>COUNTIF($J$7:J650,J650)</f>
        <v>2</v>
      </c>
      <c r="C650" s="60" t="str">
        <f t="shared" si="59"/>
        <v>0</v>
      </c>
      <c r="D650" s="60">
        <f>COUNTIF($K$7:K650,K650)</f>
        <v>0</v>
      </c>
      <c r="E650" s="91"/>
      <c r="F650" s="137">
        <v>44585.666666666664</v>
      </c>
      <c r="G650" s="116" t="s">
        <v>149</v>
      </c>
      <c r="H650" s="93" t="s">
        <v>398</v>
      </c>
      <c r="I650" s="161" t="s">
        <v>399</v>
      </c>
      <c r="J650" s="115">
        <v>610.01</v>
      </c>
      <c r="K650" s="108"/>
      <c r="L650" s="97">
        <v>66633917</v>
      </c>
      <c r="M650" s="117"/>
      <c r="N650" s="117"/>
      <c r="O650" s="111"/>
      <c r="P650" s="100" t="str">
        <f t="shared" si="60"/>
        <v>Biaya Gaji, Upah &amp; Honorer</v>
      </c>
      <c r="Q650" s="91"/>
      <c r="S650" s="112"/>
      <c r="T650" s="112"/>
      <c r="U650" s="113"/>
      <c r="V650" s="113"/>
      <c r="X650" s="102"/>
    </row>
    <row r="651" spans="1:24" s="101" customFormat="1" hidden="1" x14ac:dyDescent="0.25">
      <c r="A651" s="60" t="str">
        <f t="shared" si="58"/>
        <v>3610,01</v>
      </c>
      <c r="B651" s="60">
        <f>COUNTIF($J$7:J651,J651)</f>
        <v>3</v>
      </c>
      <c r="C651" s="60" t="str">
        <f t="shared" si="59"/>
        <v>0</v>
      </c>
      <c r="D651" s="60">
        <f>COUNTIF($K$7:K651,K651)</f>
        <v>0</v>
      </c>
      <c r="E651" s="91"/>
      <c r="F651" s="137">
        <v>44586.253472222219</v>
      </c>
      <c r="G651" s="116" t="s">
        <v>149</v>
      </c>
      <c r="H651" s="93" t="s">
        <v>400</v>
      </c>
      <c r="I651" s="161" t="s">
        <v>401</v>
      </c>
      <c r="J651" s="115">
        <v>610.01</v>
      </c>
      <c r="K651" s="108"/>
      <c r="L651" s="97">
        <v>9925300</v>
      </c>
      <c r="M651" s="117"/>
      <c r="N651" s="117"/>
      <c r="O651" s="111"/>
      <c r="P651" s="100" t="str">
        <f t="shared" si="60"/>
        <v>Biaya Gaji, Upah &amp; Honorer</v>
      </c>
      <c r="Q651" s="91"/>
      <c r="S651" s="112"/>
      <c r="T651" s="112"/>
      <c r="U651" s="113"/>
      <c r="V651" s="113"/>
      <c r="X651" s="102"/>
    </row>
    <row r="652" spans="1:24" s="101" customFormat="1" hidden="1" x14ac:dyDescent="0.25">
      <c r="A652" s="60" t="str">
        <f t="shared" si="58"/>
        <v>7512,03</v>
      </c>
      <c r="B652" s="60">
        <f>COUNTIF($J$7:J652,J652)</f>
        <v>7</v>
      </c>
      <c r="C652" s="60" t="str">
        <f t="shared" si="59"/>
        <v>0</v>
      </c>
      <c r="D652" s="60">
        <f>COUNTIF($K$7:K652,K652)</f>
        <v>0</v>
      </c>
      <c r="E652" s="91"/>
      <c r="F652" s="137">
        <v>44586.41988425926</v>
      </c>
      <c r="G652" s="116" t="s">
        <v>149</v>
      </c>
      <c r="H652" s="93" t="s">
        <v>402</v>
      </c>
      <c r="I652" s="161" t="s">
        <v>403</v>
      </c>
      <c r="J652" s="128">
        <v>512.03</v>
      </c>
      <c r="K652" s="108"/>
      <c r="L652" s="97">
        <v>360600</v>
      </c>
      <c r="M652" s="117"/>
      <c r="N652" s="117"/>
      <c r="O652" s="111"/>
      <c r="P652" s="100" t="str">
        <f t="shared" si="60"/>
        <v>Beban Gasoline Marketing (Bensin, Parkir, Tol)</v>
      </c>
      <c r="Q652" s="91"/>
      <c r="S652" s="112"/>
      <c r="T652" s="112"/>
      <c r="U652" s="113"/>
      <c r="V652" s="113"/>
      <c r="X652" s="102"/>
    </row>
    <row r="653" spans="1:24" s="101" customFormat="1" hidden="1" x14ac:dyDescent="0.25">
      <c r="A653" s="60" t="str">
        <f t="shared" si="58"/>
        <v>120111,01</v>
      </c>
      <c r="B653" s="60">
        <f>COUNTIF($J$7:J653,J653)</f>
        <v>120</v>
      </c>
      <c r="C653" s="60" t="str">
        <f t="shared" si="59"/>
        <v>0</v>
      </c>
      <c r="D653" s="60">
        <f>COUNTIF($K$7:K653,K653)</f>
        <v>0</v>
      </c>
      <c r="E653" s="91"/>
      <c r="F653" s="137">
        <v>44585.665601851855</v>
      </c>
      <c r="G653" s="116" t="s">
        <v>149</v>
      </c>
      <c r="H653" s="93" t="s">
        <v>385</v>
      </c>
      <c r="I653" s="161" t="s">
        <v>386</v>
      </c>
      <c r="J653" s="117">
        <v>111.01</v>
      </c>
      <c r="K653" s="166"/>
      <c r="L653" s="97"/>
      <c r="M653" s="117">
        <v>250000</v>
      </c>
      <c r="N653" s="117"/>
      <c r="O653" s="167"/>
      <c r="P653" s="100" t="str">
        <f t="shared" si="60"/>
        <v>BNI IDR 768</v>
      </c>
      <c r="Q653" s="91"/>
      <c r="S653" s="112"/>
      <c r="T653" s="112"/>
      <c r="U653" s="113"/>
      <c r="V653" s="113"/>
      <c r="X653" s="102"/>
    </row>
    <row r="654" spans="1:24" s="101" customFormat="1" hidden="1" x14ac:dyDescent="0.25">
      <c r="A654" s="60" t="str">
        <f t="shared" si="58"/>
        <v>121111,01</v>
      </c>
      <c r="B654" s="60">
        <f>COUNTIF($J$7:J654,J654)</f>
        <v>121</v>
      </c>
      <c r="C654" s="60" t="str">
        <f t="shared" si="59"/>
        <v>0</v>
      </c>
      <c r="D654" s="60">
        <f>COUNTIF($K$7:K654,K654)</f>
        <v>0</v>
      </c>
      <c r="E654" s="91"/>
      <c r="F654" s="137">
        <v>44585.665601851855</v>
      </c>
      <c r="G654" s="116" t="s">
        <v>149</v>
      </c>
      <c r="H654" s="93" t="s">
        <v>387</v>
      </c>
      <c r="I654" s="161" t="s">
        <v>388</v>
      </c>
      <c r="J654" s="117">
        <v>111.01</v>
      </c>
      <c r="K654" s="166"/>
      <c r="L654" s="97"/>
      <c r="M654" s="117">
        <v>4000000</v>
      </c>
      <c r="N654" s="117"/>
      <c r="O654" s="167"/>
      <c r="P654" s="100" t="str">
        <f t="shared" si="60"/>
        <v>BNI IDR 768</v>
      </c>
      <c r="Q654" s="91"/>
      <c r="S654" s="112"/>
      <c r="T654" s="112"/>
      <c r="U654" s="113"/>
      <c r="V654" s="113"/>
      <c r="X654" s="102"/>
    </row>
    <row r="655" spans="1:24" s="101" customFormat="1" hidden="1" x14ac:dyDescent="0.25">
      <c r="A655" s="60" t="str">
        <f t="shared" si="58"/>
        <v>122111,01</v>
      </c>
      <c r="B655" s="60">
        <f>COUNTIF($J$7:J655,J655)</f>
        <v>122</v>
      </c>
      <c r="C655" s="60" t="str">
        <f t="shared" si="59"/>
        <v>0</v>
      </c>
      <c r="D655" s="60">
        <f>COUNTIF($K$7:K655,K655)</f>
        <v>0</v>
      </c>
      <c r="E655" s="91"/>
      <c r="F655" s="137">
        <v>44585.665613425925</v>
      </c>
      <c r="G655" s="116" t="s">
        <v>149</v>
      </c>
      <c r="H655" s="93" t="s">
        <v>389</v>
      </c>
      <c r="I655" s="161" t="s">
        <v>390</v>
      </c>
      <c r="J655" s="117">
        <v>111.01</v>
      </c>
      <c r="K655" s="166"/>
      <c r="L655" s="97"/>
      <c r="M655" s="117">
        <v>2000000</v>
      </c>
      <c r="N655" s="117"/>
      <c r="O655" s="167"/>
      <c r="P655" s="100" t="str">
        <f t="shared" si="60"/>
        <v>BNI IDR 768</v>
      </c>
      <c r="Q655" s="91"/>
      <c r="S655" s="112"/>
      <c r="T655" s="112"/>
      <c r="U655" s="113"/>
      <c r="V655" s="113"/>
      <c r="X655" s="102"/>
    </row>
    <row r="656" spans="1:24" s="101" customFormat="1" hidden="1" x14ac:dyDescent="0.25">
      <c r="A656" s="60" t="str">
        <f t="shared" si="58"/>
        <v>123111,01</v>
      </c>
      <c r="B656" s="60">
        <f>COUNTIF($J$7:J656,J656)</f>
        <v>123</v>
      </c>
      <c r="C656" s="60" t="str">
        <f t="shared" si="59"/>
        <v>0</v>
      </c>
      <c r="D656" s="60">
        <f>COUNTIF($K$7:K656,K656)</f>
        <v>0</v>
      </c>
      <c r="E656" s="91"/>
      <c r="F656" s="137">
        <v>44585.665613425925</v>
      </c>
      <c r="G656" s="116" t="s">
        <v>149</v>
      </c>
      <c r="H656" s="93" t="s">
        <v>391</v>
      </c>
      <c r="I656" s="161" t="s">
        <v>392</v>
      </c>
      <c r="J656" s="117">
        <v>111.01</v>
      </c>
      <c r="K656" s="166"/>
      <c r="L656" s="97"/>
      <c r="M656" s="117">
        <v>132000</v>
      </c>
      <c r="N656" s="117"/>
      <c r="O656" s="167"/>
      <c r="P656" s="100" t="str">
        <f t="shared" si="60"/>
        <v>BNI IDR 768</v>
      </c>
      <c r="Q656" s="91"/>
      <c r="S656" s="112"/>
      <c r="T656" s="112"/>
      <c r="U656" s="113"/>
      <c r="V656" s="113"/>
      <c r="X656" s="102"/>
    </row>
    <row r="657" spans="1:24" s="101" customFormat="1" hidden="1" x14ac:dyDescent="0.25">
      <c r="A657" s="60" t="str">
        <f t="shared" si="58"/>
        <v>124111,01</v>
      </c>
      <c r="B657" s="60">
        <f>COUNTIF($J$7:J657,J657)</f>
        <v>124</v>
      </c>
      <c r="C657" s="60" t="str">
        <f t="shared" si="59"/>
        <v>0</v>
      </c>
      <c r="D657" s="60">
        <f>COUNTIF($K$7:K657,K657)</f>
        <v>0</v>
      </c>
      <c r="E657" s="91"/>
      <c r="F657" s="137">
        <v>44585</v>
      </c>
      <c r="G657" s="116" t="s">
        <v>149</v>
      </c>
      <c r="H657" s="93" t="s">
        <v>391</v>
      </c>
      <c r="I657" s="161" t="s">
        <v>282</v>
      </c>
      <c r="J657" s="117">
        <v>111.01</v>
      </c>
      <c r="K657" s="166"/>
      <c r="L657" s="97"/>
      <c r="M657" s="117">
        <v>6500</v>
      </c>
      <c r="N657" s="117"/>
      <c r="O657" s="167"/>
      <c r="P657" s="100" t="str">
        <f t="shared" si="60"/>
        <v>BNI IDR 768</v>
      </c>
      <c r="Q657" s="91"/>
      <c r="S657" s="112"/>
      <c r="T657" s="112"/>
      <c r="U657" s="113"/>
      <c r="V657" s="113"/>
      <c r="X657" s="102"/>
    </row>
    <row r="658" spans="1:24" s="101" customFormat="1" hidden="1" x14ac:dyDescent="0.25">
      <c r="A658" s="60" t="str">
        <f t="shared" si="58"/>
        <v>125111,01</v>
      </c>
      <c r="B658" s="60">
        <f>COUNTIF($J$7:J658,J658)</f>
        <v>125</v>
      </c>
      <c r="C658" s="60" t="str">
        <f t="shared" si="59"/>
        <v>0</v>
      </c>
      <c r="D658" s="60">
        <f>COUNTIF($K$7:K658,K658)</f>
        <v>0</v>
      </c>
      <c r="E658" s="91"/>
      <c r="F658" s="137">
        <v>44585.665613425925</v>
      </c>
      <c r="G658" s="116" t="s">
        <v>149</v>
      </c>
      <c r="H658" s="93" t="s">
        <v>394</v>
      </c>
      <c r="I658" s="161" t="s">
        <v>395</v>
      </c>
      <c r="J658" s="117">
        <v>111.01</v>
      </c>
      <c r="K658" s="166"/>
      <c r="L658" s="97"/>
      <c r="M658" s="117">
        <v>1000000</v>
      </c>
      <c r="N658" s="117"/>
      <c r="O658" s="167"/>
      <c r="P658" s="100" t="str">
        <f t="shared" si="60"/>
        <v>BNI IDR 768</v>
      </c>
      <c r="Q658" s="91"/>
      <c r="S658" s="112"/>
      <c r="T658" s="112"/>
      <c r="U658" s="113"/>
      <c r="V658" s="113"/>
      <c r="X658" s="102"/>
    </row>
    <row r="659" spans="1:24" s="101" customFormat="1" hidden="1" x14ac:dyDescent="0.25">
      <c r="A659" s="60" t="str">
        <f t="shared" si="58"/>
        <v>126111,01</v>
      </c>
      <c r="B659" s="60">
        <f>COUNTIF($J$7:J659,J659)</f>
        <v>126</v>
      </c>
      <c r="C659" s="60" t="str">
        <f t="shared" si="59"/>
        <v>0</v>
      </c>
      <c r="D659" s="60">
        <f>COUNTIF($K$7:K659,K659)</f>
        <v>0</v>
      </c>
      <c r="E659" s="91"/>
      <c r="F659" s="137">
        <v>44585.665659722225</v>
      </c>
      <c r="G659" s="116" t="s">
        <v>149</v>
      </c>
      <c r="H659" s="93" t="s">
        <v>396</v>
      </c>
      <c r="I659" s="161" t="s">
        <v>404</v>
      </c>
      <c r="J659" s="117">
        <v>111.01</v>
      </c>
      <c r="K659" s="166"/>
      <c r="L659" s="97"/>
      <c r="M659" s="117">
        <v>161000</v>
      </c>
      <c r="N659" s="117"/>
      <c r="O659" s="167"/>
      <c r="P659" s="100" t="str">
        <f t="shared" si="60"/>
        <v>BNI IDR 768</v>
      </c>
      <c r="Q659" s="91"/>
      <c r="S659" s="112"/>
      <c r="T659" s="112"/>
      <c r="U659" s="113"/>
      <c r="V659" s="113"/>
      <c r="X659" s="102"/>
    </row>
    <row r="660" spans="1:24" s="101" customFormat="1" hidden="1" x14ac:dyDescent="0.25">
      <c r="A660" s="60" t="str">
        <f t="shared" si="58"/>
        <v>127111,01</v>
      </c>
      <c r="B660" s="60">
        <f>COUNTIF($J$7:J660,J660)</f>
        <v>127</v>
      </c>
      <c r="C660" s="60" t="str">
        <f t="shared" si="59"/>
        <v>0</v>
      </c>
      <c r="D660" s="60">
        <f>COUNTIF($K$7:K660,K660)</f>
        <v>0</v>
      </c>
      <c r="E660" s="91"/>
      <c r="F660" s="137">
        <v>44585</v>
      </c>
      <c r="G660" s="116" t="s">
        <v>149</v>
      </c>
      <c r="H660" s="93" t="s">
        <v>396</v>
      </c>
      <c r="I660" s="161" t="s">
        <v>282</v>
      </c>
      <c r="J660" s="117">
        <v>111.01</v>
      </c>
      <c r="K660" s="166"/>
      <c r="L660" s="97"/>
      <c r="M660" s="117">
        <v>6500</v>
      </c>
      <c r="N660" s="117"/>
      <c r="O660" s="167"/>
      <c r="P660" s="100" t="str">
        <f t="shared" si="60"/>
        <v>BNI IDR 768</v>
      </c>
      <c r="Q660" s="91"/>
      <c r="S660" s="112"/>
      <c r="T660" s="112"/>
      <c r="U660" s="113"/>
      <c r="V660" s="113"/>
      <c r="X660" s="102"/>
    </row>
    <row r="661" spans="1:24" s="101" customFormat="1" hidden="1" x14ac:dyDescent="0.25">
      <c r="A661" s="60" t="str">
        <f t="shared" si="58"/>
        <v>128111,01</v>
      </c>
      <c r="B661" s="60">
        <f>COUNTIF($J$7:J661,J661)</f>
        <v>128</v>
      </c>
      <c r="C661" s="60" t="str">
        <f t="shared" si="59"/>
        <v>0</v>
      </c>
      <c r="D661" s="60">
        <f>COUNTIF($K$7:K661,K661)</f>
        <v>0</v>
      </c>
      <c r="E661" s="91"/>
      <c r="F661" s="137">
        <v>44585.666666666664</v>
      </c>
      <c r="G661" s="116" t="s">
        <v>149</v>
      </c>
      <c r="H661" s="93" t="s">
        <v>398</v>
      </c>
      <c r="I661" s="161" t="s">
        <v>399</v>
      </c>
      <c r="J661" s="117">
        <v>111.01</v>
      </c>
      <c r="K661" s="166"/>
      <c r="L661" s="97"/>
      <c r="M661" s="117">
        <v>66633917</v>
      </c>
      <c r="N661" s="117"/>
      <c r="O661" s="167"/>
      <c r="P661" s="100" t="str">
        <f t="shared" si="60"/>
        <v>BNI IDR 768</v>
      </c>
      <c r="Q661" s="91"/>
      <c r="S661" s="112"/>
      <c r="T661" s="112"/>
      <c r="U661" s="113"/>
      <c r="V661" s="113"/>
      <c r="X661" s="102"/>
    </row>
    <row r="662" spans="1:24" s="101" customFormat="1" hidden="1" x14ac:dyDescent="0.25">
      <c r="A662" s="60" t="str">
        <f t="shared" si="58"/>
        <v>129111,01</v>
      </c>
      <c r="B662" s="60">
        <f>COUNTIF($J$7:J662,J662)</f>
        <v>129</v>
      </c>
      <c r="C662" s="60" t="str">
        <f t="shared" si="59"/>
        <v>0</v>
      </c>
      <c r="D662" s="60">
        <f>COUNTIF($K$7:K662,K662)</f>
        <v>0</v>
      </c>
      <c r="E662" s="91"/>
      <c r="F662" s="137">
        <v>44586.253472222219</v>
      </c>
      <c r="G662" s="116" t="s">
        <v>149</v>
      </c>
      <c r="H662" s="93" t="s">
        <v>400</v>
      </c>
      <c r="I662" s="161" t="s">
        <v>401</v>
      </c>
      <c r="J662" s="117">
        <v>111.01</v>
      </c>
      <c r="K662" s="166"/>
      <c r="L662" s="97"/>
      <c r="M662" s="117">
        <v>9925300</v>
      </c>
      <c r="N662" s="117"/>
      <c r="O662" s="167"/>
      <c r="P662" s="100" t="str">
        <f t="shared" si="60"/>
        <v>BNI IDR 768</v>
      </c>
      <c r="Q662" s="91"/>
      <c r="S662" s="112"/>
      <c r="T662" s="112"/>
      <c r="U662" s="113"/>
      <c r="V662" s="113"/>
      <c r="X662" s="102"/>
    </row>
    <row r="663" spans="1:24" s="101" customFormat="1" hidden="1" x14ac:dyDescent="0.25">
      <c r="A663" s="60" t="str">
        <f t="shared" si="58"/>
        <v>130111,01</v>
      </c>
      <c r="B663" s="60">
        <f>COUNTIF($J$7:J663,J663)</f>
        <v>130</v>
      </c>
      <c r="C663" s="60" t="str">
        <f t="shared" si="59"/>
        <v>0</v>
      </c>
      <c r="D663" s="60">
        <f>COUNTIF($K$7:K663,K663)</f>
        <v>0</v>
      </c>
      <c r="E663" s="91"/>
      <c r="F663" s="137">
        <v>44586.41988425926</v>
      </c>
      <c r="G663" s="116" t="s">
        <v>149</v>
      </c>
      <c r="H663" s="93" t="s">
        <v>402</v>
      </c>
      <c r="I663" s="161" t="s">
        <v>403</v>
      </c>
      <c r="J663" s="117">
        <v>111.01</v>
      </c>
      <c r="K663" s="166"/>
      <c r="L663" s="97"/>
      <c r="M663" s="117">
        <v>360600</v>
      </c>
      <c r="N663" s="117"/>
      <c r="O663" s="167"/>
      <c r="P663" s="100" t="str">
        <f t="shared" si="60"/>
        <v>BNI IDR 768</v>
      </c>
      <c r="Q663" s="91"/>
      <c r="S663" s="112"/>
      <c r="T663" s="112"/>
      <c r="U663" s="113"/>
      <c r="V663" s="113"/>
      <c r="X663" s="102"/>
    </row>
    <row r="664" spans="1:24" s="101" customFormat="1" hidden="1" x14ac:dyDescent="0.25">
      <c r="A664" s="60" t="str">
        <f t="shared" si="58"/>
        <v>131111,01</v>
      </c>
      <c r="B664" s="60">
        <f>COUNTIF($J$7:J664,J664)</f>
        <v>131</v>
      </c>
      <c r="C664" s="60" t="str">
        <f t="shared" si="59"/>
        <v>0</v>
      </c>
      <c r="D664" s="60">
        <f>COUNTIF($K$7:K664,K664)</f>
        <v>0</v>
      </c>
      <c r="E664" s="91"/>
      <c r="F664" s="137">
        <v>44587.765474537038</v>
      </c>
      <c r="G664" s="116" t="s">
        <v>149</v>
      </c>
      <c r="H664" s="93" t="s">
        <v>405</v>
      </c>
      <c r="I664" s="161" t="s">
        <v>406</v>
      </c>
      <c r="J664" s="117">
        <v>111.01</v>
      </c>
      <c r="K664" s="166"/>
      <c r="L664" s="97">
        <v>16937500</v>
      </c>
      <c r="M664" s="117"/>
      <c r="N664" s="117"/>
      <c r="O664" s="167"/>
      <c r="P664" s="100" t="str">
        <f t="shared" si="60"/>
        <v>BNI IDR 768</v>
      </c>
      <c r="Q664" s="91"/>
      <c r="S664" s="112"/>
      <c r="T664" s="112"/>
      <c r="U664" s="113"/>
      <c r="V664" s="113"/>
      <c r="X664" s="102"/>
    </row>
    <row r="665" spans="1:24" s="101" customFormat="1" hidden="1" x14ac:dyDescent="0.25">
      <c r="A665" s="60" t="str">
        <f t="shared" si="58"/>
        <v>132111,01</v>
      </c>
      <c r="B665" s="60">
        <f>COUNTIF($J$7:J665,J665)</f>
        <v>132</v>
      </c>
      <c r="C665" s="60" t="str">
        <f t="shared" si="59"/>
        <v>0</v>
      </c>
      <c r="D665" s="60">
        <f>COUNTIF($K$7:K665,K665)</f>
        <v>0</v>
      </c>
      <c r="E665" s="91"/>
      <c r="F665" s="137">
        <v>44587.785312499997</v>
      </c>
      <c r="G665" s="116" t="s">
        <v>149</v>
      </c>
      <c r="H665" s="93" t="s">
        <v>407</v>
      </c>
      <c r="I665" s="161" t="s">
        <v>408</v>
      </c>
      <c r="J665" s="117">
        <v>111.01</v>
      </c>
      <c r="K665" s="166"/>
      <c r="L665" s="97">
        <v>31000</v>
      </c>
      <c r="M665" s="117"/>
      <c r="N665" s="117"/>
      <c r="O665" s="167"/>
      <c r="P665" s="100" t="str">
        <f t="shared" si="60"/>
        <v>BNI IDR 768</v>
      </c>
      <c r="Q665" s="91"/>
      <c r="S665" s="112"/>
      <c r="T665" s="112"/>
      <c r="U665" s="113"/>
      <c r="V665" s="113"/>
      <c r="X665" s="102"/>
    </row>
    <row r="666" spans="1:24" s="101" customFormat="1" hidden="1" x14ac:dyDescent="0.25">
      <c r="A666" s="60" t="str">
        <f t="shared" si="58"/>
        <v>133111,01</v>
      </c>
      <c r="B666" s="60">
        <f>COUNTIF($J$7:J666,J666)</f>
        <v>133</v>
      </c>
      <c r="C666" s="60" t="str">
        <f t="shared" si="59"/>
        <v>0</v>
      </c>
      <c r="D666" s="60">
        <f>COUNTIF($K$7:K666,K666)</f>
        <v>0</v>
      </c>
      <c r="E666" s="91"/>
      <c r="F666" s="137">
        <v>44588.45857638889</v>
      </c>
      <c r="G666" s="116" t="s">
        <v>149</v>
      </c>
      <c r="H666" s="93" t="s">
        <v>409</v>
      </c>
      <c r="I666" s="161" t="s">
        <v>410</v>
      </c>
      <c r="J666" s="117">
        <v>111.01</v>
      </c>
      <c r="K666" s="166"/>
      <c r="L666" s="97">
        <v>39855312</v>
      </c>
      <c r="M666" s="117"/>
      <c r="N666" s="117"/>
      <c r="O666" s="167"/>
      <c r="P666" s="100" t="str">
        <f t="shared" si="60"/>
        <v>BNI IDR 768</v>
      </c>
      <c r="Q666" s="91"/>
      <c r="S666" s="112"/>
      <c r="T666" s="112"/>
      <c r="U666" s="113"/>
      <c r="V666" s="113"/>
      <c r="X666" s="102"/>
    </row>
    <row r="667" spans="1:24" s="101" customFormat="1" hidden="1" x14ac:dyDescent="0.25">
      <c r="A667" s="60" t="str">
        <f t="shared" si="58"/>
        <v>134112</v>
      </c>
      <c r="B667" s="60">
        <f>COUNTIF($J$7:J667,J667)</f>
        <v>134</v>
      </c>
      <c r="C667" s="60" t="str">
        <f t="shared" si="59"/>
        <v>1112,62</v>
      </c>
      <c r="D667" s="60">
        <f>COUNTIF($K$7:K667,K667)</f>
        <v>1</v>
      </c>
      <c r="E667" s="91"/>
      <c r="F667" s="137">
        <v>44587.765474537038</v>
      </c>
      <c r="G667" s="141" t="s">
        <v>149</v>
      </c>
      <c r="H667" s="93" t="s">
        <v>405</v>
      </c>
      <c r="I667" s="161" t="s">
        <v>406</v>
      </c>
      <c r="J667" s="115">
        <v>112</v>
      </c>
      <c r="K667" s="120">
        <v>112.62</v>
      </c>
      <c r="L667" s="97"/>
      <c r="M667" s="117">
        <v>16937500</v>
      </c>
      <c r="N667" s="117"/>
      <c r="O667" s="167"/>
      <c r="P667" s="100" t="str">
        <f t="shared" si="60"/>
        <v>Piutang Usaha</v>
      </c>
      <c r="Q667" s="91"/>
      <c r="S667" s="112"/>
      <c r="T667" s="112"/>
      <c r="U667" s="113"/>
      <c r="V667" s="113"/>
      <c r="X667" s="102"/>
    </row>
    <row r="668" spans="1:24" s="101" customFormat="1" hidden="1" x14ac:dyDescent="0.25">
      <c r="A668" s="60" t="str">
        <f t="shared" si="58"/>
        <v>17119</v>
      </c>
      <c r="B668" s="60">
        <f>COUNTIF($J$7:J668,J668)</f>
        <v>17</v>
      </c>
      <c r="C668" s="60" t="str">
        <f t="shared" si="59"/>
        <v>4119,07</v>
      </c>
      <c r="D668" s="60">
        <f>COUNTIF($K$7:K668,K668)</f>
        <v>4</v>
      </c>
      <c r="E668" s="91"/>
      <c r="F668" s="137">
        <v>44587.785312499997</v>
      </c>
      <c r="G668" s="116" t="s">
        <v>149</v>
      </c>
      <c r="H668" s="93" t="s">
        <v>407</v>
      </c>
      <c r="I668" s="161" t="s">
        <v>408</v>
      </c>
      <c r="J668" s="129">
        <v>119</v>
      </c>
      <c r="K668" s="120">
        <v>119.07</v>
      </c>
      <c r="L668" s="97"/>
      <c r="M668" s="117">
        <v>31000</v>
      </c>
      <c r="N668" s="117"/>
      <c r="O668" s="167"/>
      <c r="P668" s="100" t="str">
        <f t="shared" si="60"/>
        <v>Uang Muka Biaya Pengiriman dan Perjalanan Dinas Marketing</v>
      </c>
      <c r="Q668" s="91"/>
      <c r="S668" s="112"/>
      <c r="T668" s="112"/>
      <c r="U668" s="113"/>
      <c r="V668" s="113"/>
      <c r="X668" s="102"/>
    </row>
    <row r="669" spans="1:24" s="101" customFormat="1" hidden="1" x14ac:dyDescent="0.25">
      <c r="A669" s="60" t="str">
        <f t="shared" si="58"/>
        <v>135112</v>
      </c>
      <c r="B669" s="60">
        <f>COUNTIF($J$7:J669,J669)</f>
        <v>135</v>
      </c>
      <c r="C669" s="60" t="str">
        <f t="shared" si="59"/>
        <v>36112,4</v>
      </c>
      <c r="D669" s="60">
        <f>COUNTIF($K$7:K669,K669)</f>
        <v>36</v>
      </c>
      <c r="E669" s="91"/>
      <c r="F669" s="137">
        <v>44588.45857638889</v>
      </c>
      <c r="G669" s="141" t="s">
        <v>149</v>
      </c>
      <c r="H669" s="93" t="s">
        <v>409</v>
      </c>
      <c r="I669" s="161" t="s">
        <v>410</v>
      </c>
      <c r="J669" s="115">
        <v>112</v>
      </c>
      <c r="K669" s="120">
        <v>112.4</v>
      </c>
      <c r="L669" s="97"/>
      <c r="M669" s="117">
        <v>39855312</v>
      </c>
      <c r="N669" s="117"/>
      <c r="O669" s="167"/>
      <c r="P669" s="100" t="str">
        <f t="shared" si="60"/>
        <v>Piutang Usaha</v>
      </c>
      <c r="Q669" s="91"/>
      <c r="S669" s="112"/>
      <c r="T669" s="112"/>
      <c r="U669" s="113"/>
      <c r="V669" s="113"/>
      <c r="X669" s="102"/>
    </row>
    <row r="670" spans="1:24" s="101" customFormat="1" ht="30" hidden="1" x14ac:dyDescent="0.25">
      <c r="A670" s="60" t="str">
        <f t="shared" si="58"/>
        <v>5610,15</v>
      </c>
      <c r="B670" s="60">
        <f>COUNTIF($J$7:J670,J670)</f>
        <v>5</v>
      </c>
      <c r="C670" s="60" t="str">
        <f t="shared" si="59"/>
        <v>0</v>
      </c>
      <c r="D670" s="60">
        <f>COUNTIF($K$7:K670,K670)</f>
        <v>0</v>
      </c>
      <c r="E670" s="91"/>
      <c r="F670" s="137">
        <v>44588.534166666665</v>
      </c>
      <c r="G670" s="116" t="s">
        <v>149</v>
      </c>
      <c r="H670" s="93" t="s">
        <v>411</v>
      </c>
      <c r="I670" s="168" t="s">
        <v>412</v>
      </c>
      <c r="J670" s="123">
        <v>610.15</v>
      </c>
      <c r="K670" s="166"/>
      <c r="L670" s="97">
        <v>1000000</v>
      </c>
      <c r="M670" s="117"/>
      <c r="N670" s="117"/>
      <c r="O670" s="167"/>
      <c r="P670" s="100" t="str">
        <f t="shared" si="60"/>
        <v>Biaya Pemeliharaan Lingkungan (Keamanan dan Kebersihan)</v>
      </c>
      <c r="Q670" s="91"/>
      <c r="S670" s="112"/>
      <c r="T670" s="112"/>
      <c r="U670" s="113"/>
      <c r="V670" s="113"/>
      <c r="X670" s="102"/>
    </row>
    <row r="671" spans="1:24" s="101" customFormat="1" hidden="1" x14ac:dyDescent="0.25">
      <c r="A671" s="60" t="str">
        <f t="shared" si="58"/>
        <v>25810,01</v>
      </c>
      <c r="B671" s="60">
        <f>COUNTIF($J$7:J671,J671)</f>
        <v>25</v>
      </c>
      <c r="C671" s="60" t="str">
        <f t="shared" si="59"/>
        <v>0</v>
      </c>
      <c r="D671" s="60">
        <f>COUNTIF($K$7:K671,K671)</f>
        <v>0</v>
      </c>
      <c r="E671" s="91"/>
      <c r="F671" s="137">
        <v>44588</v>
      </c>
      <c r="G671" s="116" t="s">
        <v>149</v>
      </c>
      <c r="H671" s="93" t="s">
        <v>411</v>
      </c>
      <c r="I671" s="161" t="s">
        <v>282</v>
      </c>
      <c r="J671" s="117">
        <v>810.01</v>
      </c>
      <c r="K671" s="166"/>
      <c r="L671" s="97">
        <v>6500</v>
      </c>
      <c r="M671" s="117"/>
      <c r="N671" s="117"/>
      <c r="O671" s="167"/>
      <c r="P671" s="100" t="str">
        <f t="shared" si="60"/>
        <v>Biaya Admin Transfer dan Rek</v>
      </c>
      <c r="Q671" s="91"/>
      <c r="S671" s="112"/>
      <c r="T671" s="112"/>
      <c r="U671" s="113"/>
      <c r="V671" s="113"/>
      <c r="X671" s="102"/>
    </row>
    <row r="672" spans="1:24" s="101" customFormat="1" hidden="1" x14ac:dyDescent="0.25">
      <c r="A672" s="60" t="str">
        <f t="shared" si="58"/>
        <v>18119</v>
      </c>
      <c r="B672" s="60">
        <f>COUNTIF($J$7:J672,J672)</f>
        <v>18</v>
      </c>
      <c r="C672" s="60" t="str">
        <f t="shared" si="59"/>
        <v>6119,01</v>
      </c>
      <c r="D672" s="60">
        <f>COUNTIF($K$7:K672,K672)</f>
        <v>6</v>
      </c>
      <c r="E672" s="91"/>
      <c r="F672" s="137">
        <v>44588.534178240741</v>
      </c>
      <c r="G672" s="116" t="s">
        <v>149</v>
      </c>
      <c r="H672" s="93" t="s">
        <v>413</v>
      </c>
      <c r="I672" s="161" t="s">
        <v>372</v>
      </c>
      <c r="J672" s="129">
        <v>119</v>
      </c>
      <c r="K672" s="108">
        <v>119.01</v>
      </c>
      <c r="L672" s="97">
        <v>1000000</v>
      </c>
      <c r="M672" s="117"/>
      <c r="N672" s="117"/>
      <c r="O672" s="167"/>
      <c r="P672" s="100" t="str">
        <f t="shared" si="60"/>
        <v>Uang Muka Biaya Pengiriman dan Perjalanan Dinas Marketing</v>
      </c>
      <c r="Q672" s="91"/>
      <c r="S672" s="112"/>
      <c r="T672" s="112"/>
      <c r="U672" s="113"/>
      <c r="V672" s="113"/>
      <c r="X672" s="102"/>
    </row>
    <row r="673" spans="1:24" s="101" customFormat="1" hidden="1" x14ac:dyDescent="0.25">
      <c r="A673" s="60" t="str">
        <f t="shared" si="58"/>
        <v>134111,01</v>
      </c>
      <c r="B673" s="60">
        <f>COUNTIF($J$7:J673,J673)</f>
        <v>134</v>
      </c>
      <c r="C673" s="60" t="str">
        <f t="shared" si="59"/>
        <v>0</v>
      </c>
      <c r="D673" s="60">
        <f>COUNTIF($K$7:K673,K673)</f>
        <v>0</v>
      </c>
      <c r="E673" s="91"/>
      <c r="F673" s="137">
        <v>44588.534166666665</v>
      </c>
      <c r="G673" s="116" t="s">
        <v>149</v>
      </c>
      <c r="H673" s="93" t="s">
        <v>411</v>
      </c>
      <c r="I673" s="161" t="s">
        <v>414</v>
      </c>
      <c r="J673" s="117">
        <v>111.01</v>
      </c>
      <c r="K673" s="166"/>
      <c r="L673" s="97"/>
      <c r="M673" s="117">
        <v>1000000</v>
      </c>
      <c r="N673" s="117"/>
      <c r="O673" s="167"/>
      <c r="P673" s="100" t="str">
        <f t="shared" si="60"/>
        <v>BNI IDR 768</v>
      </c>
      <c r="Q673" s="91"/>
      <c r="S673" s="112"/>
      <c r="T673" s="112"/>
      <c r="U673" s="113"/>
      <c r="V673" s="113"/>
      <c r="X673" s="102"/>
    </row>
    <row r="674" spans="1:24" s="101" customFormat="1" hidden="1" x14ac:dyDescent="0.25">
      <c r="A674" s="60" t="str">
        <f t="shared" si="58"/>
        <v>135111,01</v>
      </c>
      <c r="B674" s="60">
        <f>COUNTIF($J$7:J674,J674)</f>
        <v>135</v>
      </c>
      <c r="C674" s="60" t="str">
        <f t="shared" si="59"/>
        <v>0</v>
      </c>
      <c r="D674" s="60">
        <f>COUNTIF($K$7:K674,K674)</f>
        <v>0</v>
      </c>
      <c r="E674" s="91"/>
      <c r="F674" s="137">
        <v>44588</v>
      </c>
      <c r="G674" s="116" t="s">
        <v>149</v>
      </c>
      <c r="H674" s="93" t="s">
        <v>411</v>
      </c>
      <c r="I674" s="161" t="s">
        <v>282</v>
      </c>
      <c r="J674" s="117">
        <v>111.01</v>
      </c>
      <c r="K674" s="166"/>
      <c r="L674" s="97"/>
      <c r="M674" s="117">
        <v>6500</v>
      </c>
      <c r="N674" s="117"/>
      <c r="O674" s="167"/>
      <c r="P674" s="100" t="str">
        <f t="shared" si="60"/>
        <v>BNI IDR 768</v>
      </c>
      <c r="Q674" s="91"/>
      <c r="S674" s="112"/>
      <c r="T674" s="112"/>
      <c r="U674" s="113"/>
      <c r="V674" s="113"/>
      <c r="X674" s="102"/>
    </row>
    <row r="675" spans="1:24" s="101" customFormat="1" hidden="1" x14ac:dyDescent="0.25">
      <c r="A675" s="60" t="str">
        <f t="shared" si="58"/>
        <v>136111,01</v>
      </c>
      <c r="B675" s="60">
        <f>COUNTIF($J$7:J675,J675)</f>
        <v>136</v>
      </c>
      <c r="C675" s="60" t="str">
        <f t="shared" si="59"/>
        <v>0</v>
      </c>
      <c r="D675" s="60">
        <f>COUNTIF($K$7:K675,K675)</f>
        <v>0</v>
      </c>
      <c r="E675" s="91"/>
      <c r="F675" s="137">
        <v>44588.534178240741</v>
      </c>
      <c r="G675" s="116" t="s">
        <v>149</v>
      </c>
      <c r="H675" s="93" t="s">
        <v>413</v>
      </c>
      <c r="I675" s="161" t="s">
        <v>372</v>
      </c>
      <c r="J675" s="117">
        <v>111.01</v>
      </c>
      <c r="K675" s="166"/>
      <c r="L675" s="97"/>
      <c r="M675" s="117">
        <v>1000000</v>
      </c>
      <c r="N675" s="117"/>
      <c r="O675" s="167"/>
      <c r="P675" s="100" t="str">
        <f t="shared" si="60"/>
        <v>BNI IDR 768</v>
      </c>
      <c r="Q675" s="91"/>
      <c r="S675" s="112"/>
      <c r="T675" s="112"/>
      <c r="U675" s="113"/>
      <c r="V675" s="113"/>
      <c r="X675" s="102"/>
    </row>
    <row r="676" spans="1:24" s="101" customFormat="1" hidden="1" x14ac:dyDescent="0.25">
      <c r="A676" s="60" t="str">
        <f t="shared" si="58"/>
        <v>137111,01</v>
      </c>
      <c r="B676" s="60">
        <f>COUNTIF($J$7:J676,J676)</f>
        <v>137</v>
      </c>
      <c r="C676" s="60" t="str">
        <f t="shared" si="59"/>
        <v>0</v>
      </c>
      <c r="D676" s="60">
        <f>COUNTIF($K$7:K676,K676)</f>
        <v>0</v>
      </c>
      <c r="E676" s="91"/>
      <c r="F676" s="137">
        <v>44588.576967592591</v>
      </c>
      <c r="G676" s="116" t="s">
        <v>149</v>
      </c>
      <c r="H676" s="93" t="s">
        <v>415</v>
      </c>
      <c r="I676" s="161" t="s">
        <v>381</v>
      </c>
      <c r="J676" s="117">
        <v>111.01</v>
      </c>
      <c r="K676" s="166"/>
      <c r="L676" s="97">
        <v>6957500</v>
      </c>
      <c r="M676" s="117"/>
      <c r="N676" s="117"/>
      <c r="O676" s="167"/>
      <c r="P676" s="100" t="str">
        <f t="shared" si="60"/>
        <v>BNI IDR 768</v>
      </c>
      <c r="Q676" s="91"/>
      <c r="S676" s="112"/>
      <c r="T676" s="112"/>
      <c r="U676" s="113"/>
      <c r="V676" s="113"/>
      <c r="X676" s="102"/>
    </row>
    <row r="677" spans="1:24" s="101" customFormat="1" hidden="1" x14ac:dyDescent="0.25">
      <c r="A677" s="60" t="str">
        <f t="shared" si="58"/>
        <v>138111,01</v>
      </c>
      <c r="B677" s="60">
        <f>COUNTIF($J$7:J677,J677)</f>
        <v>138</v>
      </c>
      <c r="C677" s="60" t="str">
        <f t="shared" si="59"/>
        <v>0</v>
      </c>
      <c r="D677" s="60">
        <f>COUNTIF($K$7:K677,K677)</f>
        <v>0</v>
      </c>
      <c r="E677" s="91"/>
      <c r="F677" s="137">
        <v>44588.576967592591</v>
      </c>
      <c r="G677" s="116" t="s">
        <v>149</v>
      </c>
      <c r="H677" s="93" t="s">
        <v>416</v>
      </c>
      <c r="I677" s="161" t="s">
        <v>417</v>
      </c>
      <c r="J677" s="117">
        <v>111.01</v>
      </c>
      <c r="K677" s="166"/>
      <c r="L677" s="97">
        <v>88437500</v>
      </c>
      <c r="M677" s="117"/>
      <c r="N677" s="117"/>
      <c r="O677" s="167"/>
      <c r="P677" s="100" t="str">
        <f t="shared" si="60"/>
        <v>BNI IDR 768</v>
      </c>
      <c r="Q677" s="91"/>
      <c r="S677" s="112"/>
      <c r="T677" s="112"/>
      <c r="U677" s="113"/>
      <c r="V677" s="113"/>
      <c r="X677" s="102"/>
    </row>
    <row r="678" spans="1:24" s="101" customFormat="1" hidden="1" x14ac:dyDescent="0.25">
      <c r="A678" s="60" t="str">
        <f t="shared" si="58"/>
        <v>136112</v>
      </c>
      <c r="B678" s="60">
        <f>COUNTIF($J$7:J678,J678)</f>
        <v>136</v>
      </c>
      <c r="C678" s="60" t="str">
        <f t="shared" si="59"/>
        <v>11112,45</v>
      </c>
      <c r="D678" s="60">
        <f>COUNTIF($K$7:K678,K678)</f>
        <v>11</v>
      </c>
      <c r="E678" s="91"/>
      <c r="F678" s="137">
        <v>44588.576967592591</v>
      </c>
      <c r="G678" s="141" t="s">
        <v>149</v>
      </c>
      <c r="H678" s="93" t="s">
        <v>415</v>
      </c>
      <c r="I678" s="161" t="s">
        <v>381</v>
      </c>
      <c r="J678" s="115">
        <v>112</v>
      </c>
      <c r="K678" s="120">
        <v>112.45</v>
      </c>
      <c r="L678" s="97"/>
      <c r="M678" s="117">
        <v>6957500</v>
      </c>
      <c r="N678" s="117"/>
      <c r="O678" s="167"/>
      <c r="P678" s="100" t="str">
        <f t="shared" si="60"/>
        <v>Piutang Usaha</v>
      </c>
      <c r="Q678" s="91"/>
      <c r="S678" s="112"/>
      <c r="T678" s="112"/>
      <c r="U678" s="113"/>
      <c r="V678" s="113"/>
      <c r="X678" s="102"/>
    </row>
    <row r="679" spans="1:24" s="101" customFormat="1" hidden="1" x14ac:dyDescent="0.25">
      <c r="A679" s="60" t="str">
        <f t="shared" si="58"/>
        <v>137112</v>
      </c>
      <c r="B679" s="60">
        <f>COUNTIF($J$7:J679,J679)</f>
        <v>137</v>
      </c>
      <c r="C679" s="60" t="str">
        <f t="shared" si="59"/>
        <v>12112,45</v>
      </c>
      <c r="D679" s="60">
        <f>COUNTIF($K$7:K679,K679)</f>
        <v>12</v>
      </c>
      <c r="E679" s="91"/>
      <c r="F679" s="137">
        <v>44588.576967592591</v>
      </c>
      <c r="G679" s="141" t="s">
        <v>149</v>
      </c>
      <c r="H679" s="93" t="s">
        <v>416</v>
      </c>
      <c r="I679" s="161" t="s">
        <v>417</v>
      </c>
      <c r="J679" s="115">
        <v>112</v>
      </c>
      <c r="K679" s="120">
        <v>112.45</v>
      </c>
      <c r="L679" s="97"/>
      <c r="M679" s="117">
        <v>88437500</v>
      </c>
      <c r="N679" s="117"/>
      <c r="O679" s="167"/>
      <c r="P679" s="100" t="str">
        <f t="shared" si="60"/>
        <v>Piutang Usaha</v>
      </c>
      <c r="Q679" s="91"/>
      <c r="S679" s="112"/>
      <c r="T679" s="112"/>
      <c r="U679" s="113"/>
      <c r="V679" s="113"/>
      <c r="X679" s="102"/>
    </row>
    <row r="680" spans="1:24" s="101" customFormat="1" hidden="1" x14ac:dyDescent="0.25">
      <c r="A680" s="60" t="str">
        <f t="shared" si="58"/>
        <v>117211,01</v>
      </c>
      <c r="B680" s="60">
        <f>COUNTIF($J$7:J680,J680)</f>
        <v>117</v>
      </c>
      <c r="C680" s="60" t="str">
        <f t="shared" si="59"/>
        <v>0</v>
      </c>
      <c r="D680" s="60">
        <f>COUNTIF($K$7:K680,K680)</f>
        <v>0</v>
      </c>
      <c r="E680" s="91"/>
      <c r="F680" s="137">
        <v>44588.830127314817</v>
      </c>
      <c r="G680" s="116" t="s">
        <v>149</v>
      </c>
      <c r="H680" s="93" t="s">
        <v>418</v>
      </c>
      <c r="I680" s="168" t="s">
        <v>419</v>
      </c>
      <c r="J680" s="117">
        <v>211.01</v>
      </c>
      <c r="K680" s="166"/>
      <c r="L680" s="97">
        <v>7105000</v>
      </c>
      <c r="M680" s="165"/>
      <c r="N680" s="165"/>
      <c r="O680" s="167"/>
      <c r="P680" s="100" t="str">
        <f t="shared" si="60"/>
        <v>Hutang Pajak PPN</v>
      </c>
      <c r="Q680" s="91"/>
      <c r="S680" s="112"/>
      <c r="T680" s="112"/>
      <c r="U680" s="113"/>
      <c r="V680" s="113"/>
      <c r="X680" s="102"/>
    </row>
    <row r="681" spans="1:24" s="101" customFormat="1" hidden="1" x14ac:dyDescent="0.25">
      <c r="A681" s="60" t="str">
        <f t="shared" si="58"/>
        <v>4211,03</v>
      </c>
      <c r="B681" s="60">
        <f>COUNTIF($J$7:J681,J681)</f>
        <v>4</v>
      </c>
      <c r="C681" s="60" t="str">
        <f t="shared" si="59"/>
        <v>0</v>
      </c>
      <c r="D681" s="60">
        <f>COUNTIF($K$7:K681,K681)</f>
        <v>0</v>
      </c>
      <c r="E681" s="91"/>
      <c r="F681" s="137">
        <v>44588.830127314817</v>
      </c>
      <c r="G681" s="116" t="s">
        <v>149</v>
      </c>
      <c r="H681" s="93" t="s">
        <v>418</v>
      </c>
      <c r="I681" s="168" t="s">
        <v>419</v>
      </c>
      <c r="J681" s="117">
        <v>211.03</v>
      </c>
      <c r="K681" s="166"/>
      <c r="L681" s="97">
        <v>5329000</v>
      </c>
      <c r="M681" s="165"/>
      <c r="N681" s="165"/>
      <c r="O681" s="167"/>
      <c r="P681" s="100" t="str">
        <f t="shared" si="60"/>
        <v>Hutang PPh 22</v>
      </c>
      <c r="Q681" s="91"/>
      <c r="S681" s="112"/>
      <c r="T681" s="112"/>
      <c r="U681" s="113"/>
      <c r="V681" s="113"/>
      <c r="X681" s="102"/>
    </row>
    <row r="682" spans="1:24" s="101" customFormat="1" hidden="1" x14ac:dyDescent="0.25">
      <c r="A682" s="60" t="str">
        <f t="shared" si="58"/>
        <v>2211,2</v>
      </c>
      <c r="B682" s="60">
        <f>COUNTIF($J$7:J682,J682)</f>
        <v>2</v>
      </c>
      <c r="C682" s="60" t="str">
        <f t="shared" si="59"/>
        <v>0</v>
      </c>
      <c r="D682" s="60">
        <f>COUNTIF($K$7:K682,K682)</f>
        <v>0</v>
      </c>
      <c r="E682" s="91"/>
      <c r="F682" s="137">
        <v>44588.830127314817</v>
      </c>
      <c r="G682" s="116" t="s">
        <v>149</v>
      </c>
      <c r="H682" s="93" t="s">
        <v>418</v>
      </c>
      <c r="I682" s="168" t="s">
        <v>419</v>
      </c>
      <c r="J682" s="117">
        <v>211.2</v>
      </c>
      <c r="K682" s="166"/>
      <c r="L682" s="97">
        <v>6459000</v>
      </c>
      <c r="M682" s="165"/>
      <c r="N682" s="165"/>
      <c r="O682" s="167"/>
      <c r="P682" s="100" t="str">
        <f t="shared" si="60"/>
        <v>Hutang Pajak Lainnya</v>
      </c>
      <c r="Q682" s="91"/>
      <c r="S682" s="112"/>
      <c r="T682" s="112"/>
      <c r="U682" s="113"/>
      <c r="V682" s="113"/>
      <c r="X682" s="102"/>
    </row>
    <row r="683" spans="1:24" s="101" customFormat="1" hidden="1" x14ac:dyDescent="0.25">
      <c r="A683" s="60" t="str">
        <f t="shared" si="58"/>
        <v>118211,01</v>
      </c>
      <c r="B683" s="60">
        <f>COUNTIF($J$7:J683,J683)</f>
        <v>118</v>
      </c>
      <c r="C683" s="60" t="str">
        <f t="shared" si="59"/>
        <v>0</v>
      </c>
      <c r="D683" s="60">
        <f>COUNTIF($K$7:K683,K683)</f>
        <v>0</v>
      </c>
      <c r="E683" s="91"/>
      <c r="F683" s="137">
        <v>44589.681875000002</v>
      </c>
      <c r="G683" s="116" t="s">
        <v>149</v>
      </c>
      <c r="H683" s="93" t="s">
        <v>420</v>
      </c>
      <c r="I683" s="161" t="s">
        <v>421</v>
      </c>
      <c r="J683" s="117">
        <v>211.01</v>
      </c>
      <c r="K683" s="166"/>
      <c r="L683" s="97">
        <v>220969335</v>
      </c>
      <c r="M683" s="117"/>
      <c r="N683" s="117"/>
      <c r="O683" s="167"/>
      <c r="P683" s="100" t="str">
        <f t="shared" si="60"/>
        <v>Hutang Pajak PPN</v>
      </c>
      <c r="Q683" s="91"/>
      <c r="S683" s="112"/>
      <c r="T683" s="112"/>
      <c r="U683" s="113"/>
      <c r="V683" s="113"/>
      <c r="X683" s="102"/>
    </row>
    <row r="684" spans="1:24" s="101" customFormat="1" hidden="1" x14ac:dyDescent="0.25">
      <c r="A684" s="60" t="str">
        <f t="shared" si="58"/>
        <v>1610,16</v>
      </c>
      <c r="B684" s="60">
        <f>COUNTIF($J$7:J684,J684)</f>
        <v>1</v>
      </c>
      <c r="C684" s="60" t="str">
        <f t="shared" si="59"/>
        <v>0</v>
      </c>
      <c r="D684" s="60">
        <f>COUNTIF($K$7:K684,K684)</f>
        <v>0</v>
      </c>
      <c r="E684" s="91"/>
      <c r="F684" s="137">
        <v>44589.686018518521</v>
      </c>
      <c r="G684" s="116" t="s">
        <v>149</v>
      </c>
      <c r="H684" s="93" t="s">
        <v>422</v>
      </c>
      <c r="I684" s="161" t="s">
        <v>423</v>
      </c>
      <c r="J684" s="123">
        <v>610.16</v>
      </c>
      <c r="K684" s="166"/>
      <c r="L684" s="97">
        <v>1800000</v>
      </c>
      <c r="M684" s="117"/>
      <c r="N684" s="117"/>
      <c r="O684" s="167"/>
      <c r="P684" s="100" t="str">
        <f t="shared" si="60"/>
        <v>Biaya Perizinan &amp; Legalitas</v>
      </c>
      <c r="Q684" s="91"/>
      <c r="S684" s="112"/>
      <c r="T684" s="112"/>
      <c r="U684" s="113"/>
      <c r="V684" s="113"/>
      <c r="X684" s="102"/>
    </row>
    <row r="685" spans="1:24" s="101" customFormat="1" hidden="1" x14ac:dyDescent="0.25">
      <c r="A685" s="60" t="str">
        <f t="shared" si="58"/>
        <v>139111,01</v>
      </c>
      <c r="B685" s="60">
        <f>COUNTIF($J$7:J685,J685)</f>
        <v>139</v>
      </c>
      <c r="C685" s="60" t="str">
        <f t="shared" si="59"/>
        <v>0</v>
      </c>
      <c r="D685" s="60">
        <f>COUNTIF($K$7:K685,K685)</f>
        <v>0</v>
      </c>
      <c r="E685" s="91"/>
      <c r="F685" s="137">
        <v>44588.830127314817</v>
      </c>
      <c r="G685" s="116" t="s">
        <v>149</v>
      </c>
      <c r="H685" s="93" t="s">
        <v>418</v>
      </c>
      <c r="I685" s="168" t="s">
        <v>419</v>
      </c>
      <c r="J685" s="117">
        <v>111.01</v>
      </c>
      <c r="K685" s="166"/>
      <c r="L685" s="97"/>
      <c r="M685" s="117">
        <v>18893000</v>
      </c>
      <c r="N685" s="117"/>
      <c r="O685" s="167"/>
      <c r="P685" s="100" t="str">
        <f t="shared" si="60"/>
        <v>BNI IDR 768</v>
      </c>
      <c r="Q685" s="91"/>
      <c r="S685" s="112"/>
      <c r="T685" s="112"/>
      <c r="U685" s="113"/>
      <c r="V685" s="113"/>
      <c r="X685" s="102"/>
    </row>
    <row r="686" spans="1:24" s="101" customFormat="1" hidden="1" x14ac:dyDescent="0.25">
      <c r="A686" s="60" t="str">
        <f t="shared" si="58"/>
        <v>140111,01</v>
      </c>
      <c r="B686" s="60">
        <f>COUNTIF($J$7:J686,J686)</f>
        <v>140</v>
      </c>
      <c r="C686" s="60" t="str">
        <f t="shared" si="59"/>
        <v>0</v>
      </c>
      <c r="D686" s="60">
        <f>COUNTIF($K$7:K686,K686)</f>
        <v>0</v>
      </c>
      <c r="E686" s="91"/>
      <c r="F686" s="137">
        <v>44589.681875000002</v>
      </c>
      <c r="G686" s="116" t="s">
        <v>149</v>
      </c>
      <c r="H686" s="93" t="s">
        <v>420</v>
      </c>
      <c r="I686" s="161" t="s">
        <v>421</v>
      </c>
      <c r="J686" s="117">
        <v>111.01</v>
      </c>
      <c r="K686" s="166"/>
      <c r="L686" s="97"/>
      <c r="M686" s="117">
        <v>220969335</v>
      </c>
      <c r="N686" s="117"/>
      <c r="O686" s="167"/>
      <c r="P686" s="100" t="str">
        <f t="shared" si="60"/>
        <v>BNI IDR 768</v>
      </c>
      <c r="Q686" s="91"/>
      <c r="S686" s="112"/>
      <c r="T686" s="112"/>
      <c r="U686" s="113"/>
      <c r="V686" s="113"/>
      <c r="X686" s="102"/>
    </row>
    <row r="687" spans="1:24" s="101" customFormat="1" hidden="1" x14ac:dyDescent="0.25">
      <c r="A687" s="60" t="str">
        <f t="shared" si="58"/>
        <v>141111,01</v>
      </c>
      <c r="B687" s="60">
        <f>COUNTIF($J$7:J687,J687)</f>
        <v>141</v>
      </c>
      <c r="C687" s="60" t="str">
        <f t="shared" si="59"/>
        <v>0</v>
      </c>
      <c r="D687" s="60">
        <f>COUNTIF($K$7:K687,K687)</f>
        <v>0</v>
      </c>
      <c r="E687" s="91"/>
      <c r="F687" s="137">
        <v>44589.686018518521</v>
      </c>
      <c r="G687" s="116" t="s">
        <v>149</v>
      </c>
      <c r="H687" s="93" t="s">
        <v>422</v>
      </c>
      <c r="I687" s="161" t="s">
        <v>423</v>
      </c>
      <c r="J687" s="117">
        <v>111.01</v>
      </c>
      <c r="K687" s="166"/>
      <c r="L687" s="97"/>
      <c r="M687" s="117">
        <v>1800000</v>
      </c>
      <c r="N687" s="117"/>
      <c r="O687" s="167"/>
      <c r="P687" s="100" t="str">
        <f t="shared" si="60"/>
        <v>BNI IDR 768</v>
      </c>
      <c r="Q687" s="91"/>
      <c r="S687" s="112"/>
      <c r="T687" s="112"/>
      <c r="U687" s="113"/>
      <c r="V687" s="113"/>
      <c r="X687" s="102"/>
    </row>
    <row r="688" spans="1:24" s="101" customFormat="1" ht="12" hidden="1" customHeight="1" x14ac:dyDescent="0.25">
      <c r="A688" s="60" t="str">
        <f t="shared" si="58"/>
        <v>142111,01</v>
      </c>
      <c r="B688" s="60">
        <f>COUNTIF($J$7:J688,J688)</f>
        <v>142</v>
      </c>
      <c r="C688" s="60" t="str">
        <f t="shared" si="59"/>
        <v>0</v>
      </c>
      <c r="D688" s="60">
        <f>COUNTIF($K$7:K688,K688)</f>
        <v>0</v>
      </c>
      <c r="E688" s="91"/>
      <c r="F688" s="92">
        <v>44592</v>
      </c>
      <c r="G688" s="116" t="s">
        <v>149</v>
      </c>
      <c r="H688" s="93" t="s">
        <v>424</v>
      </c>
      <c r="I688" s="161" t="s">
        <v>425</v>
      </c>
      <c r="J688" s="117">
        <v>111.01</v>
      </c>
      <c r="K688" s="108"/>
      <c r="L688" s="97">
        <v>39425000</v>
      </c>
      <c r="M688" s="117"/>
      <c r="N688" s="117"/>
      <c r="O688" s="111"/>
      <c r="P688" s="100" t="str">
        <f t="shared" si="60"/>
        <v>BNI IDR 768</v>
      </c>
      <c r="Q688" s="91"/>
      <c r="S688" s="112"/>
      <c r="T688" s="112"/>
      <c r="U688" s="113"/>
      <c r="V688" s="113"/>
      <c r="X688" s="102"/>
    </row>
    <row r="689" spans="1:24" s="101" customFormat="1" hidden="1" x14ac:dyDescent="0.25">
      <c r="A689" s="60" t="str">
        <f t="shared" si="58"/>
        <v>143111,01</v>
      </c>
      <c r="B689" s="60">
        <f>COUNTIF($J$7:J689,J689)</f>
        <v>143</v>
      </c>
      <c r="C689" s="60" t="str">
        <f t="shared" si="59"/>
        <v>0</v>
      </c>
      <c r="D689" s="60">
        <f>COUNTIF($K$7:K689,K689)</f>
        <v>0</v>
      </c>
      <c r="E689" s="91"/>
      <c r="F689" s="92">
        <v>44592</v>
      </c>
      <c r="G689" s="116" t="s">
        <v>149</v>
      </c>
      <c r="H689" s="93" t="s">
        <v>426</v>
      </c>
      <c r="I689" s="161" t="s">
        <v>425</v>
      </c>
      <c r="J689" s="117">
        <v>111.01</v>
      </c>
      <c r="K689" s="108"/>
      <c r="L689" s="97">
        <v>50000000</v>
      </c>
      <c r="M689" s="117"/>
      <c r="N689" s="117"/>
      <c r="O689" s="111"/>
      <c r="P689" s="100" t="str">
        <f t="shared" si="60"/>
        <v>BNI IDR 768</v>
      </c>
      <c r="Q689" s="91"/>
      <c r="S689" s="112"/>
      <c r="T689" s="112"/>
      <c r="U689" s="113"/>
      <c r="V689" s="113"/>
      <c r="X689" s="102"/>
    </row>
    <row r="690" spans="1:24" s="101" customFormat="1" hidden="1" x14ac:dyDescent="0.25">
      <c r="A690" s="60" t="str">
        <f t="shared" si="58"/>
        <v>144111,01</v>
      </c>
      <c r="B690" s="60">
        <f>COUNTIF($J$7:J690,J690)</f>
        <v>144</v>
      </c>
      <c r="C690" s="60" t="str">
        <f t="shared" si="59"/>
        <v>0</v>
      </c>
      <c r="D690" s="60">
        <f>COUNTIF($K$7:K690,K690)</f>
        <v>0</v>
      </c>
      <c r="E690" s="91"/>
      <c r="F690" s="92">
        <v>44592</v>
      </c>
      <c r="G690" s="116" t="s">
        <v>149</v>
      </c>
      <c r="H690" s="93" t="s">
        <v>427</v>
      </c>
      <c r="I690" s="161" t="s">
        <v>425</v>
      </c>
      <c r="J690" s="117">
        <v>111.01</v>
      </c>
      <c r="K690" s="108"/>
      <c r="L690" s="97">
        <v>50000000</v>
      </c>
      <c r="M690" s="117"/>
      <c r="N690" s="117"/>
      <c r="O690" s="111"/>
      <c r="P690" s="100" t="str">
        <f t="shared" si="60"/>
        <v>BNI IDR 768</v>
      </c>
      <c r="Q690" s="91"/>
      <c r="S690" s="112"/>
      <c r="T690" s="112"/>
      <c r="U690" s="113"/>
      <c r="V690" s="113"/>
      <c r="X690" s="102"/>
    </row>
    <row r="691" spans="1:24" s="101" customFormat="1" hidden="1" x14ac:dyDescent="0.25">
      <c r="A691" s="60" t="str">
        <f t="shared" si="58"/>
        <v>138112</v>
      </c>
      <c r="B691" s="60">
        <f>COUNTIF($J$7:J691,J691)</f>
        <v>138</v>
      </c>
      <c r="C691" s="60" t="str">
        <f t="shared" si="59"/>
        <v>2112,03</v>
      </c>
      <c r="D691" s="60">
        <f>COUNTIF($K$7:K691,K691)</f>
        <v>2</v>
      </c>
      <c r="E691" s="91"/>
      <c r="F691" s="92">
        <v>44592</v>
      </c>
      <c r="G691" s="141" t="s">
        <v>149</v>
      </c>
      <c r="H691" s="93" t="s">
        <v>424</v>
      </c>
      <c r="I691" s="161" t="s">
        <v>425</v>
      </c>
      <c r="J691" s="115">
        <v>112</v>
      </c>
      <c r="K691" s="120">
        <v>112.03</v>
      </c>
      <c r="L691" s="97"/>
      <c r="M691" s="117">
        <v>39425000</v>
      </c>
      <c r="N691" s="117"/>
      <c r="O691" s="167"/>
      <c r="P691" s="100" t="str">
        <f t="shared" si="60"/>
        <v>Piutang Usaha</v>
      </c>
      <c r="Q691" s="91"/>
      <c r="S691" s="112"/>
      <c r="T691" s="112"/>
      <c r="U691" s="113"/>
      <c r="V691" s="113"/>
      <c r="X691" s="102"/>
    </row>
    <row r="692" spans="1:24" s="101" customFormat="1" hidden="1" x14ac:dyDescent="0.25">
      <c r="A692" s="60" t="str">
        <f t="shared" si="58"/>
        <v>139112</v>
      </c>
      <c r="B692" s="60">
        <f>COUNTIF($J$7:J692,J692)</f>
        <v>139</v>
      </c>
      <c r="C692" s="60" t="str">
        <f t="shared" si="59"/>
        <v>3112,03</v>
      </c>
      <c r="D692" s="60">
        <f>COUNTIF($K$7:K692,K692)</f>
        <v>3</v>
      </c>
      <c r="E692" s="91"/>
      <c r="F692" s="92">
        <v>44592</v>
      </c>
      <c r="G692" s="141" t="s">
        <v>149</v>
      </c>
      <c r="H692" s="93" t="s">
        <v>426</v>
      </c>
      <c r="I692" s="161" t="s">
        <v>425</v>
      </c>
      <c r="J692" s="115">
        <v>112</v>
      </c>
      <c r="K692" s="120">
        <v>112.03</v>
      </c>
      <c r="L692" s="97"/>
      <c r="M692" s="117">
        <v>50000000</v>
      </c>
      <c r="N692" s="117"/>
      <c r="O692" s="167"/>
      <c r="P692" s="100" t="str">
        <f t="shared" si="60"/>
        <v>Piutang Usaha</v>
      </c>
      <c r="Q692" s="91"/>
      <c r="S692" s="112"/>
      <c r="T692" s="112"/>
      <c r="U692" s="113"/>
      <c r="V692" s="113"/>
      <c r="X692" s="102"/>
    </row>
    <row r="693" spans="1:24" s="101" customFormat="1" hidden="1" x14ac:dyDescent="0.25">
      <c r="A693" s="60" t="str">
        <f t="shared" si="58"/>
        <v>140112</v>
      </c>
      <c r="B693" s="60">
        <f>COUNTIF($J$7:J693,J693)</f>
        <v>140</v>
      </c>
      <c r="C693" s="60" t="str">
        <f t="shared" si="59"/>
        <v>4112,03</v>
      </c>
      <c r="D693" s="60">
        <f>COUNTIF($K$7:K693,K693)</f>
        <v>4</v>
      </c>
      <c r="E693" s="91"/>
      <c r="F693" s="92">
        <v>44592</v>
      </c>
      <c r="G693" s="141" t="s">
        <v>149</v>
      </c>
      <c r="H693" s="93" t="s">
        <v>427</v>
      </c>
      <c r="I693" s="161" t="s">
        <v>425</v>
      </c>
      <c r="J693" s="115">
        <v>112</v>
      </c>
      <c r="K693" s="120">
        <v>112.03</v>
      </c>
      <c r="L693" s="97"/>
      <c r="M693" s="117">
        <v>50000000</v>
      </c>
      <c r="N693" s="117"/>
      <c r="O693" s="167"/>
      <c r="P693" s="100" t="str">
        <f t="shared" si="60"/>
        <v>Piutang Usaha</v>
      </c>
      <c r="Q693" s="91"/>
      <c r="S693" s="112"/>
      <c r="T693" s="112"/>
      <c r="U693" s="113"/>
      <c r="V693" s="113"/>
      <c r="X693" s="102"/>
    </row>
    <row r="694" spans="1:24" s="101" customFormat="1" hidden="1" x14ac:dyDescent="0.25">
      <c r="A694" s="60" t="str">
        <f t="shared" si="58"/>
        <v>145111,01</v>
      </c>
      <c r="B694" s="60">
        <f>COUNTIF($J$7:J694,J694)</f>
        <v>145</v>
      </c>
      <c r="C694" s="60" t="str">
        <f t="shared" si="59"/>
        <v>0</v>
      </c>
      <c r="D694" s="60">
        <f>COUNTIF($K$7:K694,K694)</f>
        <v>0</v>
      </c>
      <c r="E694" s="91"/>
      <c r="F694" s="92">
        <v>44592</v>
      </c>
      <c r="G694" s="116" t="s">
        <v>149</v>
      </c>
      <c r="H694" s="93" t="s">
        <v>428</v>
      </c>
      <c r="I694" s="94" t="s">
        <v>429</v>
      </c>
      <c r="J694" s="117">
        <v>111.01</v>
      </c>
      <c r="K694" s="108"/>
      <c r="L694" s="97">
        <v>2096241</v>
      </c>
      <c r="M694" s="117"/>
      <c r="N694" s="117"/>
      <c r="O694" s="167"/>
      <c r="P694" s="100" t="str">
        <f t="shared" si="60"/>
        <v>BNI IDR 768</v>
      </c>
      <c r="Q694" s="91"/>
      <c r="S694" s="112"/>
      <c r="T694" s="112"/>
      <c r="U694" s="113"/>
      <c r="V694" s="113"/>
      <c r="X694" s="102"/>
    </row>
    <row r="695" spans="1:24" s="101" customFormat="1" hidden="1" x14ac:dyDescent="0.25">
      <c r="A695" s="60" t="str">
        <f t="shared" si="58"/>
        <v>1710,01</v>
      </c>
      <c r="B695" s="60">
        <f>COUNTIF($J$7:J695,J695)</f>
        <v>1</v>
      </c>
      <c r="C695" s="60" t="str">
        <f t="shared" si="59"/>
        <v>0</v>
      </c>
      <c r="D695" s="60">
        <f>COUNTIF($K$7:K695,K695)</f>
        <v>0</v>
      </c>
      <c r="E695" s="91"/>
      <c r="F695" s="92">
        <v>44592</v>
      </c>
      <c r="G695" s="116" t="s">
        <v>149</v>
      </c>
      <c r="H695" s="93" t="s">
        <v>428</v>
      </c>
      <c r="I695" s="94" t="s">
        <v>429</v>
      </c>
      <c r="J695" s="123">
        <v>710.01</v>
      </c>
      <c r="K695" s="108"/>
      <c r="L695" s="97"/>
      <c r="M695" s="117">
        <f>L694</f>
        <v>2096241</v>
      </c>
      <c r="N695" s="117"/>
      <c r="O695" s="167"/>
      <c r="P695" s="100" t="str">
        <f t="shared" si="60"/>
        <v>Pendapatan Jasa Giro/Bunga Bank</v>
      </c>
      <c r="Q695" s="91"/>
      <c r="S695" s="112"/>
      <c r="T695" s="112"/>
      <c r="U695" s="113"/>
      <c r="V695" s="113"/>
      <c r="X695" s="102"/>
    </row>
    <row r="696" spans="1:24" s="101" customFormat="1" hidden="1" x14ac:dyDescent="0.25">
      <c r="A696" s="60" t="str">
        <f t="shared" si="58"/>
        <v>1810,02</v>
      </c>
      <c r="B696" s="60">
        <f>COUNTIF($J$7:J696,J696)</f>
        <v>1</v>
      </c>
      <c r="C696" s="60" t="str">
        <f t="shared" si="59"/>
        <v>0</v>
      </c>
      <c r="D696" s="60">
        <f>COUNTIF($K$7:K696,K696)</f>
        <v>0</v>
      </c>
      <c r="E696" s="91"/>
      <c r="F696" s="92">
        <v>44592</v>
      </c>
      <c r="G696" s="116" t="s">
        <v>149</v>
      </c>
      <c r="H696" s="93" t="s">
        <v>430</v>
      </c>
      <c r="I696" s="94" t="s">
        <v>431</v>
      </c>
      <c r="J696" s="123">
        <v>810.02</v>
      </c>
      <c r="K696" s="108"/>
      <c r="L696" s="97">
        <v>419250</v>
      </c>
      <c r="M696" s="117"/>
      <c r="N696" s="117"/>
      <c r="O696" s="167"/>
      <c r="P696" s="100" t="str">
        <f t="shared" si="60"/>
        <v>Biaya Pajak Jagir</v>
      </c>
      <c r="Q696" s="91"/>
      <c r="S696" s="112"/>
      <c r="T696" s="112"/>
      <c r="U696" s="113"/>
      <c r="V696" s="113"/>
      <c r="X696" s="102"/>
    </row>
    <row r="697" spans="1:24" s="101" customFormat="1" hidden="1" x14ac:dyDescent="0.25">
      <c r="A697" s="60" t="str">
        <f t="shared" si="58"/>
        <v>146111,01</v>
      </c>
      <c r="B697" s="60">
        <f>COUNTIF($J$7:J697,J697)</f>
        <v>146</v>
      </c>
      <c r="C697" s="60" t="str">
        <f t="shared" si="59"/>
        <v>0</v>
      </c>
      <c r="D697" s="60">
        <f>COUNTIF($K$7:K697,K697)</f>
        <v>0</v>
      </c>
      <c r="E697" s="91"/>
      <c r="F697" s="92">
        <v>44592</v>
      </c>
      <c r="G697" s="116" t="s">
        <v>149</v>
      </c>
      <c r="H697" s="93" t="s">
        <v>430</v>
      </c>
      <c r="I697" s="94" t="s">
        <v>431</v>
      </c>
      <c r="J697" s="117">
        <v>111.01</v>
      </c>
      <c r="K697" s="108"/>
      <c r="L697" s="97"/>
      <c r="M697" s="117">
        <v>419250</v>
      </c>
      <c r="N697" s="117"/>
      <c r="O697" s="111"/>
      <c r="P697" s="100" t="str">
        <f t="shared" si="60"/>
        <v>BNI IDR 768</v>
      </c>
      <c r="Q697" s="91"/>
      <c r="S697" s="112"/>
      <c r="T697" s="112"/>
      <c r="U697" s="113"/>
      <c r="V697" s="113"/>
      <c r="X697" s="102"/>
    </row>
    <row r="698" spans="1:24" s="101" customFormat="1" hidden="1" x14ac:dyDescent="0.25">
      <c r="A698" s="60" t="str">
        <f t="shared" si="58"/>
        <v>26810,01</v>
      </c>
      <c r="B698" s="60">
        <f>COUNTIF($J$7:J698,J698)</f>
        <v>26</v>
      </c>
      <c r="C698" s="60" t="str">
        <f t="shared" si="59"/>
        <v>0</v>
      </c>
      <c r="D698" s="60">
        <f>COUNTIF($K$7:K698,K698)</f>
        <v>0</v>
      </c>
      <c r="E698" s="91"/>
      <c r="F698" s="92">
        <v>44592</v>
      </c>
      <c r="G698" s="116" t="s">
        <v>149</v>
      </c>
      <c r="H698" s="93" t="s">
        <v>432</v>
      </c>
      <c r="I698" s="94" t="s">
        <v>433</v>
      </c>
      <c r="J698" s="115">
        <v>810.01</v>
      </c>
      <c r="K698" s="108"/>
      <c r="L698" s="97">
        <v>25000</v>
      </c>
      <c r="M698" s="117"/>
      <c r="N698" s="117"/>
      <c r="O698" s="111"/>
      <c r="P698" s="100" t="str">
        <f t="shared" si="60"/>
        <v>Biaya Admin Transfer dan Rek</v>
      </c>
      <c r="Q698" s="91"/>
      <c r="S698" s="112"/>
      <c r="T698" s="112"/>
      <c r="U698" s="113"/>
      <c r="V698" s="113"/>
      <c r="X698" s="102"/>
    </row>
    <row r="699" spans="1:24" s="101" customFormat="1" hidden="1" x14ac:dyDescent="0.25">
      <c r="A699" s="60" t="str">
        <f t="shared" si="58"/>
        <v>147111,01</v>
      </c>
      <c r="B699" s="60">
        <f>COUNTIF($J$7:J699,J699)</f>
        <v>147</v>
      </c>
      <c r="C699" s="60" t="str">
        <f t="shared" si="59"/>
        <v>0</v>
      </c>
      <c r="D699" s="60">
        <f>COUNTIF($K$7:K699,K699)</f>
        <v>0</v>
      </c>
      <c r="E699" s="91"/>
      <c r="F699" s="92">
        <v>44592</v>
      </c>
      <c r="G699" s="116" t="s">
        <v>149</v>
      </c>
      <c r="H699" s="93" t="s">
        <v>432</v>
      </c>
      <c r="I699" s="94" t="s">
        <v>433</v>
      </c>
      <c r="J699" s="117">
        <v>111.01</v>
      </c>
      <c r="K699" s="108"/>
      <c r="L699" s="97"/>
      <c r="M699" s="117">
        <v>25000</v>
      </c>
      <c r="N699" s="117"/>
      <c r="O699" s="111"/>
      <c r="P699" s="100" t="str">
        <f t="shared" si="60"/>
        <v>BNI IDR 768</v>
      </c>
      <c r="Q699" s="91"/>
      <c r="S699" s="112"/>
      <c r="T699" s="112"/>
      <c r="U699" s="113"/>
      <c r="V699" s="113"/>
      <c r="X699" s="102"/>
    </row>
    <row r="700" spans="1:24" s="101" customFormat="1" hidden="1" x14ac:dyDescent="0.25">
      <c r="A700" s="60" t="str">
        <f t="shared" si="58"/>
        <v>1111,02</v>
      </c>
      <c r="B700" s="60">
        <f>COUNTIF($J$7:J700,J700)</f>
        <v>1</v>
      </c>
      <c r="C700" s="60" t="str">
        <f t="shared" si="59"/>
        <v>0</v>
      </c>
      <c r="D700" s="60">
        <f>COUNTIF($K$7:K700,K700)</f>
        <v>0</v>
      </c>
      <c r="E700" s="91"/>
      <c r="F700" s="92">
        <v>44592</v>
      </c>
      <c r="G700" s="116" t="s">
        <v>149</v>
      </c>
      <c r="H700" s="93" t="s">
        <v>434</v>
      </c>
      <c r="I700" s="94" t="s">
        <v>435</v>
      </c>
      <c r="J700" s="117">
        <v>111.02</v>
      </c>
      <c r="K700" s="108"/>
      <c r="L700" s="131">
        <f>14382.01*0.03</f>
        <v>431.46030000000002</v>
      </c>
      <c r="M700" s="117"/>
      <c r="N700" s="117"/>
      <c r="O700" s="111"/>
      <c r="P700" s="100" t="str">
        <f t="shared" si="60"/>
        <v>BNI USD 688</v>
      </c>
      <c r="Q700" s="91"/>
      <c r="S700" s="112"/>
      <c r="T700" s="112"/>
      <c r="U700" s="113"/>
      <c r="V700" s="113"/>
      <c r="X700" s="102"/>
    </row>
    <row r="701" spans="1:24" s="101" customFormat="1" hidden="1" x14ac:dyDescent="0.25">
      <c r="A701" s="60" t="str">
        <f t="shared" si="58"/>
        <v>2810,02</v>
      </c>
      <c r="B701" s="60">
        <f>COUNTIF($J$7:J701,J701)</f>
        <v>2</v>
      </c>
      <c r="C701" s="60" t="str">
        <f t="shared" si="59"/>
        <v>0</v>
      </c>
      <c r="D701" s="60">
        <f>COUNTIF($K$7:K701,K701)</f>
        <v>0</v>
      </c>
      <c r="E701" s="91"/>
      <c r="F701" s="92">
        <v>44592</v>
      </c>
      <c r="G701" s="116" t="s">
        <v>149</v>
      </c>
      <c r="H701" s="93" t="s">
        <v>436</v>
      </c>
      <c r="I701" s="94" t="s">
        <v>431</v>
      </c>
      <c r="J701" s="123">
        <v>810.02</v>
      </c>
      <c r="K701" s="108"/>
      <c r="L701" s="131">
        <f>14382.01*0.01</f>
        <v>143.8201</v>
      </c>
      <c r="M701" s="132"/>
      <c r="N701" s="132"/>
      <c r="O701" s="111"/>
      <c r="P701" s="100" t="str">
        <f t="shared" si="60"/>
        <v>Biaya Pajak Jagir</v>
      </c>
      <c r="Q701" s="91"/>
      <c r="S701" s="112"/>
      <c r="T701" s="112"/>
      <c r="U701" s="113"/>
      <c r="V701" s="113"/>
      <c r="X701" s="102"/>
    </row>
    <row r="702" spans="1:24" s="101" customFormat="1" hidden="1" x14ac:dyDescent="0.25">
      <c r="A702" s="60" t="str">
        <f t="shared" si="58"/>
        <v>27810,01</v>
      </c>
      <c r="B702" s="60">
        <f>COUNTIF($J$7:J702,J702)</f>
        <v>27</v>
      </c>
      <c r="C702" s="60" t="str">
        <f t="shared" si="59"/>
        <v>0</v>
      </c>
      <c r="D702" s="60">
        <f>COUNTIF($K$7:K702,K702)</f>
        <v>0</v>
      </c>
      <c r="E702" s="91"/>
      <c r="F702" s="92">
        <v>44592</v>
      </c>
      <c r="G702" s="116" t="s">
        <v>149</v>
      </c>
      <c r="H702" s="93" t="s">
        <v>437</v>
      </c>
      <c r="I702" s="94" t="s">
        <v>438</v>
      </c>
      <c r="J702" s="117">
        <v>810.01</v>
      </c>
      <c r="K702" s="108"/>
      <c r="L702" s="131">
        <f>14382.01*2.5</f>
        <v>35955.025000000001</v>
      </c>
      <c r="M702" s="117"/>
      <c r="N702" s="117"/>
      <c r="O702" s="111"/>
      <c r="P702" s="100" t="str">
        <f t="shared" si="60"/>
        <v>Biaya Admin Transfer dan Rek</v>
      </c>
      <c r="Q702" s="91"/>
      <c r="S702" s="112"/>
      <c r="T702" s="112"/>
      <c r="U702" s="113"/>
      <c r="V702" s="113"/>
      <c r="X702" s="102"/>
    </row>
    <row r="703" spans="1:24" s="101" customFormat="1" hidden="1" x14ac:dyDescent="0.25">
      <c r="A703" s="60" t="str">
        <f t="shared" si="58"/>
        <v>2710,01</v>
      </c>
      <c r="B703" s="60">
        <f>COUNTIF($J$7:J703,J703)</f>
        <v>2</v>
      </c>
      <c r="C703" s="60" t="str">
        <f t="shared" si="59"/>
        <v>0</v>
      </c>
      <c r="D703" s="60">
        <f>COUNTIF($K$7:K703,K703)</f>
        <v>0</v>
      </c>
      <c r="E703" s="91"/>
      <c r="F703" s="92">
        <v>44592</v>
      </c>
      <c r="G703" s="116" t="s">
        <v>149</v>
      </c>
      <c r="H703" s="93" t="s">
        <v>434</v>
      </c>
      <c r="I703" s="94" t="s">
        <v>435</v>
      </c>
      <c r="J703" s="117">
        <v>710.01</v>
      </c>
      <c r="K703" s="108"/>
      <c r="L703" s="97"/>
      <c r="M703" s="132">
        <f>L700</f>
        <v>431.46030000000002</v>
      </c>
      <c r="N703" s="132"/>
      <c r="O703" s="111"/>
      <c r="P703" s="100" t="str">
        <f t="shared" si="60"/>
        <v>Pendapatan Jasa Giro/Bunga Bank</v>
      </c>
      <c r="Q703" s="91"/>
      <c r="S703" s="112"/>
      <c r="T703" s="112"/>
      <c r="U703" s="113"/>
      <c r="V703" s="113"/>
      <c r="X703" s="102"/>
    </row>
    <row r="704" spans="1:24" s="101" customFormat="1" hidden="1" x14ac:dyDescent="0.25">
      <c r="A704" s="60" t="str">
        <f t="shared" si="58"/>
        <v>2111,02</v>
      </c>
      <c r="B704" s="60">
        <f>COUNTIF($J$7:J704,J704)</f>
        <v>2</v>
      </c>
      <c r="C704" s="60" t="str">
        <f t="shared" si="59"/>
        <v>0</v>
      </c>
      <c r="D704" s="60">
        <f>COUNTIF($K$7:K704,K704)</f>
        <v>0</v>
      </c>
      <c r="E704" s="91"/>
      <c r="F704" s="92">
        <v>44592</v>
      </c>
      <c r="G704" s="116" t="s">
        <v>149</v>
      </c>
      <c r="H704" s="93" t="s">
        <v>436</v>
      </c>
      <c r="I704" s="94" t="s">
        <v>431</v>
      </c>
      <c r="J704" s="117">
        <v>111.02</v>
      </c>
      <c r="K704" s="108"/>
      <c r="L704" s="97"/>
      <c r="M704" s="132">
        <f>L701</f>
        <v>143.8201</v>
      </c>
      <c r="N704" s="132"/>
      <c r="O704" s="111"/>
      <c r="P704" s="100" t="str">
        <f t="shared" si="60"/>
        <v>BNI USD 688</v>
      </c>
      <c r="Q704" s="91"/>
      <c r="S704" s="112"/>
      <c r="T704" s="112"/>
      <c r="U704" s="113"/>
      <c r="V704" s="113"/>
      <c r="X704" s="102"/>
    </row>
    <row r="705" spans="1:24" s="101" customFormat="1" hidden="1" x14ac:dyDescent="0.25">
      <c r="A705" s="60" t="str">
        <f t="shared" si="58"/>
        <v>3111,02</v>
      </c>
      <c r="B705" s="60">
        <f>COUNTIF($J$7:J705,J705)</f>
        <v>3</v>
      </c>
      <c r="C705" s="60" t="str">
        <f t="shared" si="59"/>
        <v>0</v>
      </c>
      <c r="D705" s="60">
        <f>COUNTIF($K$7:K705,K705)</f>
        <v>0</v>
      </c>
      <c r="E705" s="91"/>
      <c r="F705" s="92">
        <v>44592</v>
      </c>
      <c r="G705" s="116" t="s">
        <v>149</v>
      </c>
      <c r="H705" s="93" t="s">
        <v>437</v>
      </c>
      <c r="I705" s="94" t="s">
        <v>438</v>
      </c>
      <c r="J705" s="117">
        <v>111.02</v>
      </c>
      <c r="K705" s="108"/>
      <c r="L705" s="97"/>
      <c r="M705" s="132">
        <f>L702</f>
        <v>35955.025000000001</v>
      </c>
      <c r="N705" s="132"/>
      <c r="O705" s="111"/>
      <c r="P705" s="100" t="str">
        <f t="shared" si="60"/>
        <v>BNI USD 688</v>
      </c>
      <c r="Q705" s="91"/>
      <c r="S705" s="112"/>
      <c r="T705" s="112"/>
      <c r="U705" s="113"/>
      <c r="V705" s="113"/>
      <c r="X705" s="102"/>
    </row>
    <row r="706" spans="1:24" s="101" customFormat="1" ht="30" hidden="1" x14ac:dyDescent="0.25">
      <c r="A706" s="60" t="str">
        <f t="shared" si="58"/>
        <v>1810,04</v>
      </c>
      <c r="B706" s="60">
        <f>COUNTIF($J$7:J706,J706)</f>
        <v>1</v>
      </c>
      <c r="C706" s="60" t="str">
        <f t="shared" si="59"/>
        <v>0</v>
      </c>
      <c r="D706" s="60">
        <f>COUNTIF($K$7:K706,K706)</f>
        <v>0</v>
      </c>
      <c r="E706" s="91"/>
      <c r="F706" s="92">
        <v>44592</v>
      </c>
      <c r="G706" s="116" t="s">
        <v>149</v>
      </c>
      <c r="H706" s="93" t="s">
        <v>439</v>
      </c>
      <c r="I706" s="94" t="s">
        <v>440</v>
      </c>
      <c r="J706" s="117">
        <v>810.04</v>
      </c>
      <c r="K706" s="108"/>
      <c r="L706" s="97">
        <f>42.23*14382.01</f>
        <v>607352.28229999996</v>
      </c>
      <c r="M706" s="132"/>
      <c r="N706" s="132"/>
      <c r="O706" s="111" t="s">
        <v>441</v>
      </c>
      <c r="P706" s="100" t="str">
        <f t="shared" si="60"/>
        <v>Selisih kurs</v>
      </c>
      <c r="Q706" s="91"/>
      <c r="S706" s="112"/>
      <c r="T706" s="112"/>
      <c r="U706" s="113"/>
      <c r="V706" s="113"/>
      <c r="X706" s="102"/>
    </row>
    <row r="707" spans="1:24" s="101" customFormat="1" ht="30" hidden="1" x14ac:dyDescent="0.25">
      <c r="A707" s="60" t="str">
        <f t="shared" si="58"/>
        <v>4111,02</v>
      </c>
      <c r="B707" s="60">
        <f>COUNTIF($J$7:J707,J707)</f>
        <v>4</v>
      </c>
      <c r="C707" s="60" t="str">
        <f t="shared" si="59"/>
        <v>0</v>
      </c>
      <c r="D707" s="60">
        <f>COUNTIF($K$7:K707,K707)</f>
        <v>0</v>
      </c>
      <c r="E707" s="91"/>
      <c r="F707" s="92">
        <v>44592</v>
      </c>
      <c r="G707" s="116" t="s">
        <v>149</v>
      </c>
      <c r="H707" s="93" t="s">
        <v>439</v>
      </c>
      <c r="I707" s="94" t="s">
        <v>440</v>
      </c>
      <c r="J707" s="117">
        <v>111.02</v>
      </c>
      <c r="K707" s="108"/>
      <c r="L707" s="97"/>
      <c r="M707" s="132">
        <f>L706</f>
        <v>607352.28229999996</v>
      </c>
      <c r="N707" s="132"/>
      <c r="O707" s="111" t="s">
        <v>442</v>
      </c>
      <c r="P707" s="100" t="str">
        <f t="shared" si="60"/>
        <v>BNI USD 688</v>
      </c>
      <c r="Q707" s="91"/>
      <c r="S707" s="112"/>
      <c r="T707" s="112"/>
      <c r="U707" s="113"/>
      <c r="V707" s="113"/>
      <c r="X707" s="102"/>
    </row>
    <row r="708" spans="1:24" s="101" customFormat="1" hidden="1" x14ac:dyDescent="0.25">
      <c r="A708" s="60" t="str">
        <f t="shared" si="58"/>
        <v>4111,03</v>
      </c>
      <c r="B708" s="60">
        <f>COUNTIF($J$7:J708,J708)</f>
        <v>4</v>
      </c>
      <c r="C708" s="60" t="str">
        <f t="shared" si="59"/>
        <v>0</v>
      </c>
      <c r="D708" s="60">
        <f>COUNTIF($K$7:K708,K708)</f>
        <v>0</v>
      </c>
      <c r="E708" s="91"/>
      <c r="F708" s="92">
        <v>44564</v>
      </c>
      <c r="G708" s="116" t="s">
        <v>149</v>
      </c>
      <c r="H708" s="93" t="s">
        <v>443</v>
      </c>
      <c r="I708" s="126" t="s">
        <v>444</v>
      </c>
      <c r="J708" s="117">
        <v>111.03</v>
      </c>
      <c r="K708" s="108"/>
      <c r="L708" s="97">
        <v>5000000</v>
      </c>
      <c r="M708" s="139"/>
      <c r="N708" s="169" t="s">
        <v>16</v>
      </c>
      <c r="O708" s="111"/>
      <c r="P708" s="100" t="str">
        <f t="shared" si="60"/>
        <v>BCA 8607</v>
      </c>
      <c r="Q708" s="91"/>
      <c r="S708" s="112"/>
      <c r="T708" s="112"/>
      <c r="U708" s="113"/>
      <c r="V708" s="113"/>
      <c r="X708" s="102"/>
    </row>
    <row r="709" spans="1:24" s="101" customFormat="1" hidden="1" x14ac:dyDescent="0.25">
      <c r="A709" s="60" t="str">
        <f t="shared" si="58"/>
        <v>141112</v>
      </c>
      <c r="B709" s="60">
        <f>COUNTIF($J$7:J709,J709)</f>
        <v>141</v>
      </c>
      <c r="C709" s="60" t="str">
        <f t="shared" si="59"/>
        <v>2112,55</v>
      </c>
      <c r="D709" s="60">
        <f>COUNTIF($K$7:K709,K709)</f>
        <v>2</v>
      </c>
      <c r="E709" s="91"/>
      <c r="F709" s="92">
        <v>44564</v>
      </c>
      <c r="G709" s="141" t="s">
        <v>149</v>
      </c>
      <c r="H709" s="93" t="s">
        <v>443</v>
      </c>
      <c r="I709" s="126" t="s">
        <v>444</v>
      </c>
      <c r="J709" s="115">
        <v>112</v>
      </c>
      <c r="K709" s="108">
        <v>112.55</v>
      </c>
      <c r="L709" s="97"/>
      <c r="M709" s="117">
        <v>5000000</v>
      </c>
      <c r="N709" s="77" t="s">
        <v>16</v>
      </c>
      <c r="O709" s="111"/>
      <c r="P709" s="100" t="str">
        <f t="shared" si="60"/>
        <v>Piutang Usaha</v>
      </c>
      <c r="Q709" s="91"/>
      <c r="S709" s="112"/>
      <c r="T709" s="112"/>
      <c r="U709" s="113"/>
      <c r="V709" s="113"/>
      <c r="X709" s="102"/>
    </row>
    <row r="710" spans="1:24" s="157" customFormat="1" hidden="1" x14ac:dyDescent="0.25">
      <c r="A710" s="144" t="str">
        <f t="shared" si="58"/>
        <v>5111,03</v>
      </c>
      <c r="B710" s="144">
        <f>COUNTIF($J$7:J710,J710)</f>
        <v>5</v>
      </c>
      <c r="C710" s="144" t="str">
        <f t="shared" si="59"/>
        <v>0</v>
      </c>
      <c r="D710" s="144">
        <f>COUNTIF($K$7:K710,K710)</f>
        <v>0</v>
      </c>
      <c r="E710" s="145"/>
      <c r="F710" s="170">
        <v>44564</v>
      </c>
      <c r="G710" s="147" t="s">
        <v>149</v>
      </c>
      <c r="H710" s="148" t="s">
        <v>445</v>
      </c>
      <c r="I710" s="149" t="s">
        <v>446</v>
      </c>
      <c r="J710" s="150">
        <v>111.03</v>
      </c>
      <c r="K710" s="151"/>
      <c r="L710" s="171">
        <v>860695</v>
      </c>
      <c r="M710" s="150"/>
      <c r="N710" s="172" t="s">
        <v>447</v>
      </c>
      <c r="O710" s="173" t="s">
        <v>448</v>
      </c>
      <c r="P710" s="156" t="str">
        <f t="shared" si="60"/>
        <v>BCA 8607</v>
      </c>
      <c r="Q710" s="145"/>
      <c r="S710" s="158"/>
      <c r="T710" s="158"/>
      <c r="U710" s="159"/>
      <c r="V710" s="159"/>
      <c r="X710" s="160"/>
    </row>
    <row r="711" spans="1:24" s="157" customFormat="1" hidden="1" x14ac:dyDescent="0.25">
      <c r="A711" s="144" t="str">
        <f t="shared" ref="A711:A774" si="61">B711&amp;J711</f>
        <v>1710,02</v>
      </c>
      <c r="B711" s="144">
        <f>COUNTIF($J$7:J711,J711)</f>
        <v>1</v>
      </c>
      <c r="C711" s="144" t="str">
        <f t="shared" ref="C711:C774" si="62">D711&amp;K711</f>
        <v>0</v>
      </c>
      <c r="D711" s="144">
        <f>COUNTIF($K$7:K711,K711)</f>
        <v>0</v>
      </c>
      <c r="E711" s="145"/>
      <c r="F711" s="170">
        <v>44564</v>
      </c>
      <c r="G711" s="147" t="s">
        <v>149</v>
      </c>
      <c r="H711" s="148" t="s">
        <v>445</v>
      </c>
      <c r="I711" s="149" t="s">
        <v>446</v>
      </c>
      <c r="J711" s="145">
        <v>710.02</v>
      </c>
      <c r="K711" s="151"/>
      <c r="L711" s="150"/>
      <c r="M711" s="150">
        <v>860695</v>
      </c>
      <c r="N711" s="172" t="s">
        <v>447</v>
      </c>
      <c r="O711" s="174"/>
      <c r="P711" s="156" t="str">
        <f t="shared" ref="P711:P774" si="63">IF(J711=0,"-",+VLOOKUP(J711,DAF_AKUN,2,FALSE))</f>
        <v>Pendapatan Lain-lain</v>
      </c>
      <c r="Q711" s="145"/>
      <c r="S711" s="158"/>
      <c r="T711" s="158"/>
      <c r="U711" s="159"/>
      <c r="V711" s="159"/>
      <c r="X711" s="160"/>
    </row>
    <row r="712" spans="1:24" s="157" customFormat="1" hidden="1" x14ac:dyDescent="0.25">
      <c r="A712" s="144" t="str">
        <f t="shared" si="61"/>
        <v>3210,01</v>
      </c>
      <c r="B712" s="144">
        <f>COUNTIF($J$7:J712,J712)</f>
        <v>3</v>
      </c>
      <c r="C712" s="144" t="str">
        <f t="shared" si="62"/>
        <v>1210,01,31</v>
      </c>
      <c r="D712" s="144">
        <f>COUNTIF($K$7:K712,K712)</f>
        <v>1</v>
      </c>
      <c r="E712" s="145"/>
      <c r="F712" s="170">
        <v>44565</v>
      </c>
      <c r="G712" s="147" t="s">
        <v>149</v>
      </c>
      <c r="H712" s="148" t="s">
        <v>449</v>
      </c>
      <c r="I712" s="175" t="s">
        <v>450</v>
      </c>
      <c r="J712" s="176">
        <v>210.01</v>
      </c>
      <c r="K712" s="150" t="s">
        <v>451</v>
      </c>
      <c r="L712" s="177">
        <v>826337812.5</v>
      </c>
      <c r="M712" s="150"/>
      <c r="N712" s="150"/>
      <c r="O712" s="155" t="s">
        <v>452</v>
      </c>
      <c r="P712" s="156" t="str">
        <f t="shared" si="63"/>
        <v>Hutang Usaha</v>
      </c>
      <c r="Q712" s="145"/>
      <c r="S712" s="158"/>
      <c r="T712" s="158"/>
      <c r="U712" s="159"/>
      <c r="V712" s="159"/>
      <c r="X712" s="160"/>
    </row>
    <row r="713" spans="1:24" s="101" customFormat="1" ht="30" hidden="1" x14ac:dyDescent="0.25">
      <c r="A713" s="60" t="str">
        <f t="shared" si="61"/>
        <v>28810,01</v>
      </c>
      <c r="B713" s="60">
        <f>COUNTIF($J$7:J713,J713)</f>
        <v>28</v>
      </c>
      <c r="C713" s="60" t="str">
        <f t="shared" si="62"/>
        <v>0</v>
      </c>
      <c r="D713" s="60">
        <f>COUNTIF($K$7:K713,K713)</f>
        <v>0</v>
      </c>
      <c r="E713" s="91"/>
      <c r="F713" s="92">
        <v>44565</v>
      </c>
      <c r="G713" s="116" t="s">
        <v>149</v>
      </c>
      <c r="H713" s="93" t="s">
        <v>449</v>
      </c>
      <c r="I713" s="94" t="s">
        <v>453</v>
      </c>
      <c r="J713" s="117">
        <v>810.01</v>
      </c>
      <c r="K713" s="108"/>
      <c r="L713" s="97">
        <f>357800+80000</f>
        <v>437800</v>
      </c>
      <c r="M713" s="117"/>
      <c r="N713" s="117" t="s">
        <v>16</v>
      </c>
      <c r="O713" s="111"/>
      <c r="P713" s="100" t="str">
        <f t="shared" si="63"/>
        <v>Biaya Admin Transfer dan Rek</v>
      </c>
      <c r="Q713" s="91"/>
      <c r="S713" s="112"/>
      <c r="T713" s="112"/>
      <c r="U713" s="113"/>
      <c r="V713" s="113"/>
      <c r="X713" s="102"/>
    </row>
    <row r="714" spans="1:24" s="101" customFormat="1" hidden="1" x14ac:dyDescent="0.25">
      <c r="A714" s="60" t="str">
        <f t="shared" si="61"/>
        <v>2810,04</v>
      </c>
      <c r="B714" s="60">
        <f>COUNTIF($J$7:J714,J714)</f>
        <v>2</v>
      </c>
      <c r="C714" s="60" t="str">
        <f t="shared" si="62"/>
        <v>0</v>
      </c>
      <c r="D714" s="60">
        <f>COUNTIF($K$7:K714,K714)</f>
        <v>0</v>
      </c>
      <c r="E714" s="91"/>
      <c r="F714" s="92">
        <v>44565</v>
      </c>
      <c r="G714" s="116" t="s">
        <v>149</v>
      </c>
      <c r="H714" s="93" t="s">
        <v>449</v>
      </c>
      <c r="I714" s="94" t="s">
        <v>454</v>
      </c>
      <c r="J714" s="117">
        <v>810.04</v>
      </c>
      <c r="K714" s="108"/>
      <c r="L714" s="97"/>
      <c r="M714" s="117">
        <f>L712+L713-M715</f>
        <v>13237312.5</v>
      </c>
      <c r="N714" s="117" t="s">
        <v>16</v>
      </c>
      <c r="O714" s="111"/>
      <c r="P714" s="100" t="str">
        <f t="shared" si="63"/>
        <v>Selisih kurs</v>
      </c>
      <c r="Q714" s="91"/>
      <c r="S714" s="112"/>
      <c r="T714" s="112"/>
      <c r="U714" s="113"/>
      <c r="V714" s="113"/>
      <c r="X714" s="102"/>
    </row>
    <row r="715" spans="1:24" s="101" customFormat="1" hidden="1" x14ac:dyDescent="0.25">
      <c r="A715" s="60" t="str">
        <f t="shared" si="61"/>
        <v>6111,03</v>
      </c>
      <c r="B715" s="60">
        <f>COUNTIF($J$7:J715,J715)</f>
        <v>6</v>
      </c>
      <c r="C715" s="60" t="str">
        <f t="shared" si="62"/>
        <v>0</v>
      </c>
      <c r="D715" s="60">
        <f>COUNTIF($K$7:K715,K715)</f>
        <v>0</v>
      </c>
      <c r="E715" s="91"/>
      <c r="F715" s="92">
        <v>44565</v>
      </c>
      <c r="G715" s="116" t="s">
        <v>149</v>
      </c>
      <c r="H715" s="93" t="s">
        <v>449</v>
      </c>
      <c r="I715" s="94" t="s">
        <v>455</v>
      </c>
      <c r="J715" s="117">
        <v>111.03</v>
      </c>
      <c r="K715" s="108"/>
      <c r="L715" s="97"/>
      <c r="M715" s="117">
        <v>813538300</v>
      </c>
      <c r="N715" s="117" t="s">
        <v>16</v>
      </c>
      <c r="O715" s="111"/>
      <c r="P715" s="100" t="str">
        <f t="shared" si="63"/>
        <v>BCA 8607</v>
      </c>
      <c r="Q715" s="91"/>
      <c r="S715" s="112"/>
      <c r="T715" s="112"/>
      <c r="U715" s="113"/>
      <c r="V715" s="113"/>
      <c r="X715" s="102"/>
    </row>
    <row r="716" spans="1:24" s="101" customFormat="1" hidden="1" x14ac:dyDescent="0.25">
      <c r="A716" s="60" t="str">
        <f t="shared" si="61"/>
        <v>7111,03</v>
      </c>
      <c r="B716" s="60">
        <f>COUNTIF($J$7:J716,J716)</f>
        <v>7</v>
      </c>
      <c r="C716" s="60" t="str">
        <f t="shared" si="62"/>
        <v>0</v>
      </c>
      <c r="D716" s="60">
        <f>COUNTIF($K$7:K716,K716)</f>
        <v>0</v>
      </c>
      <c r="E716" s="91"/>
      <c r="F716" s="92">
        <v>44566</v>
      </c>
      <c r="G716" s="116" t="s">
        <v>149</v>
      </c>
      <c r="H716" s="93" t="s">
        <v>456</v>
      </c>
      <c r="I716" s="94" t="s">
        <v>457</v>
      </c>
      <c r="J716" s="117">
        <v>111.03</v>
      </c>
      <c r="K716" s="108"/>
      <c r="L716" s="97">
        <v>9020000</v>
      </c>
      <c r="M716" s="117"/>
      <c r="N716" s="117" t="s">
        <v>16</v>
      </c>
      <c r="O716" s="111"/>
      <c r="P716" s="100" t="str">
        <f t="shared" si="63"/>
        <v>BCA 8607</v>
      </c>
      <c r="Q716" s="91"/>
      <c r="S716" s="112"/>
      <c r="T716" s="112"/>
      <c r="U716" s="113"/>
      <c r="V716" s="113"/>
      <c r="X716" s="102"/>
    </row>
    <row r="717" spans="1:24" s="101" customFormat="1" hidden="1" x14ac:dyDescent="0.25">
      <c r="A717" s="60" t="str">
        <f t="shared" si="61"/>
        <v>142112</v>
      </c>
      <c r="B717" s="60">
        <f>COUNTIF($J$7:J717,J717)</f>
        <v>142</v>
      </c>
      <c r="C717" s="60" t="str">
        <f t="shared" si="62"/>
        <v>16112,01</v>
      </c>
      <c r="D717" s="60">
        <f>COUNTIF($K$7:K717,K717)</f>
        <v>16</v>
      </c>
      <c r="E717" s="91"/>
      <c r="F717" s="92">
        <v>44566</v>
      </c>
      <c r="G717" s="141" t="s">
        <v>149</v>
      </c>
      <c r="H717" s="93" t="s">
        <v>456</v>
      </c>
      <c r="I717" s="94" t="s">
        <v>457</v>
      </c>
      <c r="J717" s="115">
        <v>112</v>
      </c>
      <c r="K717" s="178">
        <v>112.01</v>
      </c>
      <c r="L717" s="97"/>
      <c r="M717" s="117">
        <v>9020000</v>
      </c>
      <c r="N717" s="117" t="s">
        <v>16</v>
      </c>
      <c r="O717" s="111"/>
      <c r="P717" s="100" t="str">
        <f t="shared" si="63"/>
        <v>Piutang Usaha</v>
      </c>
      <c r="Q717" s="91"/>
      <c r="S717" s="112"/>
      <c r="T717" s="112"/>
      <c r="U717" s="113"/>
      <c r="V717" s="113"/>
      <c r="X717" s="102"/>
    </row>
    <row r="718" spans="1:24" s="101" customFormat="1" hidden="1" x14ac:dyDescent="0.25">
      <c r="A718" s="60" t="str">
        <f t="shared" si="61"/>
        <v>8111,03</v>
      </c>
      <c r="B718" s="60">
        <f>COUNTIF($J$7:J718,J718)</f>
        <v>8</v>
      </c>
      <c r="C718" s="60" t="str">
        <f t="shared" si="62"/>
        <v>0</v>
      </c>
      <c r="D718" s="60">
        <f>COUNTIF($K$7:K718,K718)</f>
        <v>0</v>
      </c>
      <c r="E718" s="91"/>
      <c r="F718" s="92">
        <v>44566</v>
      </c>
      <c r="G718" s="116" t="s">
        <v>149</v>
      </c>
      <c r="H718" s="93" t="s">
        <v>458</v>
      </c>
      <c r="I718" s="94" t="s">
        <v>459</v>
      </c>
      <c r="J718" s="117">
        <v>111.03</v>
      </c>
      <c r="K718" s="108"/>
      <c r="L718" s="97">
        <v>13216500</v>
      </c>
      <c r="M718" s="117"/>
      <c r="N718" s="117" t="s">
        <v>16</v>
      </c>
      <c r="O718" s="111"/>
      <c r="P718" s="100" t="str">
        <f t="shared" si="63"/>
        <v>BCA 8607</v>
      </c>
      <c r="Q718" s="91"/>
      <c r="S718" s="112"/>
      <c r="T718" s="112"/>
      <c r="U718" s="113"/>
      <c r="V718" s="113"/>
      <c r="X718" s="102"/>
    </row>
    <row r="719" spans="1:24" s="101" customFormat="1" hidden="1" x14ac:dyDescent="0.25">
      <c r="A719" s="60" t="str">
        <f t="shared" si="61"/>
        <v>143112</v>
      </c>
      <c r="B719" s="60">
        <f>COUNTIF($J$7:J719,J719)</f>
        <v>143</v>
      </c>
      <c r="C719" s="60" t="str">
        <f t="shared" si="62"/>
        <v>13112,06</v>
      </c>
      <c r="D719" s="60">
        <f>COUNTIF($K$7:K719,K719)</f>
        <v>13</v>
      </c>
      <c r="E719" s="91"/>
      <c r="F719" s="92">
        <v>44566</v>
      </c>
      <c r="G719" s="141" t="s">
        <v>149</v>
      </c>
      <c r="H719" s="93" t="s">
        <v>458</v>
      </c>
      <c r="I719" s="94" t="s">
        <v>459</v>
      </c>
      <c r="J719" s="115">
        <v>112</v>
      </c>
      <c r="K719" s="108">
        <v>112.06</v>
      </c>
      <c r="L719" s="97"/>
      <c r="M719" s="117">
        <v>13216500</v>
      </c>
      <c r="N719" s="117" t="s">
        <v>16</v>
      </c>
      <c r="O719" s="111"/>
      <c r="P719" s="100" t="str">
        <f t="shared" si="63"/>
        <v>Piutang Usaha</v>
      </c>
      <c r="Q719" s="91"/>
      <c r="S719" s="112"/>
      <c r="T719" s="112"/>
      <c r="U719" s="113"/>
      <c r="V719" s="113"/>
      <c r="X719" s="102"/>
    </row>
    <row r="720" spans="1:24" s="101" customFormat="1" hidden="1" x14ac:dyDescent="0.25">
      <c r="A720" s="60" t="str">
        <f t="shared" si="61"/>
        <v>9111,03</v>
      </c>
      <c r="B720" s="60">
        <f>COUNTIF($J$7:J720,J720)</f>
        <v>9</v>
      </c>
      <c r="C720" s="60" t="str">
        <f t="shared" si="62"/>
        <v>0</v>
      </c>
      <c r="D720" s="60">
        <f>COUNTIF($K$7:K720,K720)</f>
        <v>0</v>
      </c>
      <c r="E720" s="91"/>
      <c r="F720" s="92">
        <v>44566</v>
      </c>
      <c r="G720" s="116" t="s">
        <v>149</v>
      </c>
      <c r="H720" s="93" t="s">
        <v>460</v>
      </c>
      <c r="I720" s="94" t="s">
        <v>461</v>
      </c>
      <c r="J720" s="117">
        <v>111.03</v>
      </c>
      <c r="K720" s="108"/>
      <c r="L720" s="97">
        <v>15000000</v>
      </c>
      <c r="M720" s="117"/>
      <c r="N720" s="117" t="s">
        <v>16</v>
      </c>
      <c r="O720" s="111"/>
      <c r="P720" s="100" t="str">
        <f t="shared" si="63"/>
        <v>BCA 8607</v>
      </c>
      <c r="Q720" s="91"/>
      <c r="S720" s="112"/>
      <c r="T720" s="112"/>
      <c r="U720" s="113"/>
      <c r="V720" s="113"/>
      <c r="X720" s="102"/>
    </row>
    <row r="721" spans="1:24" s="101" customFormat="1" hidden="1" x14ac:dyDescent="0.25">
      <c r="A721" s="60" t="str">
        <f t="shared" si="61"/>
        <v>144112</v>
      </c>
      <c r="B721" s="60">
        <f>COUNTIF($J$7:J721,J721)</f>
        <v>144</v>
      </c>
      <c r="C721" s="60" t="str">
        <f t="shared" si="62"/>
        <v>19112,02</v>
      </c>
      <c r="D721" s="60">
        <f>COUNTIF($K$7:K721,K721)</f>
        <v>19</v>
      </c>
      <c r="E721" s="91"/>
      <c r="F721" s="92">
        <v>44566</v>
      </c>
      <c r="G721" s="141" t="s">
        <v>149</v>
      </c>
      <c r="H721" s="93" t="s">
        <v>460</v>
      </c>
      <c r="I721" s="94" t="s">
        <v>461</v>
      </c>
      <c r="J721" s="115">
        <v>112</v>
      </c>
      <c r="K721" s="178">
        <v>112.02</v>
      </c>
      <c r="L721" s="97"/>
      <c r="M721" s="117">
        <v>15000000</v>
      </c>
      <c r="N721" s="117" t="s">
        <v>16</v>
      </c>
      <c r="O721" s="111"/>
      <c r="P721" s="100" t="str">
        <f t="shared" si="63"/>
        <v>Piutang Usaha</v>
      </c>
      <c r="Q721" s="91"/>
      <c r="S721" s="112"/>
      <c r="T721" s="112"/>
      <c r="U721" s="113"/>
      <c r="V721" s="113"/>
      <c r="X721" s="102"/>
    </row>
    <row r="722" spans="1:24" s="101" customFormat="1" hidden="1" x14ac:dyDescent="0.25">
      <c r="A722" s="60" t="str">
        <f t="shared" si="61"/>
        <v>10111,03</v>
      </c>
      <c r="B722" s="60">
        <f>COUNTIF($J$7:J722,J722)</f>
        <v>10</v>
      </c>
      <c r="C722" s="60" t="str">
        <f t="shared" si="62"/>
        <v>0</v>
      </c>
      <c r="D722" s="60">
        <f>COUNTIF($K$7:K722,K722)</f>
        <v>0</v>
      </c>
      <c r="E722" s="91"/>
      <c r="F722" s="92">
        <v>44566</v>
      </c>
      <c r="G722" s="116" t="s">
        <v>149</v>
      </c>
      <c r="H722" s="93" t="s">
        <v>462</v>
      </c>
      <c r="I722" s="94" t="s">
        <v>463</v>
      </c>
      <c r="J722" s="117">
        <v>111.03</v>
      </c>
      <c r="K722" s="108"/>
      <c r="L722" s="97">
        <v>23023000</v>
      </c>
      <c r="M722" s="117"/>
      <c r="N722" s="117" t="s">
        <v>16</v>
      </c>
      <c r="O722" s="111"/>
      <c r="P722" s="100" t="str">
        <f t="shared" si="63"/>
        <v>BCA 8607</v>
      </c>
      <c r="Q722" s="91"/>
      <c r="S722" s="112"/>
      <c r="T722" s="112"/>
      <c r="U722" s="113"/>
      <c r="V722" s="113"/>
      <c r="X722" s="102"/>
    </row>
    <row r="723" spans="1:24" s="101" customFormat="1" hidden="1" x14ac:dyDescent="0.25">
      <c r="A723" s="60" t="str">
        <f t="shared" si="61"/>
        <v>145112</v>
      </c>
      <c r="B723" s="60">
        <f>COUNTIF($J$7:J723,J723)</f>
        <v>145</v>
      </c>
      <c r="C723" s="60" t="str">
        <f t="shared" si="62"/>
        <v>14112,06</v>
      </c>
      <c r="D723" s="60">
        <f>COUNTIF($K$7:K723,K723)</f>
        <v>14</v>
      </c>
      <c r="E723" s="91"/>
      <c r="F723" s="92">
        <v>44566</v>
      </c>
      <c r="G723" s="141" t="s">
        <v>149</v>
      </c>
      <c r="H723" s="93" t="s">
        <v>462</v>
      </c>
      <c r="I723" s="94" t="s">
        <v>463</v>
      </c>
      <c r="J723" s="115">
        <v>112</v>
      </c>
      <c r="K723" s="108">
        <v>112.06</v>
      </c>
      <c r="L723" s="97"/>
      <c r="M723" s="117">
        <v>23023000</v>
      </c>
      <c r="N723" s="117" t="s">
        <v>16</v>
      </c>
      <c r="O723" s="111"/>
      <c r="P723" s="100" t="str">
        <f t="shared" si="63"/>
        <v>Piutang Usaha</v>
      </c>
      <c r="Q723" s="91"/>
      <c r="S723" s="112"/>
      <c r="T723" s="112"/>
      <c r="U723" s="113"/>
      <c r="V723" s="113"/>
      <c r="X723" s="102"/>
    </row>
    <row r="724" spans="1:24" s="101" customFormat="1" ht="30" hidden="1" x14ac:dyDescent="0.25">
      <c r="A724" s="60" t="str">
        <f t="shared" si="61"/>
        <v>11111,03</v>
      </c>
      <c r="B724" s="60">
        <f>COUNTIF($J$7:J724,J724)</f>
        <v>11</v>
      </c>
      <c r="C724" s="60" t="str">
        <f t="shared" si="62"/>
        <v>0</v>
      </c>
      <c r="D724" s="60">
        <f>COUNTIF($K$7:K724,K724)</f>
        <v>0</v>
      </c>
      <c r="E724" s="91"/>
      <c r="F724" s="92">
        <v>44566</v>
      </c>
      <c r="G724" s="116" t="s">
        <v>149</v>
      </c>
      <c r="H724" s="93" t="s">
        <v>464</v>
      </c>
      <c r="I724" s="94" t="s">
        <v>465</v>
      </c>
      <c r="J724" s="117">
        <v>111.03</v>
      </c>
      <c r="K724" s="108"/>
      <c r="L724" s="97">
        <v>4620000</v>
      </c>
      <c r="M724" s="117"/>
      <c r="N724" s="117" t="s">
        <v>16</v>
      </c>
      <c r="O724" s="111"/>
      <c r="P724" s="100" t="str">
        <f t="shared" si="63"/>
        <v>BCA 8607</v>
      </c>
      <c r="Q724" s="91"/>
      <c r="S724" s="112"/>
      <c r="T724" s="112"/>
      <c r="U724" s="113"/>
      <c r="V724" s="113"/>
      <c r="X724" s="102"/>
    </row>
    <row r="725" spans="1:24" s="101" customFormat="1" ht="30" hidden="1" x14ac:dyDescent="0.25">
      <c r="A725" s="60" t="str">
        <f t="shared" si="61"/>
        <v>146112</v>
      </c>
      <c r="B725" s="60">
        <f>COUNTIF($J$7:J725,J725)</f>
        <v>146</v>
      </c>
      <c r="C725" s="60" t="str">
        <f t="shared" si="62"/>
        <v>15112,06</v>
      </c>
      <c r="D725" s="60">
        <f>COUNTIF($K$7:K725,K725)</f>
        <v>15</v>
      </c>
      <c r="E725" s="91"/>
      <c r="F725" s="92">
        <v>44566</v>
      </c>
      <c r="G725" s="141" t="s">
        <v>149</v>
      </c>
      <c r="H725" s="93" t="s">
        <v>464</v>
      </c>
      <c r="I725" s="94" t="s">
        <v>465</v>
      </c>
      <c r="J725" s="115">
        <v>112</v>
      </c>
      <c r="K725" s="108">
        <v>112.06</v>
      </c>
      <c r="L725" s="97"/>
      <c r="M725" s="117">
        <v>4620000</v>
      </c>
      <c r="N725" s="117" t="s">
        <v>16</v>
      </c>
      <c r="O725" s="111"/>
      <c r="P725" s="100" t="str">
        <f t="shared" si="63"/>
        <v>Piutang Usaha</v>
      </c>
      <c r="Q725" s="91"/>
      <c r="S725" s="112"/>
      <c r="T725" s="112"/>
      <c r="U725" s="113"/>
      <c r="V725" s="113"/>
      <c r="X725" s="102"/>
    </row>
    <row r="726" spans="1:24" s="101" customFormat="1" x14ac:dyDescent="0.25">
      <c r="A726" s="60" t="str">
        <f t="shared" si="61"/>
        <v>12111,03</v>
      </c>
      <c r="B726" s="60">
        <f>COUNTIF($J$7:J726,J726)</f>
        <v>12</v>
      </c>
      <c r="C726" s="60" t="str">
        <f t="shared" si="62"/>
        <v>0</v>
      </c>
      <c r="D726" s="60">
        <f>COUNTIF($K$7:K726,K726)</f>
        <v>0</v>
      </c>
      <c r="E726" s="91"/>
      <c r="F726" s="92">
        <v>44567</v>
      </c>
      <c r="G726" s="116" t="s">
        <v>149</v>
      </c>
      <c r="H726" s="93" t="s">
        <v>466</v>
      </c>
      <c r="I726" s="94" t="s">
        <v>467</v>
      </c>
      <c r="J726" s="117">
        <v>111.03</v>
      </c>
      <c r="K726" s="108"/>
      <c r="L726" s="97">
        <v>85691000</v>
      </c>
      <c r="M726" s="117"/>
      <c r="N726" s="117" t="s">
        <v>16</v>
      </c>
      <c r="O726" s="111"/>
      <c r="P726" s="100" t="str">
        <f t="shared" si="63"/>
        <v>BCA 8607</v>
      </c>
      <c r="Q726" s="91"/>
      <c r="S726" s="112"/>
      <c r="T726" s="112"/>
      <c r="U726" s="113"/>
      <c r="V726" s="113"/>
      <c r="X726" s="102"/>
    </row>
    <row r="727" spans="1:24" s="101" customFormat="1" x14ac:dyDescent="0.25">
      <c r="A727" s="60" t="str">
        <f t="shared" si="61"/>
        <v>147112</v>
      </c>
      <c r="B727" s="60">
        <f>COUNTIF($J$7:J727,J727)</f>
        <v>147</v>
      </c>
      <c r="C727" s="60" t="str">
        <f t="shared" si="62"/>
        <v>6112,43</v>
      </c>
      <c r="D727" s="60">
        <f>COUNTIF($K$7:K727,K727)</f>
        <v>6</v>
      </c>
      <c r="E727" s="91"/>
      <c r="F727" s="92">
        <v>44567</v>
      </c>
      <c r="G727" s="141" t="s">
        <v>149</v>
      </c>
      <c r="H727" s="93" t="s">
        <v>466</v>
      </c>
      <c r="I727" s="94" t="s">
        <v>467</v>
      </c>
      <c r="J727" s="115">
        <v>112</v>
      </c>
      <c r="K727" s="108">
        <v>112.43</v>
      </c>
      <c r="L727" s="97"/>
      <c r="M727" s="117">
        <v>85691000</v>
      </c>
      <c r="N727" s="117" t="s">
        <v>16</v>
      </c>
      <c r="O727" s="111"/>
      <c r="P727" s="100" t="str">
        <f t="shared" si="63"/>
        <v>Piutang Usaha</v>
      </c>
      <c r="Q727" s="91"/>
      <c r="S727" s="112"/>
      <c r="T727" s="112"/>
      <c r="U727" s="113"/>
      <c r="V727" s="113"/>
      <c r="X727" s="102"/>
    </row>
    <row r="728" spans="1:24" s="101" customFormat="1" hidden="1" x14ac:dyDescent="0.25">
      <c r="A728" s="60" t="str">
        <f t="shared" si="61"/>
        <v>13111,03</v>
      </c>
      <c r="B728" s="60">
        <f>COUNTIF($J$7:J728,J728)</f>
        <v>13</v>
      </c>
      <c r="C728" s="60" t="str">
        <f t="shared" si="62"/>
        <v>0</v>
      </c>
      <c r="D728" s="60">
        <f>COUNTIF($K$7:K728,K728)</f>
        <v>0</v>
      </c>
      <c r="E728" s="91"/>
      <c r="F728" s="92">
        <v>44568</v>
      </c>
      <c r="G728" s="116" t="s">
        <v>149</v>
      </c>
      <c r="H728" s="93" t="s">
        <v>468</v>
      </c>
      <c r="I728" s="94" t="s">
        <v>469</v>
      </c>
      <c r="J728" s="117">
        <v>111.03</v>
      </c>
      <c r="K728" s="108"/>
      <c r="L728" s="97">
        <v>97000</v>
      </c>
      <c r="M728" s="117"/>
      <c r="N728" s="117"/>
      <c r="O728" s="111"/>
      <c r="P728" s="100" t="str">
        <f t="shared" si="63"/>
        <v>BCA 8607</v>
      </c>
      <c r="Q728" s="91"/>
      <c r="S728" s="112"/>
      <c r="T728" s="112"/>
      <c r="U728" s="113"/>
      <c r="V728" s="113"/>
      <c r="X728" s="102"/>
    </row>
    <row r="729" spans="1:24" s="101" customFormat="1" hidden="1" x14ac:dyDescent="0.25">
      <c r="A729" s="60" t="str">
        <f t="shared" si="61"/>
        <v>3511,04</v>
      </c>
      <c r="B729" s="60">
        <f>COUNTIF($J$7:J729,J729)</f>
        <v>3</v>
      </c>
      <c r="C729" s="60" t="str">
        <f t="shared" si="62"/>
        <v>0</v>
      </c>
      <c r="D729" s="60">
        <f>COUNTIF($K$7:K729,K729)</f>
        <v>0</v>
      </c>
      <c r="E729" s="91"/>
      <c r="F729" s="92">
        <v>44568</v>
      </c>
      <c r="G729" s="116" t="s">
        <v>149</v>
      </c>
      <c r="H729" s="93" t="s">
        <v>468</v>
      </c>
      <c r="I729" s="94" t="s">
        <v>469</v>
      </c>
      <c r="J729" s="115">
        <v>511.04</v>
      </c>
      <c r="K729" s="108"/>
      <c r="L729" s="97"/>
      <c r="M729" s="117">
        <v>97000</v>
      </c>
      <c r="N729" s="117"/>
      <c r="O729" s="111"/>
      <c r="P729" s="100" t="str">
        <f t="shared" si="63"/>
        <v>Biaya pengiriman Via Online (Gojek,Grab), Kuli</v>
      </c>
      <c r="Q729" s="91"/>
      <c r="S729" s="112"/>
      <c r="T729" s="112"/>
      <c r="U729" s="113"/>
      <c r="V729" s="113"/>
      <c r="X729" s="102"/>
    </row>
    <row r="730" spans="1:24" s="101" customFormat="1" hidden="1" x14ac:dyDescent="0.25">
      <c r="A730" s="60" t="str">
        <f t="shared" si="61"/>
        <v>14111,03</v>
      </c>
      <c r="B730" s="60">
        <f>COUNTIF($J$7:J730,J730)</f>
        <v>14</v>
      </c>
      <c r="C730" s="60" t="str">
        <f t="shared" si="62"/>
        <v>0</v>
      </c>
      <c r="D730" s="60">
        <f>COUNTIF($K$7:K730,K730)</f>
        <v>0</v>
      </c>
      <c r="E730" s="91"/>
      <c r="F730" s="92">
        <v>44568</v>
      </c>
      <c r="G730" s="72" t="s">
        <v>149</v>
      </c>
      <c r="H730" s="93" t="s">
        <v>470</v>
      </c>
      <c r="I730" s="94" t="s">
        <v>471</v>
      </c>
      <c r="J730" s="117">
        <v>111.03</v>
      </c>
      <c r="K730" s="108"/>
      <c r="L730" s="97">
        <v>4262500</v>
      </c>
      <c r="M730" s="117"/>
      <c r="N730" s="117"/>
      <c r="O730" s="111"/>
      <c r="P730" s="100" t="str">
        <f t="shared" si="63"/>
        <v>BCA 8607</v>
      </c>
      <c r="Q730" s="91"/>
      <c r="S730" s="112"/>
      <c r="T730" s="112"/>
      <c r="U730" s="113"/>
      <c r="V730" s="113"/>
      <c r="X730" s="102"/>
    </row>
    <row r="731" spans="1:24" s="101" customFormat="1" hidden="1" x14ac:dyDescent="0.25">
      <c r="A731" s="60" t="str">
        <f t="shared" si="61"/>
        <v>148112</v>
      </c>
      <c r="B731" s="60">
        <f>COUNTIF($J$7:J731,J731)</f>
        <v>148</v>
      </c>
      <c r="C731" s="60" t="str">
        <f t="shared" si="62"/>
        <v>5112,07</v>
      </c>
      <c r="D731" s="60">
        <f>COUNTIF($K$7:K731,K731)</f>
        <v>5</v>
      </c>
      <c r="E731" s="91"/>
      <c r="F731" s="92">
        <v>44568</v>
      </c>
      <c r="G731" s="164" t="s">
        <v>149</v>
      </c>
      <c r="H731" s="93" t="s">
        <v>470</v>
      </c>
      <c r="I731" s="94" t="s">
        <v>471</v>
      </c>
      <c r="J731" s="115">
        <v>112</v>
      </c>
      <c r="K731" s="108">
        <v>112.07</v>
      </c>
      <c r="L731" s="97"/>
      <c r="M731" s="117">
        <v>4262500</v>
      </c>
      <c r="N731" s="117"/>
      <c r="O731" s="111"/>
      <c r="P731" s="100" t="str">
        <f t="shared" si="63"/>
        <v>Piutang Usaha</v>
      </c>
      <c r="Q731" s="91"/>
      <c r="S731" s="112"/>
      <c r="T731" s="112"/>
      <c r="U731" s="113"/>
      <c r="V731" s="113"/>
      <c r="X731" s="102"/>
    </row>
    <row r="732" spans="1:24" s="101" customFormat="1" hidden="1" x14ac:dyDescent="0.25">
      <c r="A732" s="60" t="str">
        <f t="shared" si="61"/>
        <v>15111,03</v>
      </c>
      <c r="B732" s="60">
        <f>COUNTIF($J$7:J732,J732)</f>
        <v>15</v>
      </c>
      <c r="C732" s="60" t="str">
        <f t="shared" si="62"/>
        <v>0</v>
      </c>
      <c r="D732" s="60">
        <f>COUNTIF($K$7:K732,K732)</f>
        <v>0</v>
      </c>
      <c r="E732" s="91"/>
      <c r="F732" s="92">
        <v>44566</v>
      </c>
      <c r="G732" s="72" t="s">
        <v>149</v>
      </c>
      <c r="H732" s="93" t="s">
        <v>472</v>
      </c>
      <c r="I732" s="94" t="s">
        <v>99</v>
      </c>
      <c r="J732" s="117">
        <v>111.03</v>
      </c>
      <c r="K732" s="108"/>
      <c r="L732" s="97">
        <v>4262500</v>
      </c>
      <c r="M732" s="117"/>
      <c r="N732" s="117" t="s">
        <v>16</v>
      </c>
      <c r="O732" s="111"/>
      <c r="P732" s="100" t="str">
        <f t="shared" si="63"/>
        <v>BCA 8607</v>
      </c>
      <c r="Q732" s="91"/>
      <c r="S732" s="112"/>
      <c r="T732" s="112"/>
      <c r="U732" s="113"/>
      <c r="V732" s="113"/>
      <c r="X732" s="102"/>
    </row>
    <row r="733" spans="1:24" s="101" customFormat="1" hidden="1" x14ac:dyDescent="0.25">
      <c r="A733" s="60" t="str">
        <f t="shared" si="61"/>
        <v>149112</v>
      </c>
      <c r="B733" s="60">
        <f>COUNTIF($J$7:J733,J733)</f>
        <v>149</v>
      </c>
      <c r="C733" s="60" t="str">
        <f t="shared" si="62"/>
        <v>6112,07</v>
      </c>
      <c r="D733" s="60">
        <f>COUNTIF($K$7:K733,K733)</f>
        <v>6</v>
      </c>
      <c r="E733" s="91"/>
      <c r="F733" s="92">
        <v>44566</v>
      </c>
      <c r="G733" s="164" t="s">
        <v>149</v>
      </c>
      <c r="H733" s="93" t="s">
        <v>472</v>
      </c>
      <c r="I733" s="94" t="s">
        <v>99</v>
      </c>
      <c r="J733" s="115">
        <v>112</v>
      </c>
      <c r="K733" s="108">
        <v>112.07</v>
      </c>
      <c r="L733" s="97"/>
      <c r="M733" s="117">
        <v>4262500</v>
      </c>
      <c r="N733" s="117" t="s">
        <v>16</v>
      </c>
      <c r="O733" s="111"/>
      <c r="P733" s="100" t="str">
        <f t="shared" si="63"/>
        <v>Piutang Usaha</v>
      </c>
      <c r="Q733" s="91"/>
      <c r="S733" s="112"/>
      <c r="T733" s="112"/>
      <c r="U733" s="113"/>
      <c r="V733" s="113"/>
      <c r="X733" s="102"/>
    </row>
    <row r="734" spans="1:24" s="101" customFormat="1" ht="30" hidden="1" x14ac:dyDescent="0.25">
      <c r="A734" s="60" t="str">
        <f t="shared" si="61"/>
        <v>16111,03</v>
      </c>
      <c r="B734" s="60">
        <f>COUNTIF($J$7:J734,J734)</f>
        <v>16</v>
      </c>
      <c r="C734" s="60" t="str">
        <f t="shared" si="62"/>
        <v>0</v>
      </c>
      <c r="D734" s="60">
        <f>COUNTIF($K$7:K734,K734)</f>
        <v>0</v>
      </c>
      <c r="E734" s="91"/>
      <c r="F734" s="92">
        <v>44568</v>
      </c>
      <c r="G734" s="116" t="s">
        <v>149</v>
      </c>
      <c r="H734" s="93" t="s">
        <v>473</v>
      </c>
      <c r="I734" s="94" t="s">
        <v>474</v>
      </c>
      <c r="J734" s="117">
        <v>111.03</v>
      </c>
      <c r="K734" s="108"/>
      <c r="L734" s="97">
        <v>9600000</v>
      </c>
      <c r="M734" s="117"/>
      <c r="N734" s="117"/>
      <c r="O734" s="111"/>
      <c r="P734" s="100" t="str">
        <f t="shared" si="63"/>
        <v>BCA 8607</v>
      </c>
      <c r="Q734" s="91"/>
      <c r="S734" s="112"/>
      <c r="T734" s="112"/>
      <c r="U734" s="113"/>
      <c r="V734" s="113"/>
      <c r="X734" s="102"/>
    </row>
    <row r="735" spans="1:24" s="101" customFormat="1" ht="30" hidden="1" x14ac:dyDescent="0.25">
      <c r="A735" s="60" t="str">
        <f t="shared" si="61"/>
        <v>150112</v>
      </c>
      <c r="B735" s="60">
        <f>COUNTIF($J$7:J735,J735)</f>
        <v>150</v>
      </c>
      <c r="C735" s="60" t="str">
        <f t="shared" si="62"/>
        <v>5112,35</v>
      </c>
      <c r="D735" s="60">
        <f>COUNTIF($K$7:K735,K735)</f>
        <v>5</v>
      </c>
      <c r="E735" s="91"/>
      <c r="F735" s="92">
        <v>44568</v>
      </c>
      <c r="G735" s="141" t="s">
        <v>149</v>
      </c>
      <c r="H735" s="93" t="s">
        <v>473</v>
      </c>
      <c r="I735" s="94" t="s">
        <v>474</v>
      </c>
      <c r="J735" s="115">
        <v>112</v>
      </c>
      <c r="K735" s="108">
        <v>112.35</v>
      </c>
      <c r="L735" s="97"/>
      <c r="M735" s="117">
        <v>9600000</v>
      </c>
      <c r="N735" s="117"/>
      <c r="O735" s="111"/>
      <c r="P735" s="100" t="str">
        <f t="shared" si="63"/>
        <v>Piutang Usaha</v>
      </c>
      <c r="Q735" s="91"/>
      <c r="S735" s="112"/>
      <c r="T735" s="112"/>
      <c r="U735" s="113"/>
      <c r="V735" s="113"/>
      <c r="X735" s="102"/>
    </row>
    <row r="736" spans="1:24" s="101" customFormat="1" ht="37.9" hidden="1" customHeight="1" x14ac:dyDescent="0.25">
      <c r="A736" s="60" t="str">
        <f t="shared" si="61"/>
        <v>17111,03</v>
      </c>
      <c r="B736" s="60">
        <f>COUNTIF($J$7:J736,J736)</f>
        <v>17</v>
      </c>
      <c r="C736" s="60" t="str">
        <f t="shared" si="62"/>
        <v>0</v>
      </c>
      <c r="D736" s="60">
        <f>COUNTIF($K$7:K736,K736)</f>
        <v>0</v>
      </c>
      <c r="E736" s="91"/>
      <c r="F736" s="92">
        <v>44568</v>
      </c>
      <c r="G736" s="116" t="s">
        <v>149</v>
      </c>
      <c r="H736" s="93" t="s">
        <v>475</v>
      </c>
      <c r="I736" s="94" t="s">
        <v>476</v>
      </c>
      <c r="J736" s="117">
        <v>111.03</v>
      </c>
      <c r="K736" s="108"/>
      <c r="L736" s="97">
        <v>77000000</v>
      </c>
      <c r="M736" s="117"/>
      <c r="N736" s="117"/>
      <c r="O736" s="111"/>
      <c r="P736" s="100" t="str">
        <f t="shared" si="63"/>
        <v>BCA 8607</v>
      </c>
      <c r="Q736" s="91"/>
      <c r="S736" s="112"/>
      <c r="T736" s="112"/>
      <c r="U736" s="113"/>
      <c r="V736" s="113"/>
      <c r="X736" s="102"/>
    </row>
    <row r="737" spans="1:24" s="101" customFormat="1" hidden="1" x14ac:dyDescent="0.25">
      <c r="A737" s="60" t="str">
        <f t="shared" si="61"/>
        <v>151112</v>
      </c>
      <c r="B737" s="60">
        <f>COUNTIF($J$7:J737,J737)</f>
        <v>151</v>
      </c>
      <c r="C737" s="60" t="str">
        <f t="shared" si="62"/>
        <v>17112,01</v>
      </c>
      <c r="D737" s="60">
        <f>COUNTIF($K$7:K737,K737)</f>
        <v>17</v>
      </c>
      <c r="E737" s="91"/>
      <c r="F737" s="92">
        <v>44568</v>
      </c>
      <c r="G737" s="141" t="s">
        <v>149</v>
      </c>
      <c r="H737" s="93" t="s">
        <v>475</v>
      </c>
      <c r="I737" s="94" t="s">
        <v>476</v>
      </c>
      <c r="J737" s="115">
        <v>112</v>
      </c>
      <c r="K737" s="178">
        <v>112.01</v>
      </c>
      <c r="L737" s="97"/>
      <c r="M737" s="117">
        <v>77000000</v>
      </c>
      <c r="N737" s="117"/>
      <c r="O737" s="111"/>
      <c r="P737" s="100" t="str">
        <f t="shared" si="63"/>
        <v>Piutang Usaha</v>
      </c>
      <c r="Q737" s="91"/>
      <c r="S737" s="112"/>
      <c r="T737" s="112"/>
      <c r="U737" s="113"/>
      <c r="V737" s="113"/>
      <c r="X737" s="102"/>
    </row>
    <row r="738" spans="1:24" s="101" customFormat="1" ht="33" hidden="1" customHeight="1" x14ac:dyDescent="0.25">
      <c r="A738" s="60" t="str">
        <f t="shared" si="61"/>
        <v>18111,03</v>
      </c>
      <c r="B738" s="60">
        <f>COUNTIF($J$7:J738,J738)</f>
        <v>18</v>
      </c>
      <c r="C738" s="60" t="str">
        <f t="shared" si="62"/>
        <v>0</v>
      </c>
      <c r="D738" s="60">
        <f>COUNTIF($K$7:K738,K738)</f>
        <v>0</v>
      </c>
      <c r="E738" s="91"/>
      <c r="F738" s="92">
        <v>44568</v>
      </c>
      <c r="G738" s="116" t="s">
        <v>149</v>
      </c>
      <c r="H738" s="93" t="s">
        <v>477</v>
      </c>
      <c r="I738" s="94" t="s">
        <v>478</v>
      </c>
      <c r="J738" s="117">
        <v>111.03</v>
      </c>
      <c r="K738" s="108"/>
      <c r="L738" s="97">
        <v>15625500</v>
      </c>
      <c r="M738" s="117"/>
      <c r="N738" s="117"/>
      <c r="O738" s="111"/>
      <c r="P738" s="100" t="str">
        <f t="shared" si="63"/>
        <v>BCA 8607</v>
      </c>
      <c r="Q738" s="91"/>
      <c r="S738" s="112"/>
      <c r="T738" s="112"/>
      <c r="U738" s="113"/>
      <c r="V738" s="113"/>
      <c r="X738" s="102"/>
    </row>
    <row r="739" spans="1:24" s="101" customFormat="1" hidden="1" x14ac:dyDescent="0.25">
      <c r="A739" s="60" t="str">
        <f t="shared" si="61"/>
        <v>152112</v>
      </c>
      <c r="B739" s="60">
        <f>COUNTIF($J$7:J739,J739)</f>
        <v>152</v>
      </c>
      <c r="C739" s="60" t="str">
        <f t="shared" si="62"/>
        <v>16112,06</v>
      </c>
      <c r="D739" s="60">
        <f>COUNTIF($K$7:K739,K739)</f>
        <v>16</v>
      </c>
      <c r="E739" s="91"/>
      <c r="F739" s="92">
        <v>44568</v>
      </c>
      <c r="G739" s="141" t="s">
        <v>149</v>
      </c>
      <c r="H739" s="93" t="s">
        <v>477</v>
      </c>
      <c r="I739" s="94" t="s">
        <v>478</v>
      </c>
      <c r="J739" s="115">
        <v>112</v>
      </c>
      <c r="K739" s="108">
        <v>112.06</v>
      </c>
      <c r="L739" s="97"/>
      <c r="M739" s="117">
        <v>15625500</v>
      </c>
      <c r="N739" s="117"/>
      <c r="O739" s="111"/>
      <c r="P739" s="100" t="str">
        <f t="shared" si="63"/>
        <v>Piutang Usaha</v>
      </c>
      <c r="Q739" s="91"/>
      <c r="S739" s="112"/>
      <c r="T739" s="112"/>
      <c r="U739" s="113"/>
      <c r="V739" s="113"/>
      <c r="X739" s="102"/>
    </row>
    <row r="740" spans="1:24" s="101" customFormat="1" ht="30" hidden="1" x14ac:dyDescent="0.25">
      <c r="A740" s="60" t="str">
        <f t="shared" si="61"/>
        <v>19111,03</v>
      </c>
      <c r="B740" s="60">
        <f>COUNTIF($J$7:J740,J740)</f>
        <v>19</v>
      </c>
      <c r="C740" s="60" t="str">
        <f t="shared" si="62"/>
        <v>0</v>
      </c>
      <c r="D740" s="60">
        <f>COUNTIF($K$7:K740,K740)</f>
        <v>0</v>
      </c>
      <c r="E740" s="91"/>
      <c r="F740" s="92">
        <v>44568</v>
      </c>
      <c r="G740" s="116" t="s">
        <v>149</v>
      </c>
      <c r="H740" s="93" t="s">
        <v>479</v>
      </c>
      <c r="I740" s="94" t="s">
        <v>480</v>
      </c>
      <c r="J740" s="117">
        <v>111.03</v>
      </c>
      <c r="K740" s="108"/>
      <c r="L740" s="97">
        <v>2598750</v>
      </c>
      <c r="M740" s="117"/>
      <c r="N740" s="117"/>
      <c r="O740" s="111"/>
      <c r="P740" s="100" t="str">
        <f t="shared" si="63"/>
        <v>BCA 8607</v>
      </c>
      <c r="Q740" s="91"/>
      <c r="S740" s="112"/>
      <c r="T740" s="112"/>
      <c r="U740" s="113"/>
      <c r="V740" s="113"/>
      <c r="X740" s="102"/>
    </row>
    <row r="741" spans="1:24" s="101" customFormat="1" ht="30" hidden="1" x14ac:dyDescent="0.25">
      <c r="A741" s="60" t="str">
        <f t="shared" si="61"/>
        <v>153112</v>
      </c>
      <c r="B741" s="60">
        <f>COUNTIF($J$7:J741,J741)</f>
        <v>153</v>
      </c>
      <c r="C741" s="60" t="str">
        <f t="shared" si="62"/>
        <v>17112,06</v>
      </c>
      <c r="D741" s="60">
        <f>COUNTIF($K$7:K741,K741)</f>
        <v>17</v>
      </c>
      <c r="E741" s="91"/>
      <c r="F741" s="92">
        <v>44568</v>
      </c>
      <c r="G741" s="141" t="s">
        <v>149</v>
      </c>
      <c r="H741" s="93" t="s">
        <v>479</v>
      </c>
      <c r="I741" s="94" t="s">
        <v>480</v>
      </c>
      <c r="J741" s="115">
        <v>112</v>
      </c>
      <c r="K741" s="108">
        <v>112.06</v>
      </c>
      <c r="L741" s="97"/>
      <c r="M741" s="117">
        <v>2598750</v>
      </c>
      <c r="N741" s="117"/>
      <c r="O741" s="111"/>
      <c r="P741" s="100" t="str">
        <f t="shared" si="63"/>
        <v>Piutang Usaha</v>
      </c>
      <c r="Q741" s="91"/>
      <c r="S741" s="112"/>
      <c r="T741" s="112"/>
      <c r="U741" s="113"/>
      <c r="V741" s="113"/>
      <c r="X741" s="102"/>
    </row>
    <row r="742" spans="1:24" s="101" customFormat="1" hidden="1" x14ac:dyDescent="0.25">
      <c r="A742" s="60" t="str">
        <f t="shared" si="61"/>
        <v>20111,03</v>
      </c>
      <c r="B742" s="60">
        <f>COUNTIF($J$7:J742,J742)</f>
        <v>20</v>
      </c>
      <c r="C742" s="60" t="str">
        <f t="shared" si="62"/>
        <v>0</v>
      </c>
      <c r="D742" s="60">
        <f>COUNTIF($K$7:K742,K742)</f>
        <v>0</v>
      </c>
      <c r="E742" s="91"/>
      <c r="F742" s="92">
        <v>44568</v>
      </c>
      <c r="G742" s="116" t="s">
        <v>149</v>
      </c>
      <c r="H742" s="93" t="s">
        <v>481</v>
      </c>
      <c r="I742" s="94" t="s">
        <v>482</v>
      </c>
      <c r="J742" s="117">
        <v>111.03</v>
      </c>
      <c r="K742" s="108"/>
      <c r="L742" s="97">
        <v>2145000</v>
      </c>
      <c r="M742" s="117"/>
      <c r="N742" s="117"/>
      <c r="O742" s="111"/>
      <c r="P742" s="100" t="str">
        <f t="shared" si="63"/>
        <v>BCA 8607</v>
      </c>
      <c r="Q742" s="91"/>
      <c r="S742" s="112"/>
      <c r="T742" s="112"/>
      <c r="U742" s="113"/>
      <c r="V742" s="113"/>
      <c r="X742" s="102"/>
    </row>
    <row r="743" spans="1:24" s="101" customFormat="1" hidden="1" x14ac:dyDescent="0.25">
      <c r="A743" s="60" t="str">
        <f t="shared" si="61"/>
        <v>154112</v>
      </c>
      <c r="B743" s="60">
        <f>COUNTIF($J$7:J743,J743)</f>
        <v>154</v>
      </c>
      <c r="C743" s="60" t="str">
        <f t="shared" si="62"/>
        <v>9112,3</v>
      </c>
      <c r="D743" s="60">
        <f>COUNTIF($K$7:K743,K743)</f>
        <v>9</v>
      </c>
      <c r="E743" s="91"/>
      <c r="F743" s="92">
        <v>44568</v>
      </c>
      <c r="G743" s="141" t="s">
        <v>149</v>
      </c>
      <c r="H743" s="93" t="s">
        <v>481</v>
      </c>
      <c r="I743" s="94" t="s">
        <v>482</v>
      </c>
      <c r="J743" s="115">
        <v>112</v>
      </c>
      <c r="K743" s="108">
        <v>112.3</v>
      </c>
      <c r="L743" s="97"/>
      <c r="M743" s="117">
        <v>2145000</v>
      </c>
      <c r="N743" s="117"/>
      <c r="O743" s="111"/>
      <c r="P743" s="100" t="str">
        <f t="shared" si="63"/>
        <v>Piutang Usaha</v>
      </c>
      <c r="Q743" s="91"/>
      <c r="S743" s="112"/>
      <c r="T743" s="112"/>
      <c r="U743" s="113"/>
      <c r="V743" s="113"/>
      <c r="X743" s="102"/>
    </row>
    <row r="744" spans="1:24" s="101" customFormat="1" hidden="1" x14ac:dyDescent="0.25">
      <c r="A744" s="60" t="str">
        <f t="shared" si="61"/>
        <v>21111,03</v>
      </c>
      <c r="B744" s="60">
        <f>COUNTIF($J$7:J744,J744)</f>
        <v>21</v>
      </c>
      <c r="C744" s="60" t="str">
        <f t="shared" si="62"/>
        <v>0</v>
      </c>
      <c r="D744" s="60">
        <f>COUNTIF($K$7:K744,K744)</f>
        <v>0</v>
      </c>
      <c r="E744" s="91"/>
      <c r="F744" s="92">
        <v>44571</v>
      </c>
      <c r="G744" s="116" t="s">
        <v>149</v>
      </c>
      <c r="H744" s="93" t="s">
        <v>483</v>
      </c>
      <c r="I744" s="114" t="s">
        <v>484</v>
      </c>
      <c r="J744" s="117">
        <v>111.03</v>
      </c>
      <c r="K744" s="178"/>
      <c r="L744" s="97">
        <v>3630000</v>
      </c>
      <c r="M744" s="117"/>
      <c r="N744" s="117"/>
      <c r="O744" s="111"/>
      <c r="P744" s="100" t="str">
        <f t="shared" si="63"/>
        <v>BCA 8607</v>
      </c>
      <c r="Q744" s="91"/>
      <c r="S744" s="112"/>
      <c r="T744" s="112"/>
      <c r="U744" s="113"/>
      <c r="V744" s="113"/>
      <c r="X744" s="102"/>
    </row>
    <row r="745" spans="1:24" s="101" customFormat="1" hidden="1" x14ac:dyDescent="0.25">
      <c r="A745" s="60" t="str">
        <f t="shared" si="61"/>
        <v>155112</v>
      </c>
      <c r="B745" s="60">
        <f>COUNTIF($J$7:J745,J745)</f>
        <v>155</v>
      </c>
      <c r="C745" s="60" t="str">
        <f t="shared" si="62"/>
        <v>3112,31</v>
      </c>
      <c r="D745" s="60">
        <f>COUNTIF($K$7:K745,K745)</f>
        <v>3</v>
      </c>
      <c r="E745" s="91"/>
      <c r="F745" s="92">
        <v>44571</v>
      </c>
      <c r="G745" s="141" t="s">
        <v>149</v>
      </c>
      <c r="H745" s="93" t="s">
        <v>483</v>
      </c>
      <c r="I745" s="114" t="s">
        <v>484</v>
      </c>
      <c r="J745" s="115">
        <v>112</v>
      </c>
      <c r="K745" s="108">
        <v>112.31</v>
      </c>
      <c r="L745" s="97"/>
      <c r="M745" s="117">
        <v>3630000</v>
      </c>
      <c r="N745" s="117"/>
      <c r="O745" s="111"/>
      <c r="P745" s="100" t="str">
        <f t="shared" si="63"/>
        <v>Piutang Usaha</v>
      </c>
      <c r="Q745" s="91"/>
      <c r="S745" s="112"/>
      <c r="T745" s="112"/>
      <c r="U745" s="113"/>
      <c r="V745" s="113"/>
      <c r="X745" s="102"/>
    </row>
    <row r="746" spans="1:24" s="101" customFormat="1" hidden="1" x14ac:dyDescent="0.25">
      <c r="A746" s="60" t="str">
        <f t="shared" si="61"/>
        <v>4210,01</v>
      </c>
      <c r="B746" s="60">
        <f>COUNTIF($J$7:J746,J746)</f>
        <v>4</v>
      </c>
      <c r="C746" s="60" t="str">
        <f t="shared" si="62"/>
        <v>1210.01.45</v>
      </c>
      <c r="D746" s="60">
        <f>COUNTIF($K$7:K746,K746)</f>
        <v>1</v>
      </c>
      <c r="E746" s="91"/>
      <c r="F746" s="92">
        <v>44571</v>
      </c>
      <c r="G746" s="116" t="s">
        <v>149</v>
      </c>
      <c r="H746" s="93" t="s">
        <v>485</v>
      </c>
      <c r="I746" s="179" t="s">
        <v>486</v>
      </c>
      <c r="J746" s="180">
        <v>210.01</v>
      </c>
      <c r="K746" s="108" t="s">
        <v>487</v>
      </c>
      <c r="L746" s="177">
        <v>879523164</v>
      </c>
      <c r="M746" s="117"/>
      <c r="N746" s="117"/>
      <c r="O746" s="111"/>
      <c r="P746" s="100" t="str">
        <f t="shared" si="63"/>
        <v>Hutang Usaha</v>
      </c>
      <c r="Q746" s="91"/>
      <c r="S746" s="112"/>
      <c r="T746" s="112"/>
      <c r="U746" s="113"/>
      <c r="V746" s="113"/>
      <c r="X746" s="102"/>
    </row>
    <row r="747" spans="1:24" s="101" customFormat="1" hidden="1" x14ac:dyDescent="0.25">
      <c r="A747" s="60" t="str">
        <f t="shared" si="61"/>
        <v>29810,01</v>
      </c>
      <c r="B747" s="60">
        <f>COUNTIF($J$7:J747,J747)</f>
        <v>29</v>
      </c>
      <c r="C747" s="60" t="str">
        <f t="shared" si="62"/>
        <v>0</v>
      </c>
      <c r="D747" s="60">
        <f>COUNTIF($K$7:K747,K747)</f>
        <v>0</v>
      </c>
      <c r="E747" s="91"/>
      <c r="F747" s="92">
        <v>44571</v>
      </c>
      <c r="G747" s="116" t="s">
        <v>149</v>
      </c>
      <c r="H747" s="93" t="s">
        <v>485</v>
      </c>
      <c r="I747" s="114" t="s">
        <v>488</v>
      </c>
      <c r="J747" s="115">
        <v>810.01</v>
      </c>
      <c r="K747" s="108"/>
      <c r="L747" s="97">
        <v>50000</v>
      </c>
      <c r="M747" s="117"/>
      <c r="N747" s="117"/>
      <c r="O747" s="111"/>
      <c r="P747" s="100" t="str">
        <f t="shared" si="63"/>
        <v>Biaya Admin Transfer dan Rek</v>
      </c>
      <c r="Q747" s="91"/>
      <c r="S747" s="112"/>
      <c r="T747" s="112"/>
      <c r="U747" s="113"/>
      <c r="V747" s="113"/>
      <c r="X747" s="102"/>
    </row>
    <row r="748" spans="1:24" s="101" customFormat="1" hidden="1" x14ac:dyDescent="0.25">
      <c r="A748" s="60" t="str">
        <f t="shared" si="61"/>
        <v>3810,04</v>
      </c>
      <c r="B748" s="60">
        <f>COUNTIF($J$7:J748,J748)</f>
        <v>3</v>
      </c>
      <c r="C748" s="60" t="str">
        <f t="shared" si="62"/>
        <v>0</v>
      </c>
      <c r="D748" s="60">
        <f>COUNTIF($K$7:K748,K748)</f>
        <v>0</v>
      </c>
      <c r="E748" s="91"/>
      <c r="F748" s="92">
        <v>44571</v>
      </c>
      <c r="G748" s="116" t="s">
        <v>149</v>
      </c>
      <c r="H748" s="93" t="s">
        <v>485</v>
      </c>
      <c r="I748" s="114" t="s">
        <v>489</v>
      </c>
      <c r="J748" s="115">
        <v>810.04</v>
      </c>
      <c r="K748" s="108"/>
      <c r="L748" s="97">
        <f>M749-L747-L746</f>
        <v>13830156</v>
      </c>
      <c r="M748" s="117"/>
      <c r="N748" s="117"/>
      <c r="O748" s="111"/>
      <c r="P748" s="100" t="str">
        <f t="shared" si="63"/>
        <v>Selisih kurs</v>
      </c>
      <c r="Q748" s="91"/>
      <c r="S748" s="112"/>
      <c r="T748" s="112"/>
      <c r="U748" s="113"/>
      <c r="V748" s="113"/>
      <c r="X748" s="102"/>
    </row>
    <row r="749" spans="1:24" s="101" customFormat="1" hidden="1" x14ac:dyDescent="0.25">
      <c r="A749" s="60" t="str">
        <f t="shared" si="61"/>
        <v>22111,03</v>
      </c>
      <c r="B749" s="60">
        <f>COUNTIF($J$7:J749,J749)</f>
        <v>22</v>
      </c>
      <c r="C749" s="60" t="str">
        <f t="shared" si="62"/>
        <v>0</v>
      </c>
      <c r="D749" s="60">
        <f>COUNTIF($K$7:K749,K749)</f>
        <v>0</v>
      </c>
      <c r="E749" s="91"/>
      <c r="F749" s="92">
        <v>44571</v>
      </c>
      <c r="G749" s="116" t="s">
        <v>149</v>
      </c>
      <c r="H749" s="93" t="s">
        <v>485</v>
      </c>
      <c r="I749" s="114" t="s">
        <v>486</v>
      </c>
      <c r="J749" s="117">
        <v>111.03</v>
      </c>
      <c r="K749" s="108"/>
      <c r="L749" s="97"/>
      <c r="M749" s="117">
        <v>893403320</v>
      </c>
      <c r="N749" s="117"/>
      <c r="O749" s="111"/>
      <c r="P749" s="100" t="str">
        <f t="shared" si="63"/>
        <v>BCA 8607</v>
      </c>
      <c r="Q749" s="91"/>
      <c r="S749" s="112"/>
      <c r="T749" s="112"/>
      <c r="U749" s="113"/>
      <c r="V749" s="113"/>
      <c r="X749" s="102"/>
    </row>
    <row r="750" spans="1:24" s="101" customFormat="1" ht="31.9" hidden="1" customHeight="1" x14ac:dyDescent="0.25">
      <c r="A750" s="60" t="str">
        <f t="shared" si="61"/>
        <v>5210,01</v>
      </c>
      <c r="B750" s="60">
        <f>COUNTIF($J$7:J750,J750)</f>
        <v>5</v>
      </c>
      <c r="C750" s="60" t="str">
        <f t="shared" si="62"/>
        <v>1210,01,44</v>
      </c>
      <c r="D750" s="60">
        <f>COUNTIF($K$7:K750,K750)</f>
        <v>1</v>
      </c>
      <c r="E750" s="91"/>
      <c r="F750" s="92">
        <v>44571</v>
      </c>
      <c r="G750" s="116" t="s">
        <v>149</v>
      </c>
      <c r="H750" s="93" t="s">
        <v>490</v>
      </c>
      <c r="I750" s="179" t="s">
        <v>491</v>
      </c>
      <c r="J750" s="180">
        <v>210.01</v>
      </c>
      <c r="K750" s="181" t="s">
        <v>492</v>
      </c>
      <c r="L750" s="177">
        <v>461926800</v>
      </c>
      <c r="M750" s="117"/>
      <c r="N750" s="117"/>
      <c r="O750" s="111"/>
      <c r="P750" s="100" t="str">
        <f t="shared" si="63"/>
        <v>Hutang Usaha</v>
      </c>
      <c r="Q750" s="91"/>
      <c r="S750" s="112"/>
      <c r="T750" s="112"/>
      <c r="U750" s="113"/>
      <c r="V750" s="113"/>
      <c r="X750" s="102"/>
    </row>
    <row r="751" spans="1:24" s="101" customFormat="1" hidden="1" x14ac:dyDescent="0.25">
      <c r="A751" s="60" t="str">
        <f t="shared" si="61"/>
        <v>30810,01</v>
      </c>
      <c r="B751" s="60">
        <f>COUNTIF($J$7:J751,J751)</f>
        <v>30</v>
      </c>
      <c r="C751" s="60" t="str">
        <f t="shared" si="62"/>
        <v>0</v>
      </c>
      <c r="D751" s="60">
        <f>COUNTIF($K$7:K751,K751)</f>
        <v>0</v>
      </c>
      <c r="E751" s="91"/>
      <c r="F751" s="92">
        <v>44571</v>
      </c>
      <c r="G751" s="116" t="s">
        <v>149</v>
      </c>
      <c r="H751" s="93" t="s">
        <v>490</v>
      </c>
      <c r="I751" s="114" t="s">
        <v>491</v>
      </c>
      <c r="J751" s="115">
        <v>810.01</v>
      </c>
      <c r="K751" s="108"/>
      <c r="L751" s="97">
        <v>50000</v>
      </c>
      <c r="M751" s="117"/>
      <c r="N751" s="117"/>
      <c r="O751" s="111"/>
      <c r="P751" s="100" t="str">
        <f t="shared" si="63"/>
        <v>Biaya Admin Transfer dan Rek</v>
      </c>
      <c r="Q751" s="91"/>
      <c r="S751" s="112"/>
      <c r="T751" s="112"/>
      <c r="U751" s="113"/>
      <c r="V751" s="113"/>
      <c r="X751" s="102"/>
    </row>
    <row r="752" spans="1:24" s="101" customFormat="1" hidden="1" x14ac:dyDescent="0.25">
      <c r="A752" s="60" t="str">
        <f t="shared" si="61"/>
        <v>4810,04</v>
      </c>
      <c r="B752" s="60">
        <f>COUNTIF($J$7:J752,J752)</f>
        <v>4</v>
      </c>
      <c r="C752" s="60" t="str">
        <f t="shared" si="62"/>
        <v>0</v>
      </c>
      <c r="D752" s="60">
        <f>COUNTIF($K$7:K752,K752)</f>
        <v>0</v>
      </c>
      <c r="E752" s="91"/>
      <c r="F752" s="92">
        <v>44571</v>
      </c>
      <c r="G752" s="116" t="s">
        <v>149</v>
      </c>
      <c r="H752" s="93" t="s">
        <v>490</v>
      </c>
      <c r="I752" s="114" t="s">
        <v>493</v>
      </c>
      <c r="J752" s="115">
        <v>810.04</v>
      </c>
      <c r="K752" s="108"/>
      <c r="L752" s="97">
        <f>M753-L750-L751</f>
        <v>2689200</v>
      </c>
      <c r="M752" s="117"/>
      <c r="N752" s="117"/>
      <c r="O752" s="111"/>
      <c r="P752" s="100" t="str">
        <f t="shared" si="63"/>
        <v>Selisih kurs</v>
      </c>
      <c r="Q752" s="91"/>
      <c r="S752" s="112"/>
      <c r="T752" s="112"/>
      <c r="U752" s="113"/>
      <c r="V752" s="113"/>
      <c r="X752" s="102"/>
    </row>
    <row r="753" spans="1:24" s="101" customFormat="1" hidden="1" x14ac:dyDescent="0.25">
      <c r="A753" s="60" t="str">
        <f t="shared" si="61"/>
        <v>23111,03</v>
      </c>
      <c r="B753" s="60">
        <f>COUNTIF($J$7:J753,J753)</f>
        <v>23</v>
      </c>
      <c r="C753" s="60" t="str">
        <f t="shared" si="62"/>
        <v>0</v>
      </c>
      <c r="D753" s="60">
        <f>COUNTIF($K$7:K753,K753)</f>
        <v>0</v>
      </c>
      <c r="E753" s="91"/>
      <c r="F753" s="92">
        <v>44571</v>
      </c>
      <c r="G753" s="116" t="s">
        <v>149</v>
      </c>
      <c r="H753" s="93" t="s">
        <v>490</v>
      </c>
      <c r="I753" s="114" t="s">
        <v>491</v>
      </c>
      <c r="J753" s="117">
        <v>111.03</v>
      </c>
      <c r="K753" s="108"/>
      <c r="L753" s="97"/>
      <c r="M753" s="117">
        <v>464666000</v>
      </c>
      <c r="N753" s="117"/>
      <c r="O753" s="111"/>
      <c r="P753" s="100" t="str">
        <f t="shared" si="63"/>
        <v>BCA 8607</v>
      </c>
      <c r="Q753" s="91"/>
      <c r="S753" s="112"/>
      <c r="T753" s="112"/>
      <c r="U753" s="113"/>
      <c r="V753" s="113"/>
      <c r="X753" s="102"/>
    </row>
    <row r="754" spans="1:24" s="101" customFormat="1" hidden="1" x14ac:dyDescent="0.25">
      <c r="A754" s="60" t="str">
        <f t="shared" si="61"/>
        <v>24111,03</v>
      </c>
      <c r="B754" s="60">
        <f>COUNTIF($J$7:J754,J754)</f>
        <v>24</v>
      </c>
      <c r="C754" s="60" t="str">
        <f t="shared" si="62"/>
        <v>0</v>
      </c>
      <c r="D754" s="60">
        <f>COUNTIF($K$7:K754,K754)</f>
        <v>0</v>
      </c>
      <c r="E754" s="91"/>
      <c r="F754" s="92">
        <v>44573</v>
      </c>
      <c r="G754" s="116" t="s">
        <v>149</v>
      </c>
      <c r="H754" s="93" t="s">
        <v>494</v>
      </c>
      <c r="I754" s="94" t="s">
        <v>461</v>
      </c>
      <c r="J754" s="117">
        <v>111.03</v>
      </c>
      <c r="K754" s="178"/>
      <c r="L754" s="97">
        <v>15000000</v>
      </c>
      <c r="M754" s="117"/>
      <c r="N754" s="117"/>
      <c r="O754" s="111"/>
      <c r="P754" s="100" t="str">
        <f t="shared" si="63"/>
        <v>BCA 8607</v>
      </c>
      <c r="Q754" s="91"/>
      <c r="S754" s="112"/>
      <c r="T754" s="112"/>
      <c r="U754" s="113"/>
      <c r="V754" s="113"/>
      <c r="X754" s="102"/>
    </row>
    <row r="755" spans="1:24" s="101" customFormat="1" hidden="1" x14ac:dyDescent="0.25">
      <c r="A755" s="60" t="str">
        <f t="shared" si="61"/>
        <v>156112</v>
      </c>
      <c r="B755" s="60">
        <f>COUNTIF($J$7:J755,J755)</f>
        <v>156</v>
      </c>
      <c r="C755" s="60" t="str">
        <f t="shared" si="62"/>
        <v>20112,02</v>
      </c>
      <c r="D755" s="60">
        <f>COUNTIF($K$7:K755,K755)</f>
        <v>20</v>
      </c>
      <c r="E755" s="91"/>
      <c r="F755" s="92">
        <v>44573</v>
      </c>
      <c r="G755" s="141" t="s">
        <v>149</v>
      </c>
      <c r="H755" s="93" t="s">
        <v>494</v>
      </c>
      <c r="I755" s="94" t="s">
        <v>461</v>
      </c>
      <c r="J755" s="115">
        <v>112</v>
      </c>
      <c r="K755" s="178">
        <v>112.02</v>
      </c>
      <c r="L755" s="97"/>
      <c r="M755" s="117">
        <v>15000000</v>
      </c>
      <c r="N755" s="117"/>
      <c r="O755" s="111"/>
      <c r="P755" s="100" t="str">
        <f t="shared" si="63"/>
        <v>Piutang Usaha</v>
      </c>
      <c r="Q755" s="91"/>
      <c r="S755" s="112"/>
      <c r="T755" s="112"/>
      <c r="U755" s="113"/>
      <c r="V755" s="113"/>
      <c r="X755" s="102"/>
    </row>
    <row r="756" spans="1:24" s="101" customFormat="1" hidden="1" x14ac:dyDescent="0.25">
      <c r="A756" s="60" t="str">
        <f t="shared" si="61"/>
        <v>25111,03</v>
      </c>
      <c r="B756" s="60">
        <f>COUNTIF($J$7:J756,J756)</f>
        <v>25</v>
      </c>
      <c r="C756" s="60" t="str">
        <f t="shared" si="62"/>
        <v>0</v>
      </c>
      <c r="D756" s="60">
        <f>COUNTIF($K$7:K756,K756)</f>
        <v>0</v>
      </c>
      <c r="E756" s="91"/>
      <c r="F756" s="92">
        <v>44574</v>
      </c>
      <c r="G756" s="116" t="s">
        <v>149</v>
      </c>
      <c r="H756" s="93" t="s">
        <v>495</v>
      </c>
      <c r="I756" s="94" t="s">
        <v>496</v>
      </c>
      <c r="J756" s="117">
        <v>111.03</v>
      </c>
      <c r="K756" s="178"/>
      <c r="L756" s="97">
        <v>2145000</v>
      </c>
      <c r="M756" s="117"/>
      <c r="N756" s="117"/>
      <c r="O756" s="111"/>
      <c r="P756" s="100" t="str">
        <f t="shared" si="63"/>
        <v>BCA 8607</v>
      </c>
      <c r="Q756" s="91"/>
      <c r="S756" s="112"/>
      <c r="T756" s="112"/>
      <c r="U756" s="113"/>
      <c r="V756" s="113"/>
      <c r="X756" s="102"/>
    </row>
    <row r="757" spans="1:24" s="101" customFormat="1" hidden="1" x14ac:dyDescent="0.25">
      <c r="A757" s="60" t="str">
        <f t="shared" si="61"/>
        <v>157112</v>
      </c>
      <c r="B757" s="60">
        <f>COUNTIF($J$7:J757,J757)</f>
        <v>157</v>
      </c>
      <c r="C757" s="60" t="str">
        <f t="shared" si="62"/>
        <v>10112,3</v>
      </c>
      <c r="D757" s="60">
        <f>COUNTIF($K$7:K757,K757)</f>
        <v>10</v>
      </c>
      <c r="E757" s="91"/>
      <c r="F757" s="92">
        <v>44574</v>
      </c>
      <c r="G757" s="141" t="s">
        <v>149</v>
      </c>
      <c r="H757" s="93" t="s">
        <v>495</v>
      </c>
      <c r="I757" s="94" t="s">
        <v>496</v>
      </c>
      <c r="J757" s="115">
        <v>112</v>
      </c>
      <c r="K757" s="108">
        <v>112.3</v>
      </c>
      <c r="L757" s="97"/>
      <c r="M757" s="117">
        <v>2145000</v>
      </c>
      <c r="N757" s="117"/>
      <c r="O757" s="111"/>
      <c r="P757" s="100" t="str">
        <f t="shared" si="63"/>
        <v>Piutang Usaha</v>
      </c>
      <c r="Q757" s="91"/>
      <c r="S757" s="112"/>
      <c r="T757" s="112"/>
      <c r="U757" s="113"/>
      <c r="V757" s="113"/>
      <c r="X757" s="102"/>
    </row>
    <row r="758" spans="1:24" s="101" customFormat="1" hidden="1" x14ac:dyDescent="0.25">
      <c r="A758" s="60" t="str">
        <f t="shared" si="61"/>
        <v>26111,03</v>
      </c>
      <c r="B758" s="60">
        <f>COUNTIF($J$7:J758,J758)</f>
        <v>26</v>
      </c>
      <c r="C758" s="60" t="str">
        <f t="shared" si="62"/>
        <v>0</v>
      </c>
      <c r="D758" s="60">
        <f>COUNTIF($K$7:K758,K758)</f>
        <v>0</v>
      </c>
      <c r="E758" s="91"/>
      <c r="F758" s="92">
        <v>44575</v>
      </c>
      <c r="G758" s="116" t="s">
        <v>149</v>
      </c>
      <c r="H758" s="93" t="s">
        <v>497</v>
      </c>
      <c r="I758" s="94" t="s">
        <v>498</v>
      </c>
      <c r="J758" s="117">
        <v>111.03</v>
      </c>
      <c r="K758" s="108"/>
      <c r="L758" s="97">
        <v>1925000</v>
      </c>
      <c r="M758" s="117"/>
      <c r="N758" s="117"/>
      <c r="O758" s="111"/>
      <c r="P758" s="100" t="str">
        <f t="shared" si="63"/>
        <v>BCA 8607</v>
      </c>
      <c r="Q758" s="91"/>
      <c r="S758" s="112"/>
      <c r="T758" s="112"/>
      <c r="U758" s="113"/>
      <c r="V758" s="113"/>
      <c r="X758" s="102"/>
    </row>
    <row r="759" spans="1:24" s="101" customFormat="1" hidden="1" x14ac:dyDescent="0.25">
      <c r="A759" s="60" t="str">
        <f t="shared" si="61"/>
        <v>158112</v>
      </c>
      <c r="B759" s="60">
        <f>COUNTIF($J$7:J759,J759)</f>
        <v>158</v>
      </c>
      <c r="C759" s="60" t="str">
        <f t="shared" si="62"/>
        <v>3112,61</v>
      </c>
      <c r="D759" s="60">
        <f>COUNTIF($K$7:K759,K759)</f>
        <v>3</v>
      </c>
      <c r="E759" s="91"/>
      <c r="F759" s="92">
        <v>44575</v>
      </c>
      <c r="G759" s="141" t="s">
        <v>149</v>
      </c>
      <c r="H759" s="93" t="s">
        <v>497</v>
      </c>
      <c r="I759" s="94" t="s">
        <v>498</v>
      </c>
      <c r="J759" s="115">
        <v>112</v>
      </c>
      <c r="K759" s="108">
        <v>112.61</v>
      </c>
      <c r="L759" s="97"/>
      <c r="M759" s="117">
        <v>1925000</v>
      </c>
      <c r="N759" s="117"/>
      <c r="O759" s="111"/>
      <c r="P759" s="100" t="str">
        <f t="shared" si="63"/>
        <v>Piutang Usaha</v>
      </c>
      <c r="Q759" s="91"/>
      <c r="S759" s="112"/>
      <c r="T759" s="112"/>
      <c r="U759" s="113"/>
      <c r="V759" s="113"/>
      <c r="X759" s="102"/>
    </row>
    <row r="760" spans="1:24" s="101" customFormat="1" hidden="1" x14ac:dyDescent="0.25">
      <c r="A760" s="60" t="str">
        <f t="shared" si="61"/>
        <v>27111,03</v>
      </c>
      <c r="B760" s="60">
        <f>COUNTIF($J$7:J760,J760)</f>
        <v>27</v>
      </c>
      <c r="C760" s="60" t="str">
        <f t="shared" si="62"/>
        <v>0</v>
      </c>
      <c r="D760" s="60">
        <f>COUNTIF($K$7:K760,K760)</f>
        <v>0</v>
      </c>
      <c r="E760" s="91"/>
      <c r="F760" s="92">
        <v>44575</v>
      </c>
      <c r="G760" s="116" t="s">
        <v>149</v>
      </c>
      <c r="H760" s="93" t="s">
        <v>499</v>
      </c>
      <c r="I760" s="94" t="s">
        <v>500</v>
      </c>
      <c r="J760" s="117">
        <v>111.03</v>
      </c>
      <c r="K760" s="108"/>
      <c r="L760" s="97">
        <v>9922000</v>
      </c>
      <c r="M760" s="117"/>
      <c r="N760" s="117"/>
      <c r="O760" s="111"/>
      <c r="P760" s="100" t="str">
        <f t="shared" si="63"/>
        <v>BCA 8607</v>
      </c>
      <c r="Q760" s="91"/>
      <c r="S760" s="112"/>
      <c r="T760" s="112"/>
      <c r="U760" s="113"/>
      <c r="V760" s="113"/>
      <c r="X760" s="102"/>
    </row>
    <row r="761" spans="1:24" s="101" customFormat="1" hidden="1" x14ac:dyDescent="0.25">
      <c r="A761" s="60" t="str">
        <f t="shared" si="61"/>
        <v>159112</v>
      </c>
      <c r="B761" s="60">
        <f>COUNTIF($J$7:J761,J761)</f>
        <v>159</v>
      </c>
      <c r="C761" s="60" t="str">
        <f t="shared" si="62"/>
        <v>18112,01</v>
      </c>
      <c r="D761" s="60">
        <f>COUNTIF($K$7:K761,K761)</f>
        <v>18</v>
      </c>
      <c r="E761" s="91"/>
      <c r="F761" s="92">
        <v>44575</v>
      </c>
      <c r="G761" s="141" t="s">
        <v>149</v>
      </c>
      <c r="H761" s="93" t="s">
        <v>499</v>
      </c>
      <c r="I761" s="94" t="s">
        <v>500</v>
      </c>
      <c r="J761" s="115">
        <v>112</v>
      </c>
      <c r="K761" s="108">
        <v>112.01</v>
      </c>
      <c r="L761" s="97"/>
      <c r="M761" s="117">
        <v>9922000</v>
      </c>
      <c r="N761" s="117"/>
      <c r="O761" s="111"/>
      <c r="P761" s="100" t="str">
        <f t="shared" si="63"/>
        <v>Piutang Usaha</v>
      </c>
      <c r="Q761" s="91"/>
      <c r="S761" s="112"/>
      <c r="T761" s="112"/>
      <c r="U761" s="113"/>
      <c r="V761" s="113"/>
      <c r="X761" s="102"/>
    </row>
    <row r="762" spans="1:24" s="101" customFormat="1" hidden="1" x14ac:dyDescent="0.25">
      <c r="A762" s="60" t="str">
        <f t="shared" si="61"/>
        <v>28111,03</v>
      </c>
      <c r="B762" s="60">
        <f>COUNTIF($J$7:J762,J762)</f>
        <v>28</v>
      </c>
      <c r="C762" s="60" t="str">
        <f t="shared" si="62"/>
        <v>0</v>
      </c>
      <c r="D762" s="60">
        <f>COUNTIF($K$7:K762,K762)</f>
        <v>0</v>
      </c>
      <c r="E762" s="91"/>
      <c r="F762" s="92">
        <v>44575</v>
      </c>
      <c r="G762" s="116" t="s">
        <v>149</v>
      </c>
      <c r="H762" s="93" t="s">
        <v>501</v>
      </c>
      <c r="I762" s="94" t="s">
        <v>502</v>
      </c>
      <c r="J762" s="117">
        <v>111.03</v>
      </c>
      <c r="K762" s="108"/>
      <c r="L762" s="97">
        <v>45100000</v>
      </c>
      <c r="M762" s="117"/>
      <c r="N762" s="117"/>
      <c r="O762" s="111"/>
      <c r="P762" s="100" t="str">
        <f t="shared" si="63"/>
        <v>BCA 8607</v>
      </c>
      <c r="Q762" s="91"/>
      <c r="S762" s="112"/>
      <c r="T762" s="112"/>
      <c r="U762" s="113"/>
      <c r="V762" s="113"/>
      <c r="X762" s="102"/>
    </row>
    <row r="763" spans="1:24" s="101" customFormat="1" hidden="1" x14ac:dyDescent="0.25">
      <c r="A763" s="60" t="str">
        <f t="shared" si="61"/>
        <v>160112</v>
      </c>
      <c r="B763" s="60">
        <f>COUNTIF($J$7:J763,J763)</f>
        <v>160</v>
      </c>
      <c r="C763" s="60" t="str">
        <f t="shared" si="62"/>
        <v>19112,01</v>
      </c>
      <c r="D763" s="60">
        <f>COUNTIF($K$7:K763,K763)</f>
        <v>19</v>
      </c>
      <c r="E763" s="91"/>
      <c r="F763" s="92">
        <v>44575</v>
      </c>
      <c r="G763" s="141" t="s">
        <v>149</v>
      </c>
      <c r="H763" s="93" t="s">
        <v>501</v>
      </c>
      <c r="I763" s="94" t="s">
        <v>502</v>
      </c>
      <c r="J763" s="115">
        <v>112</v>
      </c>
      <c r="K763" s="108">
        <v>112.01</v>
      </c>
      <c r="L763" s="97"/>
      <c r="M763" s="117">
        <v>45100000</v>
      </c>
      <c r="N763" s="117"/>
      <c r="O763" s="111"/>
      <c r="P763" s="100" t="str">
        <f t="shared" si="63"/>
        <v>Piutang Usaha</v>
      </c>
      <c r="Q763" s="91"/>
      <c r="S763" s="112"/>
      <c r="T763" s="112"/>
      <c r="U763" s="113"/>
      <c r="V763" s="113"/>
      <c r="X763" s="102"/>
    </row>
    <row r="764" spans="1:24" s="101" customFormat="1" ht="35.450000000000003" hidden="1" customHeight="1" x14ac:dyDescent="0.25">
      <c r="A764" s="60" t="str">
        <f t="shared" si="61"/>
        <v>29111,03</v>
      </c>
      <c r="B764" s="60">
        <f>COUNTIF($J$7:J764,J764)</f>
        <v>29</v>
      </c>
      <c r="C764" s="60" t="str">
        <f t="shared" si="62"/>
        <v>0</v>
      </c>
      <c r="D764" s="60">
        <f>COUNTIF($K$7:K764,K764)</f>
        <v>0</v>
      </c>
      <c r="E764" s="91"/>
      <c r="F764" s="92">
        <v>44578</v>
      </c>
      <c r="G764" s="116" t="s">
        <v>149</v>
      </c>
      <c r="H764" s="93" t="s">
        <v>503</v>
      </c>
      <c r="I764" s="94" t="s">
        <v>504</v>
      </c>
      <c r="J764" s="117">
        <v>111.03</v>
      </c>
      <c r="K764" s="178"/>
      <c r="L764" s="97">
        <v>11520000</v>
      </c>
      <c r="M764" s="117"/>
      <c r="N764" s="117"/>
      <c r="O764" s="111"/>
      <c r="P764" s="100" t="str">
        <f t="shared" si="63"/>
        <v>BCA 8607</v>
      </c>
      <c r="Q764" s="91"/>
      <c r="S764" s="112"/>
      <c r="T764" s="112"/>
      <c r="U764" s="113"/>
      <c r="V764" s="113"/>
      <c r="X764" s="102"/>
    </row>
    <row r="765" spans="1:24" s="101" customFormat="1" hidden="1" x14ac:dyDescent="0.25">
      <c r="A765" s="60" t="str">
        <f t="shared" si="61"/>
        <v>161112</v>
      </c>
      <c r="B765" s="60">
        <f>COUNTIF($J$7:J765,J765)</f>
        <v>161</v>
      </c>
      <c r="C765" s="60" t="str">
        <f t="shared" si="62"/>
        <v>6112,35</v>
      </c>
      <c r="D765" s="60">
        <f>COUNTIF($K$7:K765,K765)</f>
        <v>6</v>
      </c>
      <c r="E765" s="91"/>
      <c r="F765" s="92">
        <v>44578</v>
      </c>
      <c r="G765" s="141" t="s">
        <v>149</v>
      </c>
      <c r="H765" s="93" t="s">
        <v>503</v>
      </c>
      <c r="I765" s="94" t="s">
        <v>504</v>
      </c>
      <c r="J765" s="115">
        <v>112</v>
      </c>
      <c r="K765" s="108">
        <v>112.35</v>
      </c>
      <c r="L765" s="97"/>
      <c r="M765" s="117">
        <v>11520000</v>
      </c>
      <c r="N765" s="117"/>
      <c r="O765" s="111"/>
      <c r="P765" s="100" t="str">
        <f t="shared" si="63"/>
        <v>Piutang Usaha</v>
      </c>
      <c r="Q765" s="91"/>
      <c r="S765" s="112"/>
      <c r="T765" s="112"/>
      <c r="U765" s="113"/>
      <c r="V765" s="113"/>
      <c r="X765" s="102"/>
    </row>
    <row r="766" spans="1:24" s="101" customFormat="1" hidden="1" x14ac:dyDescent="0.25">
      <c r="A766" s="60" t="str">
        <f t="shared" si="61"/>
        <v>30111,03</v>
      </c>
      <c r="B766" s="60">
        <f>COUNTIF($J$7:J766,J766)</f>
        <v>30</v>
      </c>
      <c r="C766" s="60" t="str">
        <f t="shared" si="62"/>
        <v>0</v>
      </c>
      <c r="D766" s="60">
        <f>COUNTIF($K$7:K766,K766)</f>
        <v>0</v>
      </c>
      <c r="E766" s="91"/>
      <c r="F766" s="92">
        <v>44578</v>
      </c>
      <c r="G766" s="116" t="s">
        <v>149</v>
      </c>
      <c r="H766" s="93" t="s">
        <v>505</v>
      </c>
      <c r="I766" s="94" t="s">
        <v>506</v>
      </c>
      <c r="J766" s="117">
        <v>111.03</v>
      </c>
      <c r="K766" s="108"/>
      <c r="L766" s="97">
        <v>13216500</v>
      </c>
      <c r="M766" s="117"/>
      <c r="N766" s="117"/>
      <c r="O766" s="111"/>
      <c r="P766" s="100" t="str">
        <f t="shared" si="63"/>
        <v>BCA 8607</v>
      </c>
      <c r="Q766" s="91"/>
      <c r="S766" s="112"/>
      <c r="T766" s="112"/>
      <c r="U766" s="113"/>
      <c r="V766" s="113"/>
      <c r="X766" s="102"/>
    </row>
    <row r="767" spans="1:24" s="101" customFormat="1" hidden="1" x14ac:dyDescent="0.25">
      <c r="A767" s="60" t="str">
        <f t="shared" si="61"/>
        <v>162112</v>
      </c>
      <c r="B767" s="60">
        <f>COUNTIF($J$7:J767,J767)</f>
        <v>162</v>
      </c>
      <c r="C767" s="60" t="str">
        <f t="shared" si="62"/>
        <v>18112,06</v>
      </c>
      <c r="D767" s="60">
        <f>COUNTIF($K$7:K767,K767)</f>
        <v>18</v>
      </c>
      <c r="E767" s="91"/>
      <c r="F767" s="92">
        <v>44578</v>
      </c>
      <c r="G767" s="141" t="s">
        <v>149</v>
      </c>
      <c r="H767" s="93" t="s">
        <v>505</v>
      </c>
      <c r="I767" s="94" t="s">
        <v>506</v>
      </c>
      <c r="J767" s="115">
        <v>112</v>
      </c>
      <c r="K767" s="108">
        <v>112.06</v>
      </c>
      <c r="L767" s="97"/>
      <c r="M767" s="117">
        <v>13216500</v>
      </c>
      <c r="N767" s="117"/>
      <c r="O767" s="111"/>
      <c r="P767" s="100" t="str">
        <f t="shared" si="63"/>
        <v>Piutang Usaha</v>
      </c>
      <c r="Q767" s="91"/>
      <c r="S767" s="112"/>
      <c r="T767" s="112"/>
      <c r="U767" s="113"/>
      <c r="V767" s="113"/>
      <c r="X767" s="102"/>
    </row>
    <row r="768" spans="1:24" s="101" customFormat="1" hidden="1" x14ac:dyDescent="0.25">
      <c r="A768" s="60" t="str">
        <f t="shared" si="61"/>
        <v>31111,03</v>
      </c>
      <c r="B768" s="60">
        <f>COUNTIF($J$7:J768,J768)</f>
        <v>31</v>
      </c>
      <c r="C768" s="60" t="str">
        <f t="shared" si="62"/>
        <v>0</v>
      </c>
      <c r="D768" s="60">
        <f>COUNTIF($K$7:K768,K768)</f>
        <v>0</v>
      </c>
      <c r="E768" s="91"/>
      <c r="F768" s="92">
        <v>44578</v>
      </c>
      <c r="G768" s="116" t="s">
        <v>149</v>
      </c>
      <c r="H768" s="93" t="s">
        <v>507</v>
      </c>
      <c r="I768" s="94" t="s">
        <v>461</v>
      </c>
      <c r="J768" s="117">
        <v>111.03</v>
      </c>
      <c r="K768" s="178"/>
      <c r="L768" s="97">
        <v>50000000</v>
      </c>
      <c r="M768" s="117"/>
      <c r="N768" s="117"/>
      <c r="O768" s="111"/>
      <c r="P768" s="100" t="str">
        <f t="shared" si="63"/>
        <v>BCA 8607</v>
      </c>
      <c r="Q768" s="91"/>
      <c r="S768" s="112"/>
      <c r="T768" s="112"/>
      <c r="U768" s="113"/>
      <c r="V768" s="113"/>
      <c r="X768" s="102"/>
    </row>
    <row r="769" spans="1:24" s="101" customFormat="1" hidden="1" x14ac:dyDescent="0.25">
      <c r="A769" s="60" t="str">
        <f t="shared" si="61"/>
        <v>163112</v>
      </c>
      <c r="B769" s="60">
        <f>COUNTIF($J$7:J769,J769)</f>
        <v>163</v>
      </c>
      <c r="C769" s="60" t="str">
        <f t="shared" si="62"/>
        <v>21112,02</v>
      </c>
      <c r="D769" s="60">
        <f>COUNTIF($K$7:K769,K769)</f>
        <v>21</v>
      </c>
      <c r="E769" s="91"/>
      <c r="F769" s="92">
        <v>44578</v>
      </c>
      <c r="G769" s="141" t="s">
        <v>149</v>
      </c>
      <c r="H769" s="93" t="s">
        <v>507</v>
      </c>
      <c r="I769" s="94" t="s">
        <v>461</v>
      </c>
      <c r="J769" s="115">
        <v>112</v>
      </c>
      <c r="K769" s="178">
        <v>112.02</v>
      </c>
      <c r="L769" s="97"/>
      <c r="M769" s="117">
        <v>50000000</v>
      </c>
      <c r="N769" s="117"/>
      <c r="O769" s="111"/>
      <c r="P769" s="100" t="str">
        <f t="shared" si="63"/>
        <v>Piutang Usaha</v>
      </c>
      <c r="Q769" s="91"/>
      <c r="S769" s="112"/>
      <c r="T769" s="112"/>
      <c r="U769" s="113"/>
      <c r="V769" s="113"/>
      <c r="X769" s="102"/>
    </row>
    <row r="770" spans="1:24" s="101" customFormat="1" hidden="1" x14ac:dyDescent="0.25">
      <c r="A770" s="60" t="str">
        <f t="shared" si="61"/>
        <v>32111,03</v>
      </c>
      <c r="B770" s="60">
        <f>COUNTIF($J$7:J770,J770)</f>
        <v>32</v>
      </c>
      <c r="C770" s="60" t="str">
        <f t="shared" si="62"/>
        <v>0</v>
      </c>
      <c r="D770" s="60">
        <f>COUNTIF($K$7:K770,K770)</f>
        <v>0</v>
      </c>
      <c r="E770" s="91"/>
      <c r="F770" s="92">
        <v>44579</v>
      </c>
      <c r="G770" s="116" t="s">
        <v>149</v>
      </c>
      <c r="H770" s="93" t="s">
        <v>508</v>
      </c>
      <c r="I770" s="94" t="s">
        <v>509</v>
      </c>
      <c r="J770" s="117">
        <v>111.03</v>
      </c>
      <c r="K770" s="178"/>
      <c r="L770" s="97">
        <v>9893500</v>
      </c>
      <c r="M770" s="117"/>
      <c r="N770" s="117"/>
      <c r="O770" s="111"/>
      <c r="P770" s="100" t="str">
        <f t="shared" si="63"/>
        <v>BCA 8607</v>
      </c>
      <c r="Q770" s="91"/>
      <c r="S770" s="112"/>
      <c r="T770" s="112"/>
      <c r="U770" s="113"/>
      <c r="V770" s="113"/>
      <c r="X770" s="102"/>
    </row>
    <row r="771" spans="1:24" s="101" customFormat="1" ht="30" hidden="1" x14ac:dyDescent="0.25">
      <c r="A771" s="60" t="str">
        <f t="shared" si="61"/>
        <v>31810,01</v>
      </c>
      <c r="B771" s="60">
        <f>COUNTIF($J$7:J771,J771)</f>
        <v>31</v>
      </c>
      <c r="C771" s="60" t="str">
        <f t="shared" si="62"/>
        <v>0</v>
      </c>
      <c r="D771" s="60">
        <f>COUNTIF($K$7:K771,K771)</f>
        <v>0</v>
      </c>
      <c r="E771" s="91"/>
      <c r="F771" s="92">
        <v>44579</v>
      </c>
      <c r="G771" s="116" t="s">
        <v>149</v>
      </c>
      <c r="H771" s="93" t="s">
        <v>508</v>
      </c>
      <c r="I771" s="94" t="s">
        <v>510</v>
      </c>
      <c r="J771" s="117">
        <v>810.01</v>
      </c>
      <c r="K771" s="178"/>
      <c r="L771" s="97">
        <f>M772-L770</f>
        <v>6500</v>
      </c>
      <c r="M771" s="117"/>
      <c r="N771" s="117"/>
      <c r="O771" s="111"/>
      <c r="P771" s="100" t="str">
        <f t="shared" si="63"/>
        <v>Biaya Admin Transfer dan Rek</v>
      </c>
      <c r="Q771" s="91"/>
      <c r="S771" s="112"/>
      <c r="T771" s="112"/>
      <c r="U771" s="113"/>
      <c r="V771" s="113"/>
      <c r="X771" s="102"/>
    </row>
    <row r="772" spans="1:24" s="101" customFormat="1" hidden="1" x14ac:dyDescent="0.25">
      <c r="A772" s="60" t="str">
        <f t="shared" si="61"/>
        <v>164112</v>
      </c>
      <c r="B772" s="60">
        <f>COUNTIF($J$7:J772,J772)</f>
        <v>164</v>
      </c>
      <c r="C772" s="60" t="str">
        <f t="shared" si="62"/>
        <v>2112,64</v>
      </c>
      <c r="D772" s="60">
        <f>COUNTIF($K$7:K772,K772)</f>
        <v>2</v>
      </c>
      <c r="E772" s="91"/>
      <c r="F772" s="92">
        <v>44579</v>
      </c>
      <c r="G772" s="141" t="s">
        <v>149</v>
      </c>
      <c r="H772" s="93" t="s">
        <v>508</v>
      </c>
      <c r="I772" s="94" t="s">
        <v>509</v>
      </c>
      <c r="J772" s="115">
        <v>112</v>
      </c>
      <c r="K772" s="120">
        <v>112.64</v>
      </c>
      <c r="L772" s="97"/>
      <c r="M772" s="117">
        <v>9900000</v>
      </c>
      <c r="N772" s="117"/>
      <c r="O772" s="111"/>
      <c r="P772" s="100" t="str">
        <f t="shared" si="63"/>
        <v>Piutang Usaha</v>
      </c>
      <c r="Q772" s="91"/>
      <c r="S772" s="112"/>
      <c r="T772" s="112"/>
      <c r="U772" s="113"/>
      <c r="V772" s="113"/>
      <c r="X772" s="102"/>
    </row>
    <row r="773" spans="1:24" s="101" customFormat="1" hidden="1" x14ac:dyDescent="0.25">
      <c r="A773" s="60" t="str">
        <f t="shared" si="61"/>
        <v>33111,03</v>
      </c>
      <c r="B773" s="60">
        <f>COUNTIF($J$7:J773,J773)</f>
        <v>33</v>
      </c>
      <c r="C773" s="60" t="str">
        <f t="shared" si="62"/>
        <v>0</v>
      </c>
      <c r="D773" s="60">
        <f>COUNTIF($K$7:K773,K773)</f>
        <v>0</v>
      </c>
      <c r="E773" s="91"/>
      <c r="F773" s="92">
        <v>44579</v>
      </c>
      <c r="G773" s="116" t="s">
        <v>149</v>
      </c>
      <c r="H773" s="93" t="s">
        <v>511</v>
      </c>
      <c r="I773" s="161" t="s">
        <v>512</v>
      </c>
      <c r="J773" s="117">
        <v>111.03</v>
      </c>
      <c r="K773" s="178"/>
      <c r="L773" s="97">
        <v>2640000</v>
      </c>
      <c r="M773" s="117"/>
      <c r="N773" s="117"/>
      <c r="O773" s="111"/>
      <c r="P773" s="100" t="str">
        <f t="shared" si="63"/>
        <v>BCA 8607</v>
      </c>
      <c r="Q773" s="91"/>
      <c r="S773" s="112"/>
      <c r="T773" s="112"/>
      <c r="U773" s="113"/>
      <c r="V773" s="113"/>
      <c r="X773" s="102"/>
    </row>
    <row r="774" spans="1:24" s="101" customFormat="1" hidden="1" x14ac:dyDescent="0.25">
      <c r="A774" s="60" t="str">
        <f t="shared" si="61"/>
        <v>165112</v>
      </c>
      <c r="B774" s="60">
        <f>COUNTIF($J$7:J774,J774)</f>
        <v>165</v>
      </c>
      <c r="C774" s="60" t="str">
        <f t="shared" si="62"/>
        <v>11112,3</v>
      </c>
      <c r="D774" s="60">
        <f>COUNTIF($K$7:K774,K774)</f>
        <v>11</v>
      </c>
      <c r="E774" s="91"/>
      <c r="F774" s="92">
        <v>44579</v>
      </c>
      <c r="G774" s="141" t="s">
        <v>149</v>
      </c>
      <c r="H774" s="93" t="s">
        <v>511</v>
      </c>
      <c r="I774" s="161" t="s">
        <v>512</v>
      </c>
      <c r="J774" s="115">
        <v>112</v>
      </c>
      <c r="K774" s="120">
        <v>112.3</v>
      </c>
      <c r="L774" s="97"/>
      <c r="M774" s="117">
        <v>2640000</v>
      </c>
      <c r="N774" s="117"/>
      <c r="O774" s="111"/>
      <c r="P774" s="100" t="str">
        <f t="shared" si="63"/>
        <v>Piutang Usaha</v>
      </c>
      <c r="Q774" s="91"/>
      <c r="S774" s="112"/>
      <c r="T774" s="112"/>
      <c r="U774" s="113"/>
      <c r="V774" s="113"/>
      <c r="X774" s="102"/>
    </row>
    <row r="775" spans="1:24" s="101" customFormat="1" hidden="1" x14ac:dyDescent="0.25">
      <c r="A775" s="60" t="str">
        <f t="shared" ref="A775:A838" si="64">B775&amp;J775</f>
        <v>34111,03</v>
      </c>
      <c r="B775" s="60">
        <f>COUNTIF($J$7:J775,J775)</f>
        <v>34</v>
      </c>
      <c r="C775" s="60" t="str">
        <f t="shared" ref="C775:C838" si="65">D775&amp;K775</f>
        <v>0</v>
      </c>
      <c r="D775" s="60">
        <f>COUNTIF($K$7:K775,K775)</f>
        <v>0</v>
      </c>
      <c r="E775" s="91"/>
      <c r="F775" s="92">
        <v>44580</v>
      </c>
      <c r="G775" s="116" t="s">
        <v>149</v>
      </c>
      <c r="H775" s="93" t="s">
        <v>513</v>
      </c>
      <c r="I775" s="161" t="s">
        <v>514</v>
      </c>
      <c r="J775" s="117">
        <v>111.03</v>
      </c>
      <c r="K775" s="178"/>
      <c r="L775" s="97">
        <v>2310000</v>
      </c>
      <c r="M775" s="117"/>
      <c r="N775" s="117"/>
      <c r="O775" s="111"/>
      <c r="P775" s="100" t="str">
        <f t="shared" ref="P775:P838" si="66">IF(J775=0,"-",+VLOOKUP(J775,DAF_AKUN,2,FALSE))</f>
        <v>BCA 8607</v>
      </c>
      <c r="Q775" s="91"/>
      <c r="S775" s="112"/>
      <c r="T775" s="112"/>
      <c r="U775" s="113"/>
      <c r="V775" s="113"/>
      <c r="X775" s="102"/>
    </row>
    <row r="776" spans="1:24" s="101" customFormat="1" hidden="1" x14ac:dyDescent="0.25">
      <c r="A776" s="60" t="str">
        <f t="shared" si="64"/>
        <v>166112</v>
      </c>
      <c r="B776" s="60">
        <f>COUNTIF($J$7:J776,J776)</f>
        <v>166</v>
      </c>
      <c r="C776" s="60" t="str">
        <f t="shared" si="65"/>
        <v>19112,06</v>
      </c>
      <c r="D776" s="60">
        <f>COUNTIF($K$7:K776,K776)</f>
        <v>19</v>
      </c>
      <c r="E776" s="91"/>
      <c r="F776" s="92">
        <v>44580</v>
      </c>
      <c r="G776" s="141" t="s">
        <v>149</v>
      </c>
      <c r="H776" s="93" t="s">
        <v>513</v>
      </c>
      <c r="I776" s="161" t="s">
        <v>514</v>
      </c>
      <c r="J776" s="115">
        <v>112</v>
      </c>
      <c r="K776" s="96">
        <v>112.06</v>
      </c>
      <c r="L776" s="97"/>
      <c r="M776" s="117">
        <v>2310000</v>
      </c>
      <c r="N776" s="117"/>
      <c r="O776" s="111"/>
      <c r="P776" s="100" t="str">
        <f t="shared" si="66"/>
        <v>Piutang Usaha</v>
      </c>
      <c r="Q776" s="91"/>
      <c r="S776" s="112"/>
      <c r="T776" s="112"/>
      <c r="U776" s="113"/>
      <c r="V776" s="113"/>
      <c r="X776" s="102"/>
    </row>
    <row r="777" spans="1:24" s="101" customFormat="1" hidden="1" x14ac:dyDescent="0.25">
      <c r="A777" s="60" t="str">
        <f t="shared" si="64"/>
        <v>35111,03</v>
      </c>
      <c r="B777" s="60">
        <f>COUNTIF($J$7:J777,J777)</f>
        <v>35</v>
      </c>
      <c r="C777" s="60" t="str">
        <f t="shared" si="65"/>
        <v>0</v>
      </c>
      <c r="D777" s="60">
        <f>COUNTIF($K$7:K777,K777)</f>
        <v>0</v>
      </c>
      <c r="E777" s="91"/>
      <c r="F777" s="92">
        <v>44580</v>
      </c>
      <c r="G777" s="116" t="s">
        <v>149</v>
      </c>
      <c r="H777" s="93" t="s">
        <v>515</v>
      </c>
      <c r="I777" s="161" t="s">
        <v>516</v>
      </c>
      <c r="J777" s="117">
        <v>111.03</v>
      </c>
      <c r="K777" s="178"/>
      <c r="L777" s="97">
        <v>14283496</v>
      </c>
      <c r="M777" s="117"/>
      <c r="N777" s="117"/>
      <c r="O777" s="111"/>
      <c r="P777" s="100" t="str">
        <f t="shared" si="66"/>
        <v>BCA 8607</v>
      </c>
      <c r="Q777" s="91"/>
      <c r="S777" s="112"/>
      <c r="T777" s="112"/>
      <c r="U777" s="113"/>
      <c r="V777" s="113"/>
      <c r="X777" s="102"/>
    </row>
    <row r="778" spans="1:24" s="101" customFormat="1" hidden="1" x14ac:dyDescent="0.25">
      <c r="A778" s="60" t="str">
        <f t="shared" si="64"/>
        <v>167112</v>
      </c>
      <c r="B778" s="60">
        <f>COUNTIF($J$7:J778,J778)</f>
        <v>167</v>
      </c>
      <c r="C778" s="60" t="str">
        <f t="shared" si="65"/>
        <v>2112,57</v>
      </c>
      <c r="D778" s="60">
        <f>COUNTIF($K$7:K778,K778)</f>
        <v>2</v>
      </c>
      <c r="E778" s="91"/>
      <c r="F778" s="92">
        <v>44580</v>
      </c>
      <c r="G778" s="141" t="s">
        <v>149</v>
      </c>
      <c r="H778" s="93" t="s">
        <v>515</v>
      </c>
      <c r="I778" s="161" t="s">
        <v>516</v>
      </c>
      <c r="J778" s="115">
        <v>112</v>
      </c>
      <c r="K778" s="120">
        <v>112.57</v>
      </c>
      <c r="L778" s="97"/>
      <c r="M778" s="117">
        <v>14283496</v>
      </c>
      <c r="N778" s="117"/>
      <c r="O778" s="111"/>
      <c r="P778" s="100" t="str">
        <f t="shared" si="66"/>
        <v>Piutang Usaha</v>
      </c>
      <c r="Q778" s="91"/>
      <c r="S778" s="112"/>
      <c r="T778" s="112"/>
      <c r="U778" s="113"/>
      <c r="V778" s="113"/>
      <c r="X778" s="102"/>
    </row>
    <row r="779" spans="1:24" s="101" customFormat="1" hidden="1" x14ac:dyDescent="0.25">
      <c r="A779" s="60" t="str">
        <f t="shared" si="64"/>
        <v>36111,03</v>
      </c>
      <c r="B779" s="60">
        <f>COUNTIF($J$7:J779,J779)</f>
        <v>36</v>
      </c>
      <c r="C779" s="60" t="str">
        <f t="shared" si="65"/>
        <v>0</v>
      </c>
      <c r="D779" s="60">
        <f>COUNTIF($K$7:K779,K779)</f>
        <v>0</v>
      </c>
      <c r="E779" s="91"/>
      <c r="F779" s="92">
        <v>44580</v>
      </c>
      <c r="G779" s="116" t="s">
        <v>149</v>
      </c>
      <c r="H779" s="93" t="s">
        <v>517</v>
      </c>
      <c r="I779" s="94" t="s">
        <v>518</v>
      </c>
      <c r="J779" s="117">
        <v>111.03</v>
      </c>
      <c r="K779" s="178"/>
      <c r="L779" s="97">
        <v>15000000</v>
      </c>
      <c r="M779" s="117"/>
      <c r="N779" s="117"/>
      <c r="O779" s="111"/>
      <c r="P779" s="100" t="str">
        <f t="shared" si="66"/>
        <v>BCA 8607</v>
      </c>
      <c r="Q779" s="91"/>
      <c r="S779" s="112"/>
      <c r="T779" s="112"/>
      <c r="U779" s="113"/>
      <c r="V779" s="113"/>
      <c r="X779" s="102"/>
    </row>
    <row r="780" spans="1:24" s="101" customFormat="1" hidden="1" x14ac:dyDescent="0.25">
      <c r="A780" s="60" t="str">
        <f t="shared" si="64"/>
        <v>168112</v>
      </c>
      <c r="B780" s="60">
        <f>COUNTIF($J$7:J780,J780)</f>
        <v>168</v>
      </c>
      <c r="C780" s="60" t="str">
        <f t="shared" si="65"/>
        <v>22112,02</v>
      </c>
      <c r="D780" s="60">
        <f>COUNTIF($K$7:K780,K780)</f>
        <v>22</v>
      </c>
      <c r="E780" s="91"/>
      <c r="F780" s="92">
        <v>44580</v>
      </c>
      <c r="G780" s="141" t="s">
        <v>149</v>
      </c>
      <c r="H780" s="93" t="s">
        <v>517</v>
      </c>
      <c r="I780" s="94" t="s">
        <v>461</v>
      </c>
      <c r="J780" s="115">
        <v>112</v>
      </c>
      <c r="K780" s="178">
        <v>112.02</v>
      </c>
      <c r="L780" s="97"/>
      <c r="M780" s="117">
        <v>15000000</v>
      </c>
      <c r="N780" s="117"/>
      <c r="O780" s="111"/>
      <c r="P780" s="100" t="str">
        <f t="shared" si="66"/>
        <v>Piutang Usaha</v>
      </c>
      <c r="Q780" s="91"/>
      <c r="S780" s="112"/>
      <c r="T780" s="112"/>
      <c r="U780" s="113"/>
      <c r="V780" s="113"/>
      <c r="X780" s="102"/>
    </row>
    <row r="781" spans="1:24" s="101" customFormat="1" hidden="1" x14ac:dyDescent="0.25">
      <c r="A781" s="60" t="str">
        <f t="shared" si="64"/>
        <v>37111,03</v>
      </c>
      <c r="B781" s="60">
        <f>COUNTIF($J$7:J781,J781)</f>
        <v>37</v>
      </c>
      <c r="C781" s="60" t="str">
        <f t="shared" si="65"/>
        <v>0</v>
      </c>
      <c r="D781" s="60">
        <f>COUNTIF($K$7:K781,K781)</f>
        <v>0</v>
      </c>
      <c r="E781" s="91"/>
      <c r="F781" s="92">
        <v>44580</v>
      </c>
      <c r="G781" s="116" t="s">
        <v>149</v>
      </c>
      <c r="H781" s="93" t="s">
        <v>519</v>
      </c>
      <c r="I781" s="161" t="s">
        <v>520</v>
      </c>
      <c r="J781" s="117">
        <v>111.03</v>
      </c>
      <c r="K781" s="178"/>
      <c r="L781" s="97">
        <v>6314000</v>
      </c>
      <c r="M781" s="117"/>
      <c r="N781" s="117"/>
      <c r="O781" s="111"/>
      <c r="P781" s="100" t="str">
        <f t="shared" si="66"/>
        <v>BCA 8607</v>
      </c>
      <c r="Q781" s="91"/>
      <c r="S781" s="112"/>
      <c r="T781" s="112"/>
      <c r="U781" s="113"/>
      <c r="V781" s="113"/>
      <c r="X781" s="102"/>
    </row>
    <row r="782" spans="1:24" s="101" customFormat="1" hidden="1" x14ac:dyDescent="0.25">
      <c r="A782" s="60" t="str">
        <f t="shared" si="64"/>
        <v>169112</v>
      </c>
      <c r="B782" s="60">
        <f>COUNTIF($J$7:J782,J782)</f>
        <v>169</v>
      </c>
      <c r="C782" s="60" t="str">
        <f t="shared" si="65"/>
        <v>20112,01</v>
      </c>
      <c r="D782" s="60">
        <f>COUNTIF($K$7:K782,K782)</f>
        <v>20</v>
      </c>
      <c r="E782" s="91"/>
      <c r="F782" s="92">
        <v>44580</v>
      </c>
      <c r="G782" s="141" t="s">
        <v>149</v>
      </c>
      <c r="H782" s="93" t="s">
        <v>519</v>
      </c>
      <c r="I782" s="161" t="s">
        <v>520</v>
      </c>
      <c r="J782" s="115">
        <v>112</v>
      </c>
      <c r="K782" s="178">
        <v>112.01</v>
      </c>
      <c r="L782" s="97"/>
      <c r="M782" s="117">
        <v>6314000</v>
      </c>
      <c r="N782" s="117"/>
      <c r="O782" s="111"/>
      <c r="P782" s="100" t="str">
        <f t="shared" si="66"/>
        <v>Piutang Usaha</v>
      </c>
      <c r="Q782" s="91"/>
      <c r="S782" s="112"/>
      <c r="T782" s="112"/>
      <c r="U782" s="113"/>
      <c r="V782" s="113"/>
      <c r="X782" s="102"/>
    </row>
    <row r="783" spans="1:24" s="101" customFormat="1" hidden="1" x14ac:dyDescent="0.25">
      <c r="A783" s="60" t="str">
        <f t="shared" si="64"/>
        <v>38111,03</v>
      </c>
      <c r="B783" s="60">
        <f>COUNTIF($J$7:J783,J783)</f>
        <v>38</v>
      </c>
      <c r="C783" s="60" t="str">
        <f t="shared" si="65"/>
        <v>0</v>
      </c>
      <c r="D783" s="60">
        <f>COUNTIF($K$7:K783,K783)</f>
        <v>0</v>
      </c>
      <c r="E783" s="91"/>
      <c r="F783" s="92">
        <v>44581</v>
      </c>
      <c r="G783" s="72" t="s">
        <v>149</v>
      </c>
      <c r="H783" s="93" t="s">
        <v>521</v>
      </c>
      <c r="I783" s="94" t="s">
        <v>99</v>
      </c>
      <c r="J783" s="117">
        <v>111.03</v>
      </c>
      <c r="K783" s="178"/>
      <c r="L783" s="97">
        <v>4262500</v>
      </c>
      <c r="M783" s="117"/>
      <c r="N783" s="117"/>
      <c r="O783" s="111"/>
      <c r="P783" s="100" t="str">
        <f t="shared" si="66"/>
        <v>BCA 8607</v>
      </c>
      <c r="Q783" s="91"/>
      <c r="S783" s="112"/>
      <c r="T783" s="112"/>
      <c r="U783" s="113"/>
      <c r="V783" s="113"/>
      <c r="X783" s="102"/>
    </row>
    <row r="784" spans="1:24" s="101" customFormat="1" hidden="1" x14ac:dyDescent="0.25">
      <c r="A784" s="60" t="str">
        <f t="shared" si="64"/>
        <v>170112</v>
      </c>
      <c r="B784" s="60">
        <f>COUNTIF($J$7:J784,J784)</f>
        <v>170</v>
      </c>
      <c r="C784" s="60" t="str">
        <f t="shared" si="65"/>
        <v>7112,07</v>
      </c>
      <c r="D784" s="60">
        <f>COUNTIF($K$7:K784,K784)</f>
        <v>7</v>
      </c>
      <c r="E784" s="91"/>
      <c r="F784" s="92">
        <v>44581</v>
      </c>
      <c r="G784" s="164" t="s">
        <v>149</v>
      </c>
      <c r="H784" s="93" t="s">
        <v>521</v>
      </c>
      <c r="I784" s="94" t="s">
        <v>99</v>
      </c>
      <c r="J784" s="115">
        <v>112</v>
      </c>
      <c r="K784" s="108">
        <v>112.07</v>
      </c>
      <c r="L784" s="97"/>
      <c r="M784" s="117">
        <v>4262500</v>
      </c>
      <c r="N784" s="117"/>
      <c r="O784" s="111"/>
      <c r="P784" s="100" t="str">
        <f t="shared" si="66"/>
        <v>Piutang Usaha</v>
      </c>
      <c r="Q784" s="91"/>
      <c r="S784" s="112"/>
      <c r="T784" s="112"/>
      <c r="U784" s="113"/>
      <c r="V784" s="113"/>
      <c r="X784" s="102"/>
    </row>
    <row r="785" spans="1:24" s="101" customFormat="1" hidden="1" x14ac:dyDescent="0.25">
      <c r="A785" s="60" t="str">
        <f t="shared" si="64"/>
        <v>39111,03</v>
      </c>
      <c r="B785" s="60">
        <f>COUNTIF($J$7:J785,J785)</f>
        <v>39</v>
      </c>
      <c r="C785" s="60" t="str">
        <f t="shared" si="65"/>
        <v>0</v>
      </c>
      <c r="D785" s="60">
        <f>COUNTIF($K$7:K785,K785)</f>
        <v>0</v>
      </c>
      <c r="E785" s="91"/>
      <c r="F785" s="92">
        <v>44581</v>
      </c>
      <c r="G785" s="116" t="s">
        <v>149</v>
      </c>
      <c r="H785" s="93" t="s">
        <v>522</v>
      </c>
      <c r="I785" s="94" t="s">
        <v>523</v>
      </c>
      <c r="J785" s="117">
        <v>111.03</v>
      </c>
      <c r="K785" s="178"/>
      <c r="L785" s="97">
        <v>3850000</v>
      </c>
      <c r="M785" s="117"/>
      <c r="N785" s="117"/>
      <c r="O785" s="111"/>
      <c r="P785" s="100" t="str">
        <f t="shared" si="66"/>
        <v>BCA 8607</v>
      </c>
      <c r="Q785" s="91"/>
      <c r="S785" s="112"/>
      <c r="T785" s="112"/>
      <c r="U785" s="113"/>
      <c r="V785" s="113"/>
      <c r="X785" s="102"/>
    </row>
    <row r="786" spans="1:24" s="101" customFormat="1" hidden="1" x14ac:dyDescent="0.25">
      <c r="A786" s="60" t="str">
        <f t="shared" si="64"/>
        <v>171112</v>
      </c>
      <c r="B786" s="60">
        <f>COUNTIF($J$7:J786,J786)</f>
        <v>171</v>
      </c>
      <c r="C786" s="60" t="str">
        <f t="shared" si="65"/>
        <v>4112,61</v>
      </c>
      <c r="D786" s="60">
        <f>COUNTIF($K$7:K786,K786)</f>
        <v>4</v>
      </c>
      <c r="E786" s="91"/>
      <c r="F786" s="92">
        <v>44581</v>
      </c>
      <c r="G786" s="141" t="s">
        <v>149</v>
      </c>
      <c r="H786" s="93" t="s">
        <v>522</v>
      </c>
      <c r="I786" s="94" t="s">
        <v>523</v>
      </c>
      <c r="J786" s="115">
        <v>112</v>
      </c>
      <c r="K786" s="108">
        <v>112.61</v>
      </c>
      <c r="L786" s="97"/>
      <c r="M786" s="117">
        <v>3850000</v>
      </c>
      <c r="N786" s="117"/>
      <c r="O786" s="111"/>
      <c r="P786" s="100" t="str">
        <f t="shared" si="66"/>
        <v>Piutang Usaha</v>
      </c>
      <c r="Q786" s="91"/>
      <c r="S786" s="112"/>
      <c r="T786" s="112"/>
      <c r="U786" s="113"/>
      <c r="V786" s="113"/>
      <c r="X786" s="102"/>
    </row>
    <row r="787" spans="1:24" s="101" customFormat="1" hidden="1" x14ac:dyDescent="0.25">
      <c r="A787" s="60" t="str">
        <f t="shared" si="64"/>
        <v>40111,03</v>
      </c>
      <c r="B787" s="60">
        <f>COUNTIF($J$7:J787,J787)</f>
        <v>40</v>
      </c>
      <c r="C787" s="60" t="str">
        <f t="shared" si="65"/>
        <v>0</v>
      </c>
      <c r="D787" s="60">
        <f>COUNTIF($K$7:K787,K787)</f>
        <v>0</v>
      </c>
      <c r="E787" s="91"/>
      <c r="F787" s="92">
        <v>44581</v>
      </c>
      <c r="G787" s="116" t="s">
        <v>149</v>
      </c>
      <c r="H787" s="93" t="s">
        <v>524</v>
      </c>
      <c r="I787" s="94" t="s">
        <v>525</v>
      </c>
      <c r="J787" s="117">
        <v>111.03</v>
      </c>
      <c r="K787" s="178"/>
      <c r="L787" s="97">
        <v>100000000</v>
      </c>
      <c r="M787" s="117"/>
      <c r="N787" s="117"/>
      <c r="O787" s="111"/>
      <c r="P787" s="100" t="str">
        <f t="shared" si="66"/>
        <v>BCA 8607</v>
      </c>
      <c r="Q787" s="91"/>
      <c r="S787" s="112"/>
      <c r="T787" s="112"/>
      <c r="U787" s="113"/>
      <c r="V787" s="113"/>
      <c r="X787" s="102"/>
    </row>
    <row r="788" spans="1:24" s="101" customFormat="1" hidden="1" x14ac:dyDescent="0.25">
      <c r="A788" s="60" t="str">
        <f t="shared" si="64"/>
        <v>172112</v>
      </c>
      <c r="B788" s="60">
        <f>COUNTIF($J$7:J788,J788)</f>
        <v>172</v>
      </c>
      <c r="C788" s="60" t="str">
        <f t="shared" si="65"/>
        <v>7112,43</v>
      </c>
      <c r="D788" s="60">
        <f>COUNTIF($K$7:K788,K788)</f>
        <v>7</v>
      </c>
      <c r="E788" s="91"/>
      <c r="F788" s="92">
        <v>44581</v>
      </c>
      <c r="G788" s="141" t="s">
        <v>149</v>
      </c>
      <c r="H788" s="93" t="s">
        <v>524</v>
      </c>
      <c r="I788" s="94" t="s">
        <v>525</v>
      </c>
      <c r="J788" s="115">
        <v>112</v>
      </c>
      <c r="K788" s="178">
        <v>112.43</v>
      </c>
      <c r="L788" s="97"/>
      <c r="M788" s="117">
        <v>100000000</v>
      </c>
      <c r="N788" s="117"/>
      <c r="O788" s="111"/>
      <c r="P788" s="100" t="str">
        <f t="shared" si="66"/>
        <v>Piutang Usaha</v>
      </c>
      <c r="Q788" s="91"/>
      <c r="S788" s="112"/>
      <c r="T788" s="112"/>
      <c r="U788" s="113"/>
      <c r="V788" s="113"/>
      <c r="X788" s="102"/>
    </row>
    <row r="789" spans="1:24" s="101" customFormat="1" hidden="1" x14ac:dyDescent="0.25">
      <c r="A789" s="60" t="str">
        <f t="shared" si="64"/>
        <v>41111,03</v>
      </c>
      <c r="B789" s="60">
        <f>COUNTIF($J$7:J789,J789)</f>
        <v>41</v>
      </c>
      <c r="C789" s="60" t="str">
        <f t="shared" si="65"/>
        <v>0</v>
      </c>
      <c r="D789" s="60">
        <f>COUNTIF($K$7:K789,K789)</f>
        <v>0</v>
      </c>
      <c r="E789" s="91"/>
      <c r="F789" s="92">
        <v>44582</v>
      </c>
      <c r="G789" s="116" t="s">
        <v>149</v>
      </c>
      <c r="H789" s="93" t="s">
        <v>526</v>
      </c>
      <c r="I789" s="161" t="s">
        <v>527</v>
      </c>
      <c r="J789" s="117">
        <v>111.03</v>
      </c>
      <c r="K789" s="178"/>
      <c r="L789" s="97">
        <v>1925000</v>
      </c>
      <c r="M789" s="117"/>
      <c r="N789" s="117"/>
      <c r="O789" s="111"/>
      <c r="P789" s="100" t="str">
        <f t="shared" si="66"/>
        <v>BCA 8607</v>
      </c>
      <c r="Q789" s="91"/>
      <c r="S789" s="112"/>
      <c r="T789" s="112"/>
      <c r="U789" s="113"/>
      <c r="V789" s="113"/>
      <c r="X789" s="102"/>
    </row>
    <row r="790" spans="1:24" s="101" customFormat="1" hidden="1" x14ac:dyDescent="0.25">
      <c r="A790" s="60" t="str">
        <f t="shared" si="64"/>
        <v>173112</v>
      </c>
      <c r="B790" s="60">
        <f>COUNTIF($J$7:J790,J790)</f>
        <v>173</v>
      </c>
      <c r="C790" s="60" t="str">
        <f t="shared" si="65"/>
        <v>5112,61</v>
      </c>
      <c r="D790" s="60">
        <f>COUNTIF($K$7:K790,K790)</f>
        <v>5</v>
      </c>
      <c r="E790" s="91"/>
      <c r="F790" s="92">
        <v>44582</v>
      </c>
      <c r="G790" s="141" t="s">
        <v>149</v>
      </c>
      <c r="H790" s="93" t="s">
        <v>526</v>
      </c>
      <c r="I790" s="161" t="s">
        <v>527</v>
      </c>
      <c r="J790" s="115">
        <v>112</v>
      </c>
      <c r="K790" s="108">
        <v>112.61</v>
      </c>
      <c r="L790" s="97"/>
      <c r="M790" s="117">
        <v>1925000</v>
      </c>
      <c r="N790" s="117"/>
      <c r="O790" s="111"/>
      <c r="P790" s="100" t="str">
        <f t="shared" si="66"/>
        <v>Piutang Usaha</v>
      </c>
      <c r="Q790" s="91"/>
      <c r="S790" s="112"/>
      <c r="T790" s="112"/>
      <c r="U790" s="113"/>
      <c r="V790" s="113"/>
      <c r="X790" s="102"/>
    </row>
    <row r="791" spans="1:24" s="101" customFormat="1" hidden="1" x14ac:dyDescent="0.25">
      <c r="A791" s="60" t="str">
        <f t="shared" si="64"/>
        <v>42111,03</v>
      </c>
      <c r="B791" s="60">
        <f>COUNTIF($J$7:J791,J791)</f>
        <v>42</v>
      </c>
      <c r="C791" s="60" t="str">
        <f t="shared" si="65"/>
        <v>0</v>
      </c>
      <c r="D791" s="60">
        <f>COUNTIF($K$7:K791,K791)</f>
        <v>0</v>
      </c>
      <c r="E791" s="91"/>
      <c r="F791" s="92">
        <v>44582</v>
      </c>
      <c r="G791" s="116" t="s">
        <v>149</v>
      </c>
      <c r="H791" s="93" t="s">
        <v>528</v>
      </c>
      <c r="I791" s="94" t="s">
        <v>461</v>
      </c>
      <c r="J791" s="117">
        <v>111.03</v>
      </c>
      <c r="K791" s="178"/>
      <c r="L791" s="97">
        <v>15000000</v>
      </c>
      <c r="M791" s="117"/>
      <c r="N791" s="117"/>
      <c r="O791" s="111"/>
      <c r="P791" s="100" t="str">
        <f t="shared" si="66"/>
        <v>BCA 8607</v>
      </c>
      <c r="Q791" s="91"/>
      <c r="S791" s="112"/>
      <c r="T791" s="112"/>
      <c r="U791" s="113"/>
      <c r="V791" s="113"/>
      <c r="X791" s="102"/>
    </row>
    <row r="792" spans="1:24" s="101" customFormat="1" hidden="1" x14ac:dyDescent="0.25">
      <c r="A792" s="60" t="str">
        <f t="shared" si="64"/>
        <v>174112</v>
      </c>
      <c r="B792" s="60">
        <f>COUNTIF($J$7:J792,J792)</f>
        <v>174</v>
      </c>
      <c r="C792" s="60" t="str">
        <f t="shared" si="65"/>
        <v>23112,02</v>
      </c>
      <c r="D792" s="60">
        <f>COUNTIF($K$7:K792,K792)</f>
        <v>23</v>
      </c>
      <c r="E792" s="91"/>
      <c r="F792" s="92">
        <v>44582</v>
      </c>
      <c r="G792" s="141" t="s">
        <v>149</v>
      </c>
      <c r="H792" s="93" t="s">
        <v>528</v>
      </c>
      <c r="I792" s="94" t="s">
        <v>461</v>
      </c>
      <c r="J792" s="115">
        <v>112</v>
      </c>
      <c r="K792" s="178">
        <v>112.02</v>
      </c>
      <c r="L792" s="97"/>
      <c r="M792" s="117">
        <v>15000000</v>
      </c>
      <c r="N792" s="117"/>
      <c r="O792" s="111"/>
      <c r="P792" s="100" t="str">
        <f t="shared" si="66"/>
        <v>Piutang Usaha</v>
      </c>
      <c r="Q792" s="91"/>
      <c r="S792" s="112"/>
      <c r="T792" s="112"/>
      <c r="U792" s="113"/>
      <c r="V792" s="113"/>
      <c r="X792" s="102"/>
    </row>
    <row r="793" spans="1:24" s="101" customFormat="1" hidden="1" x14ac:dyDescent="0.25">
      <c r="A793" s="60" t="str">
        <f t="shared" si="64"/>
        <v>43111,03</v>
      </c>
      <c r="B793" s="60">
        <f>COUNTIF($J$7:J793,J793)</f>
        <v>43</v>
      </c>
      <c r="C793" s="60" t="str">
        <f t="shared" si="65"/>
        <v>0</v>
      </c>
      <c r="D793" s="60">
        <f>COUNTIF($K$7:K793,K793)</f>
        <v>0</v>
      </c>
      <c r="E793" s="91"/>
      <c r="F793" s="92">
        <v>44582</v>
      </c>
      <c r="G793" s="116" t="s">
        <v>149</v>
      </c>
      <c r="H793" s="93" t="s">
        <v>529</v>
      </c>
      <c r="I793" s="94" t="s">
        <v>504</v>
      </c>
      <c r="J793" s="117">
        <v>111.03</v>
      </c>
      <c r="K793" s="178"/>
      <c r="L793" s="97">
        <v>6720000</v>
      </c>
      <c r="M793" s="117"/>
      <c r="N793" s="117"/>
      <c r="O793" s="111"/>
      <c r="P793" s="100" t="str">
        <f t="shared" si="66"/>
        <v>BCA 8607</v>
      </c>
      <c r="Q793" s="91"/>
      <c r="S793" s="112"/>
      <c r="T793" s="112"/>
      <c r="U793" s="113"/>
      <c r="V793" s="113"/>
      <c r="X793" s="102"/>
    </row>
    <row r="794" spans="1:24" s="101" customFormat="1" hidden="1" x14ac:dyDescent="0.25">
      <c r="A794" s="60" t="str">
        <f t="shared" si="64"/>
        <v>175112</v>
      </c>
      <c r="B794" s="60">
        <f>COUNTIF($J$7:J794,J794)</f>
        <v>175</v>
      </c>
      <c r="C794" s="60" t="str">
        <f t="shared" si="65"/>
        <v>7112,35</v>
      </c>
      <c r="D794" s="60">
        <f>COUNTIF($K$7:K794,K794)</f>
        <v>7</v>
      </c>
      <c r="E794" s="91"/>
      <c r="F794" s="92">
        <v>44585</v>
      </c>
      <c r="G794" s="141" t="s">
        <v>149</v>
      </c>
      <c r="H794" s="93" t="s">
        <v>529</v>
      </c>
      <c r="I794" s="94" t="s">
        <v>504</v>
      </c>
      <c r="J794" s="115">
        <v>112</v>
      </c>
      <c r="K794" s="120">
        <v>112.35</v>
      </c>
      <c r="L794" s="97"/>
      <c r="M794" s="117">
        <v>6720000</v>
      </c>
      <c r="N794" s="117"/>
      <c r="O794" s="111"/>
      <c r="P794" s="100" t="str">
        <f t="shared" si="66"/>
        <v>Piutang Usaha</v>
      </c>
      <c r="Q794" s="91"/>
      <c r="S794" s="112"/>
      <c r="T794" s="112"/>
      <c r="U794" s="113"/>
      <c r="V794" s="113"/>
      <c r="X794" s="102"/>
    </row>
    <row r="795" spans="1:24" s="101" customFormat="1" hidden="1" x14ac:dyDescent="0.25">
      <c r="A795" s="60" t="str">
        <f t="shared" si="64"/>
        <v>44111,03</v>
      </c>
      <c r="B795" s="60">
        <f>COUNTIF($J$7:J795,J795)</f>
        <v>44</v>
      </c>
      <c r="C795" s="60" t="str">
        <f t="shared" si="65"/>
        <v>0</v>
      </c>
      <c r="D795" s="60">
        <f>COUNTIF($K$7:K795,K795)</f>
        <v>0</v>
      </c>
      <c r="E795" s="91"/>
      <c r="F795" s="92">
        <v>44585</v>
      </c>
      <c r="G795" s="116" t="s">
        <v>149</v>
      </c>
      <c r="H795" s="93" t="s">
        <v>530</v>
      </c>
      <c r="I795" s="94" t="s">
        <v>461</v>
      </c>
      <c r="J795" s="117">
        <v>111.03</v>
      </c>
      <c r="K795" s="178"/>
      <c r="L795" s="97">
        <v>12000000</v>
      </c>
      <c r="M795" s="117"/>
      <c r="N795" s="117"/>
      <c r="O795" s="111"/>
      <c r="P795" s="100" t="str">
        <f t="shared" si="66"/>
        <v>BCA 8607</v>
      </c>
      <c r="Q795" s="91"/>
      <c r="S795" s="112"/>
      <c r="T795" s="112"/>
      <c r="U795" s="113"/>
      <c r="V795" s="113"/>
      <c r="X795" s="102"/>
    </row>
    <row r="796" spans="1:24" s="101" customFormat="1" hidden="1" x14ac:dyDescent="0.25">
      <c r="A796" s="60" t="str">
        <f t="shared" si="64"/>
        <v>176112</v>
      </c>
      <c r="B796" s="60">
        <f>COUNTIF($J$7:J796,J796)</f>
        <v>176</v>
      </c>
      <c r="C796" s="60" t="str">
        <f t="shared" si="65"/>
        <v>24112,02</v>
      </c>
      <c r="D796" s="60">
        <f>COUNTIF($K$7:K796,K796)</f>
        <v>24</v>
      </c>
      <c r="E796" s="91"/>
      <c r="F796" s="92">
        <v>44585</v>
      </c>
      <c r="G796" s="141" t="s">
        <v>149</v>
      </c>
      <c r="H796" s="93" t="s">
        <v>530</v>
      </c>
      <c r="I796" s="94" t="s">
        <v>461</v>
      </c>
      <c r="J796" s="115">
        <v>112</v>
      </c>
      <c r="K796" s="178">
        <v>112.02</v>
      </c>
      <c r="L796" s="97"/>
      <c r="M796" s="117">
        <v>12000000</v>
      </c>
      <c r="N796" s="117"/>
      <c r="O796" s="111"/>
      <c r="P796" s="100" t="str">
        <f t="shared" si="66"/>
        <v>Piutang Usaha</v>
      </c>
      <c r="Q796" s="91"/>
      <c r="S796" s="112"/>
      <c r="T796" s="112"/>
      <c r="U796" s="113"/>
      <c r="V796" s="113"/>
      <c r="X796" s="102"/>
    </row>
    <row r="797" spans="1:24" s="101" customFormat="1" hidden="1" x14ac:dyDescent="0.25">
      <c r="A797" s="60" t="str">
        <f t="shared" si="64"/>
        <v>45111,03</v>
      </c>
      <c r="B797" s="60">
        <f>COUNTIF($J$7:J797,J797)</f>
        <v>45</v>
      </c>
      <c r="C797" s="60" t="str">
        <f t="shared" si="65"/>
        <v>0</v>
      </c>
      <c r="D797" s="60">
        <f>COUNTIF($K$7:K797,K797)</f>
        <v>0</v>
      </c>
      <c r="E797" s="91"/>
      <c r="F797" s="92">
        <v>44585</v>
      </c>
      <c r="G797" s="116" t="s">
        <v>149</v>
      </c>
      <c r="H797" s="93" t="s">
        <v>531</v>
      </c>
      <c r="I797" s="161" t="s">
        <v>532</v>
      </c>
      <c r="J797" s="117">
        <v>111.03</v>
      </c>
      <c r="K797" s="178"/>
      <c r="L797" s="97">
        <v>14454000</v>
      </c>
      <c r="M797" s="117"/>
      <c r="N797" s="117"/>
      <c r="O797" s="111"/>
      <c r="P797" s="100" t="str">
        <f t="shared" si="66"/>
        <v>BCA 8607</v>
      </c>
      <c r="Q797" s="91"/>
      <c r="S797" s="112"/>
      <c r="T797" s="112"/>
      <c r="U797" s="113"/>
      <c r="V797" s="113"/>
      <c r="X797" s="102"/>
    </row>
    <row r="798" spans="1:24" s="101" customFormat="1" hidden="1" x14ac:dyDescent="0.25">
      <c r="A798" s="60" t="str">
        <f t="shared" si="64"/>
        <v>177112</v>
      </c>
      <c r="B798" s="60">
        <f>COUNTIF($J$7:J798,J798)</f>
        <v>177</v>
      </c>
      <c r="C798" s="60" t="str">
        <f t="shared" si="65"/>
        <v>20112,06</v>
      </c>
      <c r="D798" s="60">
        <f>COUNTIF($K$7:K798,K798)</f>
        <v>20</v>
      </c>
      <c r="E798" s="91"/>
      <c r="F798" s="92">
        <v>44585</v>
      </c>
      <c r="G798" s="141" t="s">
        <v>149</v>
      </c>
      <c r="H798" s="93" t="s">
        <v>531</v>
      </c>
      <c r="I798" s="161" t="s">
        <v>532</v>
      </c>
      <c r="J798" s="115">
        <v>112</v>
      </c>
      <c r="K798" s="96">
        <v>112.06</v>
      </c>
      <c r="L798" s="97"/>
      <c r="M798" s="117">
        <v>14454000</v>
      </c>
      <c r="N798" s="117"/>
      <c r="O798" s="111"/>
      <c r="P798" s="100" t="str">
        <f t="shared" si="66"/>
        <v>Piutang Usaha</v>
      </c>
      <c r="Q798" s="91"/>
      <c r="S798" s="112"/>
      <c r="T798" s="112"/>
      <c r="U798" s="113"/>
      <c r="V798" s="113"/>
      <c r="X798" s="102"/>
    </row>
    <row r="799" spans="1:24" s="101" customFormat="1" hidden="1" x14ac:dyDescent="0.25">
      <c r="A799" s="60" t="str">
        <f t="shared" si="64"/>
        <v>46111,03</v>
      </c>
      <c r="B799" s="60">
        <f>COUNTIF($J$7:J799,J799)</f>
        <v>46</v>
      </c>
      <c r="C799" s="60" t="str">
        <f t="shared" si="65"/>
        <v>0</v>
      </c>
      <c r="D799" s="60">
        <f>COUNTIF($K$7:K799,K799)</f>
        <v>0</v>
      </c>
      <c r="E799" s="91"/>
      <c r="F799" s="92">
        <v>44585</v>
      </c>
      <c r="G799" s="116" t="s">
        <v>149</v>
      </c>
      <c r="H799" s="93" t="s">
        <v>533</v>
      </c>
      <c r="I799" s="161" t="s">
        <v>534</v>
      </c>
      <c r="J799" s="117">
        <v>111.03</v>
      </c>
      <c r="K799" s="178"/>
      <c r="L799" s="97">
        <v>9504000</v>
      </c>
      <c r="M799" s="117"/>
      <c r="N799" s="117"/>
      <c r="O799" s="111"/>
      <c r="P799" s="100" t="str">
        <f t="shared" si="66"/>
        <v>BCA 8607</v>
      </c>
      <c r="Q799" s="91"/>
      <c r="S799" s="112"/>
      <c r="T799" s="112"/>
      <c r="U799" s="113"/>
      <c r="V799" s="113"/>
      <c r="X799" s="102"/>
    </row>
    <row r="800" spans="1:24" s="101" customFormat="1" hidden="1" x14ac:dyDescent="0.25">
      <c r="A800" s="60" t="str">
        <f t="shared" si="64"/>
        <v>178112</v>
      </c>
      <c r="B800" s="60">
        <f>COUNTIF($J$7:J800,J800)</f>
        <v>178</v>
      </c>
      <c r="C800" s="60" t="str">
        <f t="shared" si="65"/>
        <v>2112,67</v>
      </c>
      <c r="D800" s="60">
        <f>COUNTIF($K$7:K800,K800)</f>
        <v>2</v>
      </c>
      <c r="E800" s="91"/>
      <c r="F800" s="92">
        <v>44585</v>
      </c>
      <c r="G800" s="141" t="s">
        <v>149</v>
      </c>
      <c r="H800" s="93" t="s">
        <v>533</v>
      </c>
      <c r="I800" s="161" t="s">
        <v>534</v>
      </c>
      <c r="J800" s="115">
        <v>112</v>
      </c>
      <c r="K800" s="120">
        <v>112.67</v>
      </c>
      <c r="L800" s="97"/>
      <c r="M800" s="117">
        <v>9504000</v>
      </c>
      <c r="N800" s="117"/>
      <c r="O800" s="111"/>
      <c r="P800" s="100" t="str">
        <f t="shared" si="66"/>
        <v>Piutang Usaha</v>
      </c>
      <c r="Q800" s="91"/>
      <c r="S800" s="112"/>
      <c r="T800" s="112"/>
      <c r="U800" s="113"/>
      <c r="V800" s="113"/>
      <c r="X800" s="102"/>
    </row>
    <row r="801" spans="1:24" s="101" customFormat="1" hidden="1" x14ac:dyDescent="0.25">
      <c r="A801" s="60" t="str">
        <f t="shared" si="64"/>
        <v>47111,03</v>
      </c>
      <c r="B801" s="60">
        <f>COUNTIF($J$7:J801,J801)</f>
        <v>47</v>
      </c>
      <c r="C801" s="60" t="str">
        <f t="shared" si="65"/>
        <v>0</v>
      </c>
      <c r="D801" s="60">
        <f>COUNTIF($K$7:K801,K801)</f>
        <v>0</v>
      </c>
      <c r="E801" s="91"/>
      <c r="F801" s="92">
        <v>44585</v>
      </c>
      <c r="G801" s="116" t="s">
        <v>149</v>
      </c>
      <c r="H801" s="93" t="s">
        <v>535</v>
      </c>
      <c r="I801" s="161" t="s">
        <v>536</v>
      </c>
      <c r="J801" s="117">
        <v>111.03</v>
      </c>
      <c r="K801" s="178"/>
      <c r="L801" s="97">
        <v>100000000</v>
      </c>
      <c r="M801" s="117"/>
      <c r="N801" s="117"/>
      <c r="O801" s="111"/>
      <c r="P801" s="100" t="str">
        <f t="shared" si="66"/>
        <v>BCA 8607</v>
      </c>
      <c r="Q801" s="91"/>
      <c r="S801" s="112"/>
      <c r="T801" s="112"/>
      <c r="U801" s="113"/>
      <c r="V801" s="113"/>
      <c r="X801" s="102"/>
    </row>
    <row r="802" spans="1:24" s="101" customFormat="1" hidden="1" x14ac:dyDescent="0.25">
      <c r="A802" s="60" t="str">
        <f t="shared" si="64"/>
        <v>179112</v>
      </c>
      <c r="B802" s="60">
        <f>COUNTIF($J$7:J802,J802)</f>
        <v>179</v>
      </c>
      <c r="C802" s="60" t="str">
        <f t="shared" si="65"/>
        <v>21112,01</v>
      </c>
      <c r="D802" s="60">
        <f>COUNTIF($K$7:K802,K802)</f>
        <v>21</v>
      </c>
      <c r="E802" s="91"/>
      <c r="F802" s="92">
        <v>44585</v>
      </c>
      <c r="G802" s="141" t="s">
        <v>149</v>
      </c>
      <c r="H802" s="93" t="s">
        <v>535</v>
      </c>
      <c r="I802" s="161" t="s">
        <v>536</v>
      </c>
      <c r="J802" s="115">
        <v>112</v>
      </c>
      <c r="K802" s="178">
        <v>112.01</v>
      </c>
      <c r="L802" s="97"/>
      <c r="M802" s="117">
        <v>100000000</v>
      </c>
      <c r="N802" s="117"/>
      <c r="O802" s="111"/>
      <c r="P802" s="100" t="str">
        <f t="shared" si="66"/>
        <v>Piutang Usaha</v>
      </c>
      <c r="Q802" s="91"/>
      <c r="S802" s="112"/>
      <c r="T802" s="112"/>
      <c r="U802" s="113"/>
      <c r="V802" s="113"/>
      <c r="X802" s="102"/>
    </row>
    <row r="803" spans="1:24" s="101" customFormat="1" hidden="1" x14ac:dyDescent="0.25">
      <c r="A803" s="60" t="str">
        <f t="shared" si="64"/>
        <v>48111,03</v>
      </c>
      <c r="B803" s="60">
        <f>COUNTIF($J$7:J803,J803)</f>
        <v>48</v>
      </c>
      <c r="C803" s="60" t="str">
        <f t="shared" si="65"/>
        <v>0</v>
      </c>
      <c r="D803" s="60">
        <f>COUNTIF($K$7:K803,K803)</f>
        <v>0</v>
      </c>
      <c r="E803" s="91"/>
      <c r="F803" s="92">
        <v>44586</v>
      </c>
      <c r="G803" s="116" t="s">
        <v>149</v>
      </c>
      <c r="H803" s="93" t="s">
        <v>537</v>
      </c>
      <c r="I803" s="161" t="s">
        <v>538</v>
      </c>
      <c r="J803" s="117">
        <v>111.03</v>
      </c>
      <c r="K803" s="178"/>
      <c r="L803" s="97">
        <v>42000000</v>
      </c>
      <c r="M803" s="117"/>
      <c r="N803" s="117"/>
      <c r="O803" s="111"/>
      <c r="P803" s="100" t="str">
        <f t="shared" si="66"/>
        <v>BCA 8607</v>
      </c>
      <c r="Q803" s="91"/>
      <c r="S803" s="112"/>
      <c r="T803" s="112"/>
      <c r="U803" s="113"/>
      <c r="V803" s="113"/>
      <c r="X803" s="102"/>
    </row>
    <row r="804" spans="1:24" s="101" customFormat="1" hidden="1" x14ac:dyDescent="0.25">
      <c r="A804" s="60" t="str">
        <f t="shared" si="64"/>
        <v>180112</v>
      </c>
      <c r="B804" s="60">
        <f>COUNTIF($J$7:J804,J804)</f>
        <v>180</v>
      </c>
      <c r="C804" s="60" t="str">
        <f t="shared" si="65"/>
        <v>2112,54</v>
      </c>
      <c r="D804" s="60">
        <f>COUNTIF($K$7:K804,K804)</f>
        <v>2</v>
      </c>
      <c r="E804" s="91"/>
      <c r="F804" s="92">
        <v>44586</v>
      </c>
      <c r="G804" s="141" t="s">
        <v>149</v>
      </c>
      <c r="H804" s="93" t="s">
        <v>537</v>
      </c>
      <c r="I804" s="161" t="s">
        <v>538</v>
      </c>
      <c r="J804" s="115">
        <v>112</v>
      </c>
      <c r="K804" s="120">
        <v>112.54</v>
      </c>
      <c r="L804" s="97"/>
      <c r="M804" s="117">
        <v>42000000</v>
      </c>
      <c r="N804" s="117"/>
      <c r="O804" s="111"/>
      <c r="P804" s="100" t="str">
        <f t="shared" si="66"/>
        <v>Piutang Usaha</v>
      </c>
      <c r="Q804" s="91"/>
      <c r="S804" s="112"/>
      <c r="T804" s="112"/>
      <c r="U804" s="113"/>
      <c r="V804" s="113"/>
      <c r="X804" s="102"/>
    </row>
    <row r="805" spans="1:24" s="101" customFormat="1" hidden="1" x14ac:dyDescent="0.25">
      <c r="A805" s="60" t="str">
        <f t="shared" si="64"/>
        <v>49111,03</v>
      </c>
      <c r="B805" s="60">
        <f>COUNTIF($J$7:J805,J805)</f>
        <v>49</v>
      </c>
      <c r="C805" s="60" t="str">
        <f t="shared" si="65"/>
        <v>0</v>
      </c>
      <c r="D805" s="60">
        <f>COUNTIF($K$7:K805,K805)</f>
        <v>0</v>
      </c>
      <c r="E805" s="91"/>
      <c r="F805" s="92">
        <v>44586</v>
      </c>
      <c r="G805" s="72" t="s">
        <v>149</v>
      </c>
      <c r="H805" s="93" t="s">
        <v>539</v>
      </c>
      <c r="I805" s="94" t="s">
        <v>99</v>
      </c>
      <c r="J805" s="117">
        <v>111.03</v>
      </c>
      <c r="K805" s="178"/>
      <c r="L805" s="97">
        <v>4262500</v>
      </c>
      <c r="M805" s="165"/>
      <c r="N805" s="165"/>
      <c r="O805" s="111"/>
      <c r="P805" s="100" t="str">
        <f t="shared" si="66"/>
        <v>BCA 8607</v>
      </c>
      <c r="Q805" s="91"/>
      <c r="S805" s="112"/>
      <c r="T805" s="112"/>
      <c r="U805" s="113"/>
      <c r="V805" s="113"/>
      <c r="X805" s="102"/>
    </row>
    <row r="806" spans="1:24" s="101" customFormat="1" hidden="1" x14ac:dyDescent="0.25">
      <c r="A806" s="60" t="str">
        <f t="shared" si="64"/>
        <v>181112</v>
      </c>
      <c r="B806" s="60">
        <f>COUNTIF($J$7:J806,J806)</f>
        <v>181</v>
      </c>
      <c r="C806" s="60" t="str">
        <f t="shared" si="65"/>
        <v>8112,07</v>
      </c>
      <c r="D806" s="60">
        <f>COUNTIF($K$7:K806,K806)</f>
        <v>8</v>
      </c>
      <c r="E806" s="91"/>
      <c r="F806" s="92">
        <v>44586</v>
      </c>
      <c r="G806" s="164" t="s">
        <v>149</v>
      </c>
      <c r="H806" s="93" t="s">
        <v>539</v>
      </c>
      <c r="I806" s="94" t="s">
        <v>99</v>
      </c>
      <c r="J806" s="115">
        <v>112</v>
      </c>
      <c r="K806" s="120">
        <v>112.07</v>
      </c>
      <c r="L806" s="97"/>
      <c r="M806" s="117">
        <v>4262500</v>
      </c>
      <c r="N806" s="117"/>
      <c r="O806" s="111"/>
      <c r="P806" s="100" t="str">
        <f t="shared" si="66"/>
        <v>Piutang Usaha</v>
      </c>
      <c r="Q806" s="91"/>
      <c r="S806" s="112"/>
      <c r="T806" s="112"/>
      <c r="U806" s="113"/>
      <c r="V806" s="113"/>
      <c r="X806" s="102"/>
    </row>
    <row r="807" spans="1:24" s="101" customFormat="1" hidden="1" x14ac:dyDescent="0.25">
      <c r="A807" s="60" t="str">
        <f t="shared" si="64"/>
        <v>50111,03</v>
      </c>
      <c r="B807" s="60">
        <f>COUNTIF($J$7:J807,J807)</f>
        <v>50</v>
      </c>
      <c r="C807" s="60" t="str">
        <f t="shared" si="65"/>
        <v>0</v>
      </c>
      <c r="D807" s="60">
        <f>COUNTIF($K$7:K807,K807)</f>
        <v>0</v>
      </c>
      <c r="E807" s="91"/>
      <c r="F807" s="92">
        <v>44586</v>
      </c>
      <c r="G807" s="116" t="s">
        <v>149</v>
      </c>
      <c r="H807" s="93" t="s">
        <v>540</v>
      </c>
      <c r="I807" s="161" t="s">
        <v>541</v>
      </c>
      <c r="J807" s="117">
        <v>111.03</v>
      </c>
      <c r="K807" s="178"/>
      <c r="L807" s="97">
        <v>4840000</v>
      </c>
      <c r="M807" s="117"/>
      <c r="N807" s="117"/>
      <c r="O807" s="111"/>
      <c r="P807" s="100" t="str">
        <f t="shared" si="66"/>
        <v>BCA 8607</v>
      </c>
      <c r="Q807" s="91"/>
      <c r="S807" s="112"/>
      <c r="T807" s="112"/>
      <c r="U807" s="113"/>
      <c r="V807" s="113"/>
      <c r="X807" s="102"/>
    </row>
    <row r="808" spans="1:24" s="101" customFormat="1" hidden="1" x14ac:dyDescent="0.25">
      <c r="A808" s="60" t="str">
        <f t="shared" si="64"/>
        <v>182112</v>
      </c>
      <c r="B808" s="60">
        <f>COUNTIF($J$7:J808,J808)</f>
        <v>182</v>
      </c>
      <c r="C808" s="60" t="str">
        <f t="shared" si="65"/>
        <v>4112,31</v>
      </c>
      <c r="D808" s="60">
        <f>COUNTIF($K$7:K808,K808)</f>
        <v>4</v>
      </c>
      <c r="E808" s="91"/>
      <c r="F808" s="92">
        <v>44586</v>
      </c>
      <c r="G808" s="141" t="s">
        <v>149</v>
      </c>
      <c r="H808" s="93" t="s">
        <v>540</v>
      </c>
      <c r="I808" s="161" t="s">
        <v>541</v>
      </c>
      <c r="J808" s="115">
        <v>112</v>
      </c>
      <c r="K808" s="120">
        <v>112.31</v>
      </c>
      <c r="L808" s="97"/>
      <c r="M808" s="117">
        <v>4840000</v>
      </c>
      <c r="N808" s="117"/>
      <c r="O808" s="111"/>
      <c r="P808" s="100" t="str">
        <f t="shared" si="66"/>
        <v>Piutang Usaha</v>
      </c>
      <c r="Q808" s="91"/>
      <c r="S808" s="112"/>
      <c r="T808" s="112"/>
      <c r="U808" s="113"/>
      <c r="V808" s="113"/>
      <c r="X808" s="102"/>
    </row>
    <row r="809" spans="1:24" s="101" customFormat="1" hidden="1" x14ac:dyDescent="0.25">
      <c r="A809" s="60" t="str">
        <f t="shared" si="64"/>
        <v>51111,03</v>
      </c>
      <c r="B809" s="60">
        <f>COUNTIF($J$7:J809,J809)</f>
        <v>51</v>
      </c>
      <c r="C809" s="60" t="str">
        <f t="shared" si="65"/>
        <v>0</v>
      </c>
      <c r="D809" s="60">
        <f>COUNTIF($K$7:K809,K809)</f>
        <v>0</v>
      </c>
      <c r="E809" s="91"/>
      <c r="F809" s="92">
        <v>44587</v>
      </c>
      <c r="G809" s="116" t="s">
        <v>149</v>
      </c>
      <c r="H809" s="93" t="s">
        <v>542</v>
      </c>
      <c r="I809" s="161" t="s">
        <v>543</v>
      </c>
      <c r="J809" s="117">
        <v>111.03</v>
      </c>
      <c r="K809" s="178"/>
      <c r="L809" s="97">
        <v>2145000</v>
      </c>
      <c r="M809" s="117"/>
      <c r="N809" s="117"/>
      <c r="O809" s="111"/>
      <c r="P809" s="100" t="str">
        <f t="shared" si="66"/>
        <v>BCA 8607</v>
      </c>
      <c r="Q809" s="91"/>
      <c r="S809" s="112"/>
      <c r="T809" s="112"/>
      <c r="U809" s="113"/>
      <c r="V809" s="113"/>
      <c r="X809" s="102"/>
    </row>
    <row r="810" spans="1:24" s="101" customFormat="1" hidden="1" x14ac:dyDescent="0.25">
      <c r="A810" s="60" t="str">
        <f t="shared" si="64"/>
        <v>183112</v>
      </c>
      <c r="B810" s="60">
        <f>COUNTIF($J$7:J810,J810)</f>
        <v>183</v>
      </c>
      <c r="C810" s="60" t="str">
        <f t="shared" si="65"/>
        <v>12112,3</v>
      </c>
      <c r="D810" s="60">
        <f>COUNTIF($K$7:K810,K810)</f>
        <v>12</v>
      </c>
      <c r="E810" s="91"/>
      <c r="F810" s="92">
        <v>44587</v>
      </c>
      <c r="G810" s="141" t="s">
        <v>149</v>
      </c>
      <c r="H810" s="93" t="s">
        <v>542</v>
      </c>
      <c r="I810" s="161" t="s">
        <v>543</v>
      </c>
      <c r="J810" s="115">
        <v>112</v>
      </c>
      <c r="K810" s="120">
        <v>112.3</v>
      </c>
      <c r="L810" s="97"/>
      <c r="M810" s="117">
        <v>2145000</v>
      </c>
      <c r="N810" s="117"/>
      <c r="O810" s="111"/>
      <c r="P810" s="100" t="str">
        <f t="shared" si="66"/>
        <v>Piutang Usaha</v>
      </c>
      <c r="Q810" s="91"/>
      <c r="S810" s="112"/>
      <c r="T810" s="112"/>
      <c r="U810" s="113"/>
      <c r="V810" s="113"/>
      <c r="X810" s="102"/>
    </row>
    <row r="811" spans="1:24" s="101" customFormat="1" hidden="1" x14ac:dyDescent="0.25">
      <c r="A811" s="60" t="str">
        <f t="shared" si="64"/>
        <v>1115</v>
      </c>
      <c r="B811" s="60">
        <f>COUNTIF($J$7:J811,J811)</f>
        <v>1</v>
      </c>
      <c r="C811" s="60" t="str">
        <f t="shared" si="65"/>
        <v>0</v>
      </c>
      <c r="D811" s="60">
        <f>COUNTIF($K$7:K811,K811)</f>
        <v>0</v>
      </c>
      <c r="E811" s="91"/>
      <c r="F811" s="92">
        <v>44587</v>
      </c>
      <c r="G811" s="116" t="s">
        <v>149</v>
      </c>
      <c r="H811" s="93" t="s">
        <v>544</v>
      </c>
      <c r="I811" s="94" t="s">
        <v>545</v>
      </c>
      <c r="J811" s="117">
        <v>115</v>
      </c>
      <c r="K811" s="178"/>
      <c r="L811" s="97">
        <v>50000000</v>
      </c>
      <c r="M811" s="117"/>
      <c r="N811" s="117"/>
      <c r="O811" s="111"/>
      <c r="P811" s="100" t="str">
        <f t="shared" si="66"/>
        <v>Piutang Pihak ke 3 - PT Proteksi</v>
      </c>
      <c r="Q811" s="91"/>
      <c r="S811" s="112"/>
      <c r="T811" s="112"/>
      <c r="U811" s="113"/>
      <c r="V811" s="113"/>
      <c r="X811" s="102"/>
    </row>
    <row r="812" spans="1:24" s="101" customFormat="1" hidden="1" x14ac:dyDescent="0.25">
      <c r="A812" s="60" t="str">
        <f t="shared" si="64"/>
        <v>52111,03</v>
      </c>
      <c r="B812" s="60">
        <f>COUNTIF($J$7:J812,J812)</f>
        <v>52</v>
      </c>
      <c r="C812" s="60" t="str">
        <f t="shared" si="65"/>
        <v>0</v>
      </c>
      <c r="D812" s="60">
        <f>COUNTIF($K$7:K812,K812)</f>
        <v>0</v>
      </c>
      <c r="E812" s="91"/>
      <c r="F812" s="92">
        <v>44587</v>
      </c>
      <c r="G812" s="116" t="s">
        <v>149</v>
      </c>
      <c r="H812" s="93" t="s">
        <v>544</v>
      </c>
      <c r="I812" s="94" t="s">
        <v>545</v>
      </c>
      <c r="J812" s="117">
        <v>111.03</v>
      </c>
      <c r="K812" s="178"/>
      <c r="L812" s="97"/>
      <c r="M812" s="117">
        <v>50000000</v>
      </c>
      <c r="N812" s="117"/>
      <c r="O812" s="111"/>
      <c r="P812" s="100" t="str">
        <f t="shared" si="66"/>
        <v>BCA 8607</v>
      </c>
      <c r="Q812" s="91"/>
      <c r="S812" s="112"/>
      <c r="T812" s="112"/>
      <c r="U812" s="113"/>
      <c r="V812" s="113"/>
      <c r="X812" s="102"/>
    </row>
    <row r="813" spans="1:24" s="101" customFormat="1" hidden="1" x14ac:dyDescent="0.25">
      <c r="A813" s="60" t="str">
        <f t="shared" si="64"/>
        <v>53111,03</v>
      </c>
      <c r="B813" s="60">
        <f>COUNTIF($J$7:J813,J813)</f>
        <v>53</v>
      </c>
      <c r="C813" s="60" t="str">
        <f t="shared" si="65"/>
        <v>0</v>
      </c>
      <c r="D813" s="60">
        <f>COUNTIF($K$7:K813,K813)</f>
        <v>0</v>
      </c>
      <c r="E813" s="91"/>
      <c r="F813" s="92">
        <v>44587</v>
      </c>
      <c r="G813" s="116" t="s">
        <v>149</v>
      </c>
      <c r="H813" s="93" t="s">
        <v>546</v>
      </c>
      <c r="I813" s="94" t="s">
        <v>547</v>
      </c>
      <c r="J813" s="117">
        <v>111.03</v>
      </c>
      <c r="K813" s="178"/>
      <c r="L813" s="97">
        <v>59000</v>
      </c>
      <c r="M813" s="117"/>
      <c r="N813" s="117"/>
      <c r="O813" s="111"/>
      <c r="P813" s="100" t="str">
        <f t="shared" si="66"/>
        <v>BCA 8607</v>
      </c>
      <c r="Q813" s="91"/>
      <c r="S813" s="112"/>
      <c r="T813" s="112"/>
      <c r="U813" s="113"/>
      <c r="V813" s="113"/>
      <c r="X813" s="102"/>
    </row>
    <row r="814" spans="1:24" s="101" customFormat="1" hidden="1" x14ac:dyDescent="0.25">
      <c r="A814" s="60" t="str">
        <f t="shared" si="64"/>
        <v>4511,04</v>
      </c>
      <c r="B814" s="60">
        <f>COUNTIF($J$7:J814,J814)</f>
        <v>4</v>
      </c>
      <c r="C814" s="60" t="str">
        <f t="shared" si="65"/>
        <v>0</v>
      </c>
      <c r="D814" s="60">
        <f>COUNTIF($K$7:K814,K814)</f>
        <v>0</v>
      </c>
      <c r="E814" s="91"/>
      <c r="F814" s="92">
        <v>44587</v>
      </c>
      <c r="G814" s="116" t="s">
        <v>149</v>
      </c>
      <c r="H814" s="93" t="s">
        <v>546</v>
      </c>
      <c r="I814" s="94" t="s">
        <v>547</v>
      </c>
      <c r="J814" s="115">
        <v>511.04</v>
      </c>
      <c r="K814" s="178"/>
      <c r="L814" s="97"/>
      <c r="M814" s="117">
        <v>59000</v>
      </c>
      <c r="N814" s="117"/>
      <c r="O814" s="111"/>
      <c r="P814" s="100" t="str">
        <f t="shared" si="66"/>
        <v>Biaya pengiriman Via Online (Gojek,Grab), Kuli</v>
      </c>
      <c r="Q814" s="91"/>
      <c r="S814" s="112"/>
      <c r="T814" s="112"/>
      <c r="U814" s="113"/>
      <c r="V814" s="113"/>
      <c r="X814" s="102"/>
    </row>
    <row r="815" spans="1:24" s="101" customFormat="1" hidden="1" x14ac:dyDescent="0.25">
      <c r="A815" s="60" t="str">
        <f t="shared" si="64"/>
        <v>54111,03</v>
      </c>
      <c r="B815" s="60">
        <f>COUNTIF($J$7:J815,J815)</f>
        <v>54</v>
      </c>
      <c r="C815" s="60" t="str">
        <f t="shared" si="65"/>
        <v>0</v>
      </c>
      <c r="D815" s="60">
        <f>COUNTIF($K$7:K815,K815)</f>
        <v>0</v>
      </c>
      <c r="E815" s="91"/>
      <c r="F815" s="92">
        <v>44587</v>
      </c>
      <c r="G815" s="116" t="s">
        <v>149</v>
      </c>
      <c r="H815" s="93" t="s">
        <v>548</v>
      </c>
      <c r="I815" s="161" t="s">
        <v>549</v>
      </c>
      <c r="J815" s="117">
        <v>111.03</v>
      </c>
      <c r="K815" s="178"/>
      <c r="L815" s="97">
        <v>5775000</v>
      </c>
      <c r="M815" s="117"/>
      <c r="N815" s="117"/>
      <c r="O815" s="111"/>
      <c r="P815" s="100" t="str">
        <f t="shared" si="66"/>
        <v>BCA 8607</v>
      </c>
      <c r="Q815" s="91"/>
      <c r="S815" s="112"/>
      <c r="T815" s="112"/>
      <c r="U815" s="113"/>
      <c r="V815" s="113"/>
      <c r="X815" s="102"/>
    </row>
    <row r="816" spans="1:24" s="101" customFormat="1" hidden="1" x14ac:dyDescent="0.25">
      <c r="A816" s="60" t="str">
        <f t="shared" si="64"/>
        <v>184112</v>
      </c>
      <c r="B816" s="60">
        <f>COUNTIF($J$7:J816,J816)</f>
        <v>184</v>
      </c>
      <c r="C816" s="60" t="str">
        <f t="shared" si="65"/>
        <v>21112,06</v>
      </c>
      <c r="D816" s="60">
        <f>COUNTIF($K$7:K816,K816)</f>
        <v>21</v>
      </c>
      <c r="E816" s="91"/>
      <c r="F816" s="92">
        <v>44587</v>
      </c>
      <c r="G816" s="141" t="s">
        <v>149</v>
      </c>
      <c r="H816" s="93" t="s">
        <v>548</v>
      </c>
      <c r="I816" s="161" t="s">
        <v>549</v>
      </c>
      <c r="J816" s="115">
        <v>112</v>
      </c>
      <c r="K816" s="96">
        <v>112.06</v>
      </c>
      <c r="L816" s="97"/>
      <c r="M816" s="117">
        <v>5775000</v>
      </c>
      <c r="N816" s="117"/>
      <c r="O816" s="111"/>
      <c r="P816" s="100" t="str">
        <f t="shared" si="66"/>
        <v>Piutang Usaha</v>
      </c>
      <c r="Q816" s="91"/>
      <c r="S816" s="112"/>
      <c r="T816" s="112"/>
      <c r="U816" s="113"/>
      <c r="V816" s="113"/>
      <c r="X816" s="102"/>
    </row>
    <row r="817" spans="1:24" s="101" customFormat="1" hidden="1" x14ac:dyDescent="0.25">
      <c r="A817" s="60" t="str">
        <f t="shared" si="64"/>
        <v>55111,03</v>
      </c>
      <c r="B817" s="60">
        <f>COUNTIF($J$7:J817,J817)</f>
        <v>55</v>
      </c>
      <c r="C817" s="60" t="str">
        <f t="shared" si="65"/>
        <v>0</v>
      </c>
      <c r="D817" s="60">
        <f>COUNTIF($K$7:K817,K817)</f>
        <v>0</v>
      </c>
      <c r="E817" s="91"/>
      <c r="F817" s="92">
        <v>44589</v>
      </c>
      <c r="G817" s="116" t="s">
        <v>149</v>
      </c>
      <c r="H817" s="93" t="s">
        <v>550</v>
      </c>
      <c r="I817" s="161" t="s">
        <v>551</v>
      </c>
      <c r="J817" s="117">
        <v>111.03</v>
      </c>
      <c r="K817" s="178"/>
      <c r="L817" s="97">
        <v>4158000</v>
      </c>
      <c r="M817" s="117"/>
      <c r="N817" s="117"/>
      <c r="O817" s="111"/>
      <c r="P817" s="100" t="str">
        <f t="shared" si="66"/>
        <v>BCA 8607</v>
      </c>
      <c r="Q817" s="91"/>
      <c r="S817" s="112"/>
      <c r="T817" s="112"/>
      <c r="U817" s="113"/>
      <c r="V817" s="113"/>
      <c r="X817" s="102"/>
    </row>
    <row r="818" spans="1:24" s="101" customFormat="1" hidden="1" x14ac:dyDescent="0.25">
      <c r="A818" s="60" t="str">
        <f t="shared" si="64"/>
        <v>185112</v>
      </c>
      <c r="B818" s="60">
        <f>COUNTIF($J$7:J818,J818)</f>
        <v>185</v>
      </c>
      <c r="C818" s="60" t="str">
        <f t="shared" si="65"/>
        <v>2112,15</v>
      </c>
      <c r="D818" s="60">
        <f>COUNTIF($K$7:K818,K818)</f>
        <v>2</v>
      </c>
      <c r="E818" s="91"/>
      <c r="F818" s="92">
        <v>44589</v>
      </c>
      <c r="G818" s="141" t="s">
        <v>149</v>
      </c>
      <c r="H818" s="93" t="s">
        <v>550</v>
      </c>
      <c r="I818" s="161" t="s">
        <v>551</v>
      </c>
      <c r="J818" s="115">
        <v>112</v>
      </c>
      <c r="K818" s="120">
        <v>112.15</v>
      </c>
      <c r="L818" s="97"/>
      <c r="M818" s="117">
        <v>4158000</v>
      </c>
      <c r="N818" s="117"/>
      <c r="O818" s="111"/>
      <c r="P818" s="100" t="str">
        <f t="shared" si="66"/>
        <v>Piutang Usaha</v>
      </c>
      <c r="Q818" s="91"/>
      <c r="S818" s="112"/>
      <c r="T818" s="112"/>
      <c r="U818" s="113"/>
      <c r="V818" s="113"/>
      <c r="X818" s="102"/>
    </row>
    <row r="819" spans="1:24" s="101" customFormat="1" hidden="1" x14ac:dyDescent="0.25">
      <c r="A819" s="60" t="str">
        <f t="shared" si="64"/>
        <v>56111,03</v>
      </c>
      <c r="B819" s="60">
        <f>COUNTIF($J$7:J819,J819)</f>
        <v>56</v>
      </c>
      <c r="C819" s="60" t="str">
        <f t="shared" si="65"/>
        <v>0</v>
      </c>
      <c r="D819" s="60">
        <f>COUNTIF($K$7:K819,K819)</f>
        <v>0</v>
      </c>
      <c r="E819" s="91"/>
      <c r="F819" s="92">
        <v>44589</v>
      </c>
      <c r="G819" s="116" t="s">
        <v>149</v>
      </c>
      <c r="H819" s="93" t="s">
        <v>552</v>
      </c>
      <c r="I819" s="161" t="s">
        <v>553</v>
      </c>
      <c r="J819" s="117">
        <v>111.03</v>
      </c>
      <c r="K819" s="178"/>
      <c r="L819" s="97">
        <v>150000000</v>
      </c>
      <c r="M819" s="117"/>
      <c r="N819" s="117"/>
      <c r="O819" s="111"/>
      <c r="P819" s="100" t="str">
        <f t="shared" si="66"/>
        <v>BCA 8607</v>
      </c>
      <c r="Q819" s="91"/>
      <c r="S819" s="112"/>
      <c r="T819" s="112"/>
      <c r="U819" s="113"/>
      <c r="V819" s="113"/>
      <c r="X819" s="102"/>
    </row>
    <row r="820" spans="1:24" s="101" customFormat="1" hidden="1" x14ac:dyDescent="0.25">
      <c r="A820" s="60" t="str">
        <f t="shared" si="64"/>
        <v>186112</v>
      </c>
      <c r="B820" s="60">
        <f>COUNTIF($J$7:J820,J820)</f>
        <v>186</v>
      </c>
      <c r="C820" s="60" t="str">
        <f t="shared" si="65"/>
        <v>22112,01</v>
      </c>
      <c r="D820" s="60">
        <f>COUNTIF($K$7:K820,K820)</f>
        <v>22</v>
      </c>
      <c r="E820" s="91"/>
      <c r="F820" s="92">
        <v>44589</v>
      </c>
      <c r="G820" s="141" t="s">
        <v>149</v>
      </c>
      <c r="H820" s="93" t="s">
        <v>552</v>
      </c>
      <c r="I820" s="161" t="s">
        <v>553</v>
      </c>
      <c r="J820" s="115">
        <v>112</v>
      </c>
      <c r="K820" s="178">
        <v>112.01</v>
      </c>
      <c r="L820" s="97"/>
      <c r="M820" s="117">
        <v>150000000</v>
      </c>
      <c r="N820" s="117"/>
      <c r="O820" s="111"/>
      <c r="P820" s="100" t="str">
        <f t="shared" si="66"/>
        <v>Piutang Usaha</v>
      </c>
      <c r="Q820" s="91"/>
      <c r="S820" s="112"/>
      <c r="T820" s="112"/>
      <c r="U820" s="113"/>
      <c r="V820" s="113"/>
      <c r="X820" s="102"/>
    </row>
    <row r="821" spans="1:24" s="101" customFormat="1" hidden="1" x14ac:dyDescent="0.25">
      <c r="A821" s="60" t="str">
        <f t="shared" si="64"/>
        <v>57111,03</v>
      </c>
      <c r="B821" s="60">
        <f>COUNTIF($J$7:J821,J821)</f>
        <v>57</v>
      </c>
      <c r="C821" s="60" t="str">
        <f t="shared" si="65"/>
        <v>0</v>
      </c>
      <c r="D821" s="60">
        <f>COUNTIF($K$7:K821,K821)</f>
        <v>0</v>
      </c>
      <c r="E821" s="91"/>
      <c r="F821" s="92">
        <v>44589</v>
      </c>
      <c r="G821" s="116" t="s">
        <v>149</v>
      </c>
      <c r="H821" s="93" t="s">
        <v>554</v>
      </c>
      <c r="I821" s="161" t="s">
        <v>555</v>
      </c>
      <c r="J821" s="117">
        <v>111.03</v>
      </c>
      <c r="K821" s="178"/>
      <c r="L821" s="97">
        <v>18040000</v>
      </c>
      <c r="M821" s="117"/>
      <c r="N821" s="117"/>
      <c r="O821" s="111"/>
      <c r="P821" s="100" t="str">
        <f t="shared" si="66"/>
        <v>BCA 8607</v>
      </c>
      <c r="Q821" s="91"/>
      <c r="S821" s="112"/>
      <c r="T821" s="112"/>
      <c r="U821" s="113"/>
      <c r="V821" s="113"/>
      <c r="X821" s="102"/>
    </row>
    <row r="822" spans="1:24" s="101" customFormat="1" hidden="1" x14ac:dyDescent="0.25">
      <c r="A822" s="60" t="str">
        <f t="shared" si="64"/>
        <v>187112</v>
      </c>
      <c r="B822" s="60">
        <f>COUNTIF($J$7:J822,J822)</f>
        <v>187</v>
      </c>
      <c r="C822" s="60" t="str">
        <f t="shared" si="65"/>
        <v>23112,01</v>
      </c>
      <c r="D822" s="60">
        <f>COUNTIF($K$7:K822,K822)</f>
        <v>23</v>
      </c>
      <c r="E822" s="91"/>
      <c r="F822" s="92">
        <v>44589</v>
      </c>
      <c r="G822" s="141" t="s">
        <v>149</v>
      </c>
      <c r="H822" s="93" t="s">
        <v>554</v>
      </c>
      <c r="I822" s="161" t="s">
        <v>555</v>
      </c>
      <c r="J822" s="115">
        <v>112</v>
      </c>
      <c r="K822" s="178">
        <v>112.01</v>
      </c>
      <c r="L822" s="97"/>
      <c r="M822" s="117">
        <v>18040000</v>
      </c>
      <c r="N822" s="117"/>
      <c r="O822" s="111"/>
      <c r="P822" s="100" t="str">
        <f t="shared" si="66"/>
        <v>Piutang Usaha</v>
      </c>
      <c r="Q822" s="91"/>
      <c r="S822" s="112"/>
      <c r="T822" s="112"/>
      <c r="U822" s="113"/>
      <c r="V822" s="113"/>
      <c r="X822" s="102"/>
    </row>
    <row r="823" spans="1:24" s="101" customFormat="1" hidden="1" x14ac:dyDescent="0.25">
      <c r="A823" s="60" t="str">
        <f t="shared" si="64"/>
        <v>58111,03</v>
      </c>
      <c r="B823" s="60">
        <f>COUNTIF($J$7:J823,J823)</f>
        <v>58</v>
      </c>
      <c r="C823" s="60" t="str">
        <f t="shared" si="65"/>
        <v>0</v>
      </c>
      <c r="D823" s="60">
        <f>COUNTIF($K$7:K823,K823)</f>
        <v>0</v>
      </c>
      <c r="E823" s="91"/>
      <c r="F823" s="92">
        <v>44589</v>
      </c>
      <c r="G823" s="116" t="s">
        <v>149</v>
      </c>
      <c r="H823" s="93" t="s">
        <v>556</v>
      </c>
      <c r="I823" s="161" t="s">
        <v>555</v>
      </c>
      <c r="J823" s="117">
        <v>111.03</v>
      </c>
      <c r="K823" s="178"/>
      <c r="L823" s="97">
        <v>45100000</v>
      </c>
      <c r="M823" s="117"/>
      <c r="N823" s="117"/>
      <c r="O823" s="111"/>
      <c r="P823" s="100" t="str">
        <f t="shared" si="66"/>
        <v>BCA 8607</v>
      </c>
      <c r="Q823" s="91"/>
      <c r="S823" s="112"/>
      <c r="T823" s="112"/>
      <c r="U823" s="113"/>
      <c r="V823" s="113"/>
      <c r="X823" s="102"/>
    </row>
    <row r="824" spans="1:24" s="101" customFormat="1" hidden="1" x14ac:dyDescent="0.25">
      <c r="A824" s="60" t="str">
        <f t="shared" si="64"/>
        <v>188112</v>
      </c>
      <c r="B824" s="60">
        <f>COUNTIF($J$7:J824,J824)</f>
        <v>188</v>
      </c>
      <c r="C824" s="60" t="str">
        <f t="shared" si="65"/>
        <v>24112,01</v>
      </c>
      <c r="D824" s="60">
        <f>COUNTIF($K$7:K824,K824)</f>
        <v>24</v>
      </c>
      <c r="E824" s="91"/>
      <c r="F824" s="92">
        <v>44589</v>
      </c>
      <c r="G824" s="141" t="s">
        <v>149</v>
      </c>
      <c r="H824" s="93" t="s">
        <v>556</v>
      </c>
      <c r="I824" s="161" t="s">
        <v>555</v>
      </c>
      <c r="J824" s="115">
        <v>112</v>
      </c>
      <c r="K824" s="178">
        <v>112.01</v>
      </c>
      <c r="L824" s="97"/>
      <c r="M824" s="117">
        <v>45100000</v>
      </c>
      <c r="N824" s="117"/>
      <c r="O824" s="111"/>
      <c r="P824" s="100" t="str">
        <f t="shared" si="66"/>
        <v>Piutang Usaha</v>
      </c>
      <c r="Q824" s="91"/>
      <c r="S824" s="112"/>
      <c r="T824" s="112"/>
      <c r="U824" s="113"/>
      <c r="V824" s="113"/>
      <c r="X824" s="102"/>
    </row>
    <row r="825" spans="1:24" s="101" customFormat="1" hidden="1" x14ac:dyDescent="0.25">
      <c r="A825" s="60" t="str">
        <f t="shared" si="64"/>
        <v>59111,03</v>
      </c>
      <c r="B825" s="60">
        <f>COUNTIF($J$7:J825,J825)</f>
        <v>59</v>
      </c>
      <c r="C825" s="60" t="str">
        <f t="shared" si="65"/>
        <v>0</v>
      </c>
      <c r="D825" s="60">
        <f>COUNTIF($K$7:K825,K825)</f>
        <v>0</v>
      </c>
      <c r="E825" s="91"/>
      <c r="F825" s="92">
        <v>44589</v>
      </c>
      <c r="G825" s="116" t="s">
        <v>149</v>
      </c>
      <c r="H825" s="93" t="s">
        <v>557</v>
      </c>
      <c r="I825" s="161" t="s">
        <v>558</v>
      </c>
      <c r="J825" s="117">
        <v>111.03</v>
      </c>
      <c r="K825" s="178"/>
      <c r="L825" s="97">
        <v>1482100</v>
      </c>
      <c r="M825" s="117"/>
      <c r="N825" s="117"/>
      <c r="O825" s="111"/>
      <c r="P825" s="100" t="str">
        <f t="shared" si="66"/>
        <v>BCA 8607</v>
      </c>
      <c r="Q825" s="91"/>
      <c r="S825" s="112"/>
      <c r="T825" s="112"/>
      <c r="U825" s="113"/>
      <c r="V825" s="113"/>
      <c r="X825" s="102"/>
    </row>
    <row r="826" spans="1:24" s="101" customFormat="1" hidden="1" x14ac:dyDescent="0.25">
      <c r="A826" s="60" t="str">
        <f t="shared" si="64"/>
        <v>189112</v>
      </c>
      <c r="B826" s="60">
        <f>COUNTIF($J$7:J826,J826)</f>
        <v>189</v>
      </c>
      <c r="C826" s="60" t="str">
        <f t="shared" si="65"/>
        <v>1112,69</v>
      </c>
      <c r="D826" s="60">
        <f>COUNTIF($K$7:K826,K826)</f>
        <v>1</v>
      </c>
      <c r="E826" s="91"/>
      <c r="F826" s="92">
        <v>44589</v>
      </c>
      <c r="G826" s="141" t="s">
        <v>149</v>
      </c>
      <c r="H826" s="93" t="s">
        <v>557</v>
      </c>
      <c r="I826" s="161" t="s">
        <v>558</v>
      </c>
      <c r="J826" s="115">
        <v>112</v>
      </c>
      <c r="K826" s="120">
        <v>112.69</v>
      </c>
      <c r="L826" s="97"/>
      <c r="M826" s="117">
        <v>1482100</v>
      </c>
      <c r="N826" s="117"/>
      <c r="O826" s="111"/>
      <c r="P826" s="100" t="str">
        <f t="shared" si="66"/>
        <v>Piutang Usaha</v>
      </c>
      <c r="Q826" s="91"/>
      <c r="S826" s="112"/>
      <c r="T826" s="112"/>
      <c r="U826" s="113"/>
      <c r="V826" s="113"/>
      <c r="X826" s="102"/>
    </row>
    <row r="827" spans="1:24" s="101" customFormat="1" hidden="1" x14ac:dyDescent="0.25">
      <c r="A827" s="60" t="str">
        <f t="shared" si="64"/>
        <v>60111,03</v>
      </c>
      <c r="B827" s="60">
        <f>COUNTIF($J$7:J827,J827)</f>
        <v>60</v>
      </c>
      <c r="C827" s="60" t="str">
        <f t="shared" si="65"/>
        <v>0</v>
      </c>
      <c r="D827" s="60">
        <f>COUNTIF($K$7:K827,K827)</f>
        <v>0</v>
      </c>
      <c r="E827" s="91"/>
      <c r="F827" s="92">
        <v>44589</v>
      </c>
      <c r="G827" s="116" t="s">
        <v>149</v>
      </c>
      <c r="H827" s="93" t="s">
        <v>559</v>
      </c>
      <c r="I827" s="161" t="s">
        <v>461</v>
      </c>
      <c r="J827" s="117">
        <v>111.03</v>
      </c>
      <c r="K827" s="178"/>
      <c r="L827" s="97">
        <v>10000000</v>
      </c>
      <c r="M827" s="117"/>
      <c r="N827" s="117"/>
      <c r="O827" s="111"/>
      <c r="P827" s="100" t="str">
        <f t="shared" si="66"/>
        <v>BCA 8607</v>
      </c>
      <c r="Q827" s="91"/>
      <c r="S827" s="112"/>
      <c r="T827" s="112"/>
      <c r="U827" s="113"/>
      <c r="V827" s="113"/>
      <c r="X827" s="102"/>
    </row>
    <row r="828" spans="1:24" s="101" customFormat="1" hidden="1" x14ac:dyDescent="0.25">
      <c r="A828" s="60" t="str">
        <f t="shared" si="64"/>
        <v>190112</v>
      </c>
      <c r="B828" s="60">
        <f>COUNTIF($J$7:J828,J828)</f>
        <v>190</v>
      </c>
      <c r="C828" s="60" t="str">
        <f t="shared" si="65"/>
        <v>25112,02</v>
      </c>
      <c r="D828" s="60">
        <f>COUNTIF($K$7:K828,K828)</f>
        <v>25</v>
      </c>
      <c r="E828" s="91"/>
      <c r="F828" s="92">
        <v>44589</v>
      </c>
      <c r="G828" s="141" t="s">
        <v>149</v>
      </c>
      <c r="H828" s="93" t="s">
        <v>559</v>
      </c>
      <c r="I828" s="161" t="s">
        <v>461</v>
      </c>
      <c r="J828" s="115">
        <v>112</v>
      </c>
      <c r="K828" s="178">
        <v>112.02</v>
      </c>
      <c r="L828" s="97"/>
      <c r="M828" s="117">
        <v>10000000</v>
      </c>
      <c r="N828" s="117"/>
      <c r="O828" s="111"/>
      <c r="P828" s="100" t="str">
        <f t="shared" si="66"/>
        <v>Piutang Usaha</v>
      </c>
      <c r="Q828" s="91"/>
      <c r="S828" s="112"/>
      <c r="T828" s="112"/>
      <c r="U828" s="113"/>
      <c r="V828" s="113"/>
      <c r="X828" s="102"/>
    </row>
    <row r="829" spans="1:24" s="101" customFormat="1" hidden="1" x14ac:dyDescent="0.25">
      <c r="A829" s="60" t="str">
        <f t="shared" si="64"/>
        <v>61111,03</v>
      </c>
      <c r="B829" s="60">
        <f>COUNTIF($J$7:J829,J829)</f>
        <v>61</v>
      </c>
      <c r="C829" s="60" t="str">
        <f t="shared" si="65"/>
        <v>0</v>
      </c>
      <c r="D829" s="60">
        <f>COUNTIF($K$7:K829,K829)</f>
        <v>0</v>
      </c>
      <c r="E829" s="91"/>
      <c r="F829" s="92">
        <v>44592</v>
      </c>
      <c r="G829" s="116" t="s">
        <v>149</v>
      </c>
      <c r="H829" s="93" t="s">
        <v>560</v>
      </c>
      <c r="I829" s="161" t="s">
        <v>444</v>
      </c>
      <c r="J829" s="117">
        <v>111.03</v>
      </c>
      <c r="K829" s="178"/>
      <c r="L829" s="97">
        <v>19000000</v>
      </c>
      <c r="M829" s="117"/>
      <c r="N829" s="117"/>
      <c r="O829" s="111"/>
      <c r="P829" s="100" t="str">
        <f t="shared" si="66"/>
        <v>BCA 8607</v>
      </c>
      <c r="Q829" s="91"/>
      <c r="S829" s="112"/>
      <c r="T829" s="112"/>
      <c r="U829" s="113"/>
      <c r="V829" s="113"/>
      <c r="X829" s="102"/>
    </row>
    <row r="830" spans="1:24" s="101" customFormat="1" hidden="1" x14ac:dyDescent="0.25">
      <c r="A830" s="60" t="str">
        <f t="shared" si="64"/>
        <v>191112</v>
      </c>
      <c r="B830" s="60">
        <f>COUNTIF($J$7:J830,J830)</f>
        <v>191</v>
      </c>
      <c r="C830" s="60" t="str">
        <f t="shared" si="65"/>
        <v>3112,55</v>
      </c>
      <c r="D830" s="60">
        <f>COUNTIF($K$7:K830,K830)</f>
        <v>3</v>
      </c>
      <c r="E830" s="91"/>
      <c r="F830" s="92">
        <v>44592</v>
      </c>
      <c r="G830" s="141" t="s">
        <v>149</v>
      </c>
      <c r="H830" s="93" t="s">
        <v>560</v>
      </c>
      <c r="I830" s="161" t="s">
        <v>444</v>
      </c>
      <c r="J830" s="115">
        <v>112</v>
      </c>
      <c r="K830" s="120">
        <v>112.55</v>
      </c>
      <c r="L830" s="97"/>
      <c r="M830" s="117">
        <v>19000000</v>
      </c>
      <c r="N830" s="117"/>
      <c r="O830" s="111"/>
      <c r="P830" s="100" t="str">
        <f t="shared" si="66"/>
        <v>Piutang Usaha</v>
      </c>
      <c r="Q830" s="91"/>
      <c r="S830" s="112"/>
      <c r="T830" s="112"/>
      <c r="U830" s="113"/>
      <c r="V830" s="113"/>
      <c r="X830" s="102"/>
    </row>
    <row r="831" spans="1:24" s="101" customFormat="1" hidden="1" x14ac:dyDescent="0.25">
      <c r="A831" s="60" t="str">
        <f t="shared" si="64"/>
        <v>62111,03</v>
      </c>
      <c r="B831" s="60">
        <f>COUNTIF($J$7:J831,J831)</f>
        <v>62</v>
      </c>
      <c r="C831" s="60" t="str">
        <f t="shared" si="65"/>
        <v>0</v>
      </c>
      <c r="D831" s="60">
        <f>COUNTIF($K$7:K831,K831)</f>
        <v>0</v>
      </c>
      <c r="E831" s="91"/>
      <c r="F831" s="92">
        <v>44592</v>
      </c>
      <c r="G831" s="116" t="s">
        <v>149</v>
      </c>
      <c r="H831" s="93" t="s">
        <v>561</v>
      </c>
      <c r="I831" s="161" t="s">
        <v>504</v>
      </c>
      <c r="J831" s="117">
        <v>111.03</v>
      </c>
      <c r="K831" s="178"/>
      <c r="L831" s="97">
        <v>9600000</v>
      </c>
      <c r="M831" s="117"/>
      <c r="N831" s="117"/>
      <c r="O831" s="111"/>
      <c r="P831" s="100" t="str">
        <f t="shared" si="66"/>
        <v>BCA 8607</v>
      </c>
      <c r="Q831" s="91"/>
      <c r="S831" s="112"/>
      <c r="T831" s="112"/>
      <c r="U831" s="113"/>
      <c r="V831" s="113"/>
      <c r="X831" s="102"/>
    </row>
    <row r="832" spans="1:24" s="101" customFormat="1" hidden="1" x14ac:dyDescent="0.25">
      <c r="A832" s="60" t="str">
        <f t="shared" si="64"/>
        <v>192112</v>
      </c>
      <c r="B832" s="60">
        <f>COUNTIF($J$7:J832,J832)</f>
        <v>192</v>
      </c>
      <c r="C832" s="60" t="str">
        <f t="shared" si="65"/>
        <v>8112,35</v>
      </c>
      <c r="D832" s="60">
        <f>COUNTIF($K$7:K832,K832)</f>
        <v>8</v>
      </c>
      <c r="E832" s="91"/>
      <c r="F832" s="92">
        <v>44592</v>
      </c>
      <c r="G832" s="141" t="s">
        <v>149</v>
      </c>
      <c r="H832" s="93" t="s">
        <v>561</v>
      </c>
      <c r="I832" s="161" t="s">
        <v>504</v>
      </c>
      <c r="J832" s="115">
        <v>112</v>
      </c>
      <c r="K832" s="120">
        <v>112.35</v>
      </c>
      <c r="L832" s="97"/>
      <c r="M832" s="117">
        <v>9600000</v>
      </c>
      <c r="N832" s="117"/>
      <c r="O832" s="111"/>
      <c r="P832" s="100" t="str">
        <f t="shared" si="66"/>
        <v>Piutang Usaha</v>
      </c>
      <c r="Q832" s="91"/>
      <c r="S832" s="112"/>
      <c r="T832" s="112"/>
      <c r="U832" s="113"/>
      <c r="V832" s="113"/>
      <c r="X832" s="102"/>
    </row>
    <row r="833" spans="1:24" s="101" customFormat="1" hidden="1" x14ac:dyDescent="0.25">
      <c r="A833" s="60" t="str">
        <f t="shared" si="64"/>
        <v>63111,03</v>
      </c>
      <c r="B833" s="60">
        <f>COUNTIF($J$7:J833,J833)</f>
        <v>63</v>
      </c>
      <c r="C833" s="60" t="str">
        <f t="shared" si="65"/>
        <v>0</v>
      </c>
      <c r="D833" s="60">
        <f>COUNTIF($K$7:K833,K833)</f>
        <v>0</v>
      </c>
      <c r="E833" s="91"/>
      <c r="F833" s="92">
        <v>44592</v>
      </c>
      <c r="G833" s="116" t="s">
        <v>149</v>
      </c>
      <c r="H833" s="93" t="s">
        <v>562</v>
      </c>
      <c r="I833" s="161" t="s">
        <v>563</v>
      </c>
      <c r="J833" s="117">
        <v>111.03</v>
      </c>
      <c r="K833" s="178"/>
      <c r="L833" s="97">
        <v>19206000</v>
      </c>
      <c r="M833" s="117"/>
      <c r="N833" s="117"/>
      <c r="O833" s="111"/>
      <c r="P833" s="100" t="str">
        <f t="shared" si="66"/>
        <v>BCA 8607</v>
      </c>
      <c r="Q833" s="91"/>
      <c r="S833" s="112"/>
      <c r="T833" s="112"/>
      <c r="U833" s="113"/>
      <c r="V833" s="113"/>
      <c r="X833" s="102"/>
    </row>
    <row r="834" spans="1:24" s="101" customFormat="1" hidden="1" x14ac:dyDescent="0.25">
      <c r="A834" s="60" t="str">
        <f t="shared" si="64"/>
        <v>193112</v>
      </c>
      <c r="B834" s="60">
        <f>COUNTIF($J$7:J834,J834)</f>
        <v>193</v>
      </c>
      <c r="C834" s="60" t="str">
        <f t="shared" si="65"/>
        <v>22112,06</v>
      </c>
      <c r="D834" s="60">
        <f>COUNTIF($K$7:K834,K834)</f>
        <v>22</v>
      </c>
      <c r="E834" s="91"/>
      <c r="F834" s="92">
        <v>44592</v>
      </c>
      <c r="G834" s="141" t="s">
        <v>149</v>
      </c>
      <c r="H834" s="93" t="s">
        <v>562</v>
      </c>
      <c r="I834" s="161" t="s">
        <v>563</v>
      </c>
      <c r="J834" s="115">
        <v>112</v>
      </c>
      <c r="K834" s="182">
        <v>112.06</v>
      </c>
      <c r="L834" s="97"/>
      <c r="M834" s="117">
        <v>19206000</v>
      </c>
      <c r="N834" s="117"/>
      <c r="O834" s="111"/>
      <c r="P834" s="100" t="str">
        <f t="shared" si="66"/>
        <v>Piutang Usaha</v>
      </c>
      <c r="Q834" s="91"/>
      <c r="S834" s="112"/>
      <c r="T834" s="112"/>
      <c r="U834" s="113"/>
      <c r="V834" s="113"/>
      <c r="X834" s="102"/>
    </row>
    <row r="835" spans="1:24" s="101" customFormat="1" hidden="1" x14ac:dyDescent="0.25">
      <c r="A835" s="60" t="str">
        <f t="shared" si="64"/>
        <v>32810,01</v>
      </c>
      <c r="B835" s="60">
        <f>COUNTIF($J$7:J835,J835)</f>
        <v>32</v>
      </c>
      <c r="C835" s="60" t="str">
        <f t="shared" si="65"/>
        <v>0</v>
      </c>
      <c r="D835" s="60">
        <f>COUNTIF($K$7:K835,K835)</f>
        <v>0</v>
      </c>
      <c r="E835" s="91"/>
      <c r="F835" s="92">
        <v>44592</v>
      </c>
      <c r="G835" s="116" t="s">
        <v>149</v>
      </c>
      <c r="H835" s="93" t="s">
        <v>564</v>
      </c>
      <c r="I835" s="161" t="s">
        <v>438</v>
      </c>
      <c r="J835" s="115">
        <v>810.01</v>
      </c>
      <c r="K835" s="178"/>
      <c r="L835" s="97">
        <v>30000</v>
      </c>
      <c r="M835" s="117"/>
      <c r="N835" s="117"/>
      <c r="O835" s="111"/>
      <c r="P835" s="100" t="str">
        <f t="shared" si="66"/>
        <v>Biaya Admin Transfer dan Rek</v>
      </c>
      <c r="Q835" s="91"/>
      <c r="S835" s="112"/>
      <c r="T835" s="112"/>
      <c r="U835" s="113"/>
      <c r="V835" s="113"/>
      <c r="X835" s="102"/>
    </row>
    <row r="836" spans="1:24" s="101" customFormat="1" hidden="1" x14ac:dyDescent="0.25">
      <c r="A836" s="60" t="str">
        <f t="shared" si="64"/>
        <v>64111,03</v>
      </c>
      <c r="B836" s="60">
        <f>COUNTIF($J$7:J836,J836)</f>
        <v>64</v>
      </c>
      <c r="C836" s="60" t="str">
        <f t="shared" si="65"/>
        <v>0</v>
      </c>
      <c r="D836" s="60">
        <f>COUNTIF($K$7:K836,K836)</f>
        <v>0</v>
      </c>
      <c r="E836" s="91"/>
      <c r="F836" s="92">
        <v>44592</v>
      </c>
      <c r="G836" s="116" t="s">
        <v>149</v>
      </c>
      <c r="H836" s="93" t="s">
        <v>564</v>
      </c>
      <c r="I836" s="161" t="s">
        <v>438</v>
      </c>
      <c r="J836" s="117">
        <v>111.03</v>
      </c>
      <c r="K836" s="178"/>
      <c r="L836" s="97"/>
      <c r="M836" s="117">
        <v>30000</v>
      </c>
      <c r="N836" s="117"/>
      <c r="O836" s="111"/>
      <c r="P836" s="100" t="str">
        <f t="shared" si="66"/>
        <v>BCA 8607</v>
      </c>
      <c r="Q836" s="91"/>
      <c r="S836" s="112"/>
      <c r="T836" s="112"/>
      <c r="U836" s="113"/>
      <c r="V836" s="113"/>
      <c r="X836" s="102"/>
    </row>
    <row r="837" spans="1:24" s="101" customFormat="1" hidden="1" x14ac:dyDescent="0.25">
      <c r="A837" s="60" t="str">
        <f t="shared" si="64"/>
        <v>33810,01</v>
      </c>
      <c r="B837" s="60">
        <f>COUNTIF($J$7:J837,J837)</f>
        <v>33</v>
      </c>
      <c r="C837" s="60" t="str">
        <f t="shared" si="65"/>
        <v>0</v>
      </c>
      <c r="D837" s="60">
        <f>COUNTIF($K$7:K837,K837)</f>
        <v>0</v>
      </c>
      <c r="E837" s="91"/>
      <c r="F837" s="92">
        <v>44592</v>
      </c>
      <c r="G837" s="116" t="s">
        <v>149</v>
      </c>
      <c r="H837" s="93" t="s">
        <v>565</v>
      </c>
      <c r="I837" s="94" t="s">
        <v>566</v>
      </c>
      <c r="J837" s="115">
        <v>810.01</v>
      </c>
      <c r="K837" s="178"/>
      <c r="L837" s="97">
        <v>30000</v>
      </c>
      <c r="M837" s="165"/>
      <c r="N837" s="165"/>
      <c r="O837" s="111"/>
      <c r="P837" s="100" t="str">
        <f t="shared" si="66"/>
        <v>Biaya Admin Transfer dan Rek</v>
      </c>
      <c r="Q837" s="91"/>
      <c r="S837" s="112"/>
      <c r="T837" s="112"/>
      <c r="U837" s="113"/>
      <c r="V837" s="113"/>
      <c r="X837" s="102"/>
    </row>
    <row r="838" spans="1:24" s="101" customFormat="1" hidden="1" x14ac:dyDescent="0.25">
      <c r="A838" s="60" t="str">
        <f t="shared" si="64"/>
        <v>1111,04</v>
      </c>
      <c r="B838" s="60">
        <f>COUNTIF($J$7:J838,J838)</f>
        <v>1</v>
      </c>
      <c r="C838" s="60" t="str">
        <f t="shared" si="65"/>
        <v>0</v>
      </c>
      <c r="D838" s="60">
        <f>COUNTIF($K$7:K838,K838)</f>
        <v>0</v>
      </c>
      <c r="E838" s="91"/>
      <c r="F838" s="92">
        <v>44592</v>
      </c>
      <c r="G838" s="116" t="s">
        <v>149</v>
      </c>
      <c r="H838" s="93" t="s">
        <v>565</v>
      </c>
      <c r="I838" s="94" t="s">
        <v>566</v>
      </c>
      <c r="J838" s="117">
        <v>111.04</v>
      </c>
      <c r="K838" s="178"/>
      <c r="L838" s="97"/>
      <c r="M838" s="97">
        <v>30000</v>
      </c>
      <c r="N838" s="97"/>
      <c r="O838" s="91"/>
      <c r="P838" s="100" t="str">
        <f t="shared" si="66"/>
        <v>BCA 8615</v>
      </c>
      <c r="Q838" s="91"/>
      <c r="S838" s="112"/>
      <c r="T838" s="112"/>
      <c r="U838" s="113"/>
      <c r="V838" s="113"/>
      <c r="X838" s="102"/>
    </row>
    <row r="839" spans="1:24" s="101" customFormat="1" hidden="1" x14ac:dyDescent="0.25">
      <c r="A839" s="60" t="str">
        <f t="shared" ref="A839:A902" si="67">B839&amp;J839</f>
        <v>34810,01</v>
      </c>
      <c r="B839" s="60">
        <f>COUNTIF($J$7:J839,J839)</f>
        <v>34</v>
      </c>
      <c r="C839" s="60" t="str">
        <f t="shared" ref="C839:C902" si="68">D839&amp;K839</f>
        <v>0</v>
      </c>
      <c r="D839" s="60">
        <f>COUNTIF($K$7:K839,K839)</f>
        <v>0</v>
      </c>
      <c r="E839" s="91"/>
      <c r="F839" s="92">
        <v>44592</v>
      </c>
      <c r="G839" s="116" t="s">
        <v>149</v>
      </c>
      <c r="H839" s="93" t="s">
        <v>567</v>
      </c>
      <c r="I839" s="94" t="s">
        <v>568</v>
      </c>
      <c r="J839" s="115">
        <v>810.01</v>
      </c>
      <c r="K839" s="178"/>
      <c r="L839" s="132">
        <f>5*O839</f>
        <v>71905.025000000009</v>
      </c>
      <c r="M839" s="97"/>
      <c r="N839" s="97"/>
      <c r="O839" s="165">
        <f>[1]NOTES!F2</f>
        <v>14381.005000000001</v>
      </c>
      <c r="P839" s="100" t="str">
        <f t="shared" ref="P839:P902" si="69">IF(J839=0,"-",+VLOOKUP(J839,DAF_AKUN,2,FALSE))</f>
        <v>Biaya Admin Transfer dan Rek</v>
      </c>
      <c r="Q839" s="91"/>
      <c r="S839" s="112"/>
      <c r="T839" s="112"/>
      <c r="U839" s="113"/>
      <c r="V839" s="113"/>
      <c r="X839" s="102"/>
    </row>
    <row r="840" spans="1:24" s="101" customFormat="1" hidden="1" x14ac:dyDescent="0.25">
      <c r="A840" s="60" t="str">
        <f t="shared" si="67"/>
        <v>1111,05</v>
      </c>
      <c r="B840" s="60">
        <f>COUNTIF($J$7:J840,J840)</f>
        <v>1</v>
      </c>
      <c r="C840" s="60" t="str">
        <f t="shared" si="68"/>
        <v>0</v>
      </c>
      <c r="D840" s="60">
        <f>COUNTIF($K$7:K840,K840)</f>
        <v>0</v>
      </c>
      <c r="E840" s="91"/>
      <c r="F840" s="92">
        <v>44592</v>
      </c>
      <c r="G840" s="116" t="s">
        <v>149</v>
      </c>
      <c r="H840" s="93" t="s">
        <v>567</v>
      </c>
      <c r="I840" s="94" t="s">
        <v>568</v>
      </c>
      <c r="J840" s="117">
        <v>111.05</v>
      </c>
      <c r="K840" s="178"/>
      <c r="L840" s="97"/>
      <c r="M840" s="97">
        <f>L839</f>
        <v>71905.025000000009</v>
      </c>
      <c r="N840" s="97"/>
      <c r="O840" s="91"/>
      <c r="P840" s="100" t="str">
        <f t="shared" si="69"/>
        <v>BCA USD 8623</v>
      </c>
      <c r="Q840" s="91"/>
      <c r="S840" s="112"/>
      <c r="T840" s="112"/>
      <c r="U840" s="113"/>
      <c r="V840" s="113"/>
      <c r="X840" s="102"/>
    </row>
    <row r="841" spans="1:24" s="101" customFormat="1" hidden="1" x14ac:dyDescent="0.25">
      <c r="A841" s="60" t="str">
        <f t="shared" si="67"/>
        <v>1610,14</v>
      </c>
      <c r="B841" s="60">
        <f>COUNTIF($J$7:J841,J841)</f>
        <v>1</v>
      </c>
      <c r="C841" s="60" t="str">
        <f t="shared" si="68"/>
        <v>0</v>
      </c>
      <c r="D841" s="60">
        <f>COUNTIF($K$7:K841,K841)</f>
        <v>0</v>
      </c>
      <c r="E841" s="91"/>
      <c r="F841" s="92">
        <v>44572</v>
      </c>
      <c r="G841" s="116" t="s">
        <v>149</v>
      </c>
      <c r="H841" s="93" t="s">
        <v>150</v>
      </c>
      <c r="I841" s="94" t="s">
        <v>295</v>
      </c>
      <c r="J841" s="123">
        <v>610.14</v>
      </c>
      <c r="K841" s="178"/>
      <c r="L841" s="183">
        <v>1091067</v>
      </c>
      <c r="M841" s="117"/>
      <c r="N841" s="117"/>
      <c r="O841" s="91"/>
      <c r="P841" s="100" t="str">
        <f t="shared" si="69"/>
        <v>Biaya Pemeliharaan Kendaraan</v>
      </c>
      <c r="Q841" s="91"/>
      <c r="S841" s="112"/>
      <c r="T841" s="112"/>
      <c r="U841" s="113"/>
      <c r="V841" s="113"/>
      <c r="X841" s="102"/>
    </row>
    <row r="842" spans="1:24" s="101" customFormat="1" hidden="1" x14ac:dyDescent="0.25">
      <c r="A842" s="60" t="str">
        <f t="shared" si="67"/>
        <v>6117,01</v>
      </c>
      <c r="B842" s="60">
        <f>COUNTIF($J$7:J842,J842)</f>
        <v>6</v>
      </c>
      <c r="C842" s="60" t="str">
        <f t="shared" si="68"/>
        <v>0</v>
      </c>
      <c r="D842" s="60">
        <f>COUNTIF($K$7:K842,K842)</f>
        <v>0</v>
      </c>
      <c r="E842" s="91"/>
      <c r="F842" s="92">
        <v>44572</v>
      </c>
      <c r="G842" s="116" t="s">
        <v>149</v>
      </c>
      <c r="H842" s="93" t="s">
        <v>150</v>
      </c>
      <c r="I842" s="94" t="s">
        <v>569</v>
      </c>
      <c r="J842" s="117">
        <v>117.01</v>
      </c>
      <c r="K842" s="178"/>
      <c r="L842" s="183">
        <v>109107</v>
      </c>
      <c r="M842" s="117"/>
      <c r="N842" s="117"/>
      <c r="O842" s="91" t="s">
        <v>181</v>
      </c>
      <c r="P842" s="100" t="str">
        <f t="shared" si="69"/>
        <v>Pajak Dibayar Di Muka - PPN Masukan</v>
      </c>
      <c r="Q842" s="91"/>
      <c r="S842" s="112"/>
      <c r="T842" s="112"/>
      <c r="U842" s="113"/>
      <c r="V842" s="113"/>
      <c r="X842" s="102"/>
    </row>
    <row r="843" spans="1:24" s="101" customFormat="1" hidden="1" x14ac:dyDescent="0.25">
      <c r="A843" s="60" t="str">
        <f t="shared" si="67"/>
        <v>27220,03</v>
      </c>
      <c r="B843" s="60">
        <f>COUNTIF($J$7:J843,J843)</f>
        <v>27</v>
      </c>
      <c r="C843" s="60" t="str">
        <f t="shared" si="68"/>
        <v>0</v>
      </c>
      <c r="D843" s="60">
        <f>COUNTIF($K$7:K843,K843)</f>
        <v>0</v>
      </c>
      <c r="E843" s="91"/>
      <c r="F843" s="92">
        <v>44572</v>
      </c>
      <c r="G843" s="116" t="s">
        <v>149</v>
      </c>
      <c r="H843" s="93" t="s">
        <v>150</v>
      </c>
      <c r="I843" s="94" t="s">
        <v>295</v>
      </c>
      <c r="J843" s="117">
        <v>220.03</v>
      </c>
      <c r="K843" s="178"/>
      <c r="L843" s="97"/>
      <c r="M843" s="117">
        <f>L841+L842</f>
        <v>1200174</v>
      </c>
      <c r="N843" s="117"/>
      <c r="O843" s="91"/>
      <c r="P843" s="100" t="str">
        <f t="shared" si="69"/>
        <v>Hutang BIaya</v>
      </c>
      <c r="Q843" s="91"/>
      <c r="S843" s="112"/>
      <c r="T843" s="112"/>
      <c r="U843" s="113"/>
      <c r="V843" s="113"/>
      <c r="X843" s="102"/>
    </row>
    <row r="844" spans="1:24" s="101" customFormat="1" ht="30" hidden="1" x14ac:dyDescent="0.25">
      <c r="A844" s="60" t="str">
        <f t="shared" si="67"/>
        <v>1610,13</v>
      </c>
      <c r="B844" s="60">
        <f>COUNTIF($J$7:J844,J844)</f>
        <v>1</v>
      </c>
      <c r="C844" s="60" t="str">
        <f t="shared" si="68"/>
        <v>0</v>
      </c>
      <c r="D844" s="60">
        <f>COUNTIF($K$7:K844,K844)</f>
        <v>0</v>
      </c>
      <c r="E844" s="91"/>
      <c r="F844" s="184">
        <v>44582</v>
      </c>
      <c r="G844" s="116" t="s">
        <v>149</v>
      </c>
      <c r="H844" s="93" t="s">
        <v>150</v>
      </c>
      <c r="I844" s="185" t="s">
        <v>570</v>
      </c>
      <c r="J844" s="91">
        <v>610.13</v>
      </c>
      <c r="K844" s="178"/>
      <c r="L844" s="186">
        <v>727500</v>
      </c>
      <c r="M844" s="187"/>
      <c r="N844" s="187"/>
      <c r="O844" s="188">
        <f>6%*50%*L844</f>
        <v>21825</v>
      </c>
      <c r="P844" s="100" t="str">
        <f t="shared" si="69"/>
        <v>Biaya Pemeliharaan Peralatan dan Inventaris Kantor</v>
      </c>
      <c r="Q844" s="91"/>
      <c r="S844" s="112"/>
      <c r="T844" s="112"/>
      <c r="U844" s="113"/>
      <c r="V844" s="113"/>
      <c r="X844" s="102"/>
    </row>
    <row r="845" spans="1:24" s="101" customFormat="1" hidden="1" x14ac:dyDescent="0.25">
      <c r="A845" s="60" t="str">
        <f t="shared" si="67"/>
        <v>11211,02</v>
      </c>
      <c r="B845" s="60">
        <f>COUNTIF($J$7:J845,J845)</f>
        <v>11</v>
      </c>
      <c r="C845" s="60" t="str">
        <f t="shared" si="68"/>
        <v>0</v>
      </c>
      <c r="D845" s="60">
        <f>COUNTIF($K$7:K845,K845)</f>
        <v>0</v>
      </c>
      <c r="E845" s="91"/>
      <c r="F845" s="184">
        <v>44582</v>
      </c>
      <c r="G845" s="116" t="s">
        <v>149</v>
      </c>
      <c r="H845" s="93" t="s">
        <v>150</v>
      </c>
      <c r="I845" s="185" t="s">
        <v>571</v>
      </c>
      <c r="J845" s="117">
        <v>211.02</v>
      </c>
      <c r="K845" s="178"/>
      <c r="L845" s="186"/>
      <c r="M845" s="187">
        <v>22500</v>
      </c>
      <c r="N845" s="187"/>
      <c r="O845" s="189" t="s">
        <v>572</v>
      </c>
      <c r="P845" s="100" t="str">
        <f t="shared" si="69"/>
        <v>Hutang PPh 21</v>
      </c>
      <c r="Q845" s="91"/>
      <c r="S845" s="112"/>
      <c r="T845" s="112"/>
      <c r="U845" s="113"/>
      <c r="V845" s="113"/>
      <c r="X845" s="102"/>
    </row>
    <row r="846" spans="1:24" s="101" customFormat="1" hidden="1" x14ac:dyDescent="0.25">
      <c r="A846" s="60" t="str">
        <f t="shared" si="67"/>
        <v>28220,03</v>
      </c>
      <c r="B846" s="60">
        <f>COUNTIF($J$7:J846,J846)</f>
        <v>28</v>
      </c>
      <c r="C846" s="60" t="str">
        <f t="shared" si="68"/>
        <v>0</v>
      </c>
      <c r="D846" s="60">
        <f>COUNTIF($K$7:K846,K846)</f>
        <v>0</v>
      </c>
      <c r="E846" s="91"/>
      <c r="F846" s="184">
        <v>44582</v>
      </c>
      <c r="G846" s="116" t="s">
        <v>149</v>
      </c>
      <c r="H846" s="93" t="s">
        <v>150</v>
      </c>
      <c r="I846" s="185" t="s">
        <v>571</v>
      </c>
      <c r="J846" s="119">
        <v>220.03</v>
      </c>
      <c r="K846" s="178"/>
      <c r="L846" s="186"/>
      <c r="M846" s="187">
        <v>705000</v>
      </c>
      <c r="N846" s="187"/>
      <c r="O846" s="188"/>
      <c r="P846" s="100" t="str">
        <f t="shared" si="69"/>
        <v>Hutang BIaya</v>
      </c>
      <c r="Q846" s="91"/>
      <c r="S846" s="112"/>
      <c r="T846" s="112"/>
      <c r="U846" s="113"/>
      <c r="V846" s="113"/>
      <c r="X846" s="102"/>
    </row>
    <row r="847" spans="1:24" s="101" customFormat="1" ht="30" hidden="1" x14ac:dyDescent="0.25">
      <c r="A847" s="60" t="str">
        <f t="shared" si="67"/>
        <v>2610,13</v>
      </c>
      <c r="B847" s="60">
        <f>COUNTIF($J$7:J847,J847)</f>
        <v>2</v>
      </c>
      <c r="C847" s="60" t="str">
        <f t="shared" si="68"/>
        <v>0</v>
      </c>
      <c r="D847" s="60">
        <f>COUNTIF($K$7:K847,K847)</f>
        <v>0</v>
      </c>
      <c r="E847" s="91"/>
      <c r="F847" s="184">
        <v>44572</v>
      </c>
      <c r="G847" s="116" t="s">
        <v>149</v>
      </c>
      <c r="H847" s="93" t="s">
        <v>150</v>
      </c>
      <c r="I847" s="185" t="s">
        <v>573</v>
      </c>
      <c r="J847" s="123">
        <v>610.13</v>
      </c>
      <c r="K847" s="178"/>
      <c r="L847" s="186">
        <v>349200</v>
      </c>
      <c r="M847" s="187"/>
      <c r="N847" s="187"/>
      <c r="O847" s="188"/>
      <c r="P847" s="100" t="str">
        <f t="shared" si="69"/>
        <v>Biaya Pemeliharaan Peralatan dan Inventaris Kantor</v>
      </c>
      <c r="Q847" s="91"/>
      <c r="S847" s="112"/>
      <c r="T847" s="112"/>
      <c r="U847" s="113"/>
      <c r="V847" s="113"/>
      <c r="X847" s="102"/>
    </row>
    <row r="848" spans="1:24" s="101" customFormat="1" hidden="1" x14ac:dyDescent="0.25">
      <c r="A848" s="60" t="str">
        <f t="shared" si="67"/>
        <v>3610,13</v>
      </c>
      <c r="B848" s="60">
        <f>COUNTIF($J$7:J848,J848)</f>
        <v>3</v>
      </c>
      <c r="C848" s="60" t="str">
        <f t="shared" si="68"/>
        <v>0</v>
      </c>
      <c r="D848" s="60">
        <f>COUNTIF($K$7:K848,K848)</f>
        <v>0</v>
      </c>
      <c r="E848" s="91"/>
      <c r="F848" s="184">
        <v>44572</v>
      </c>
      <c r="G848" s="116" t="s">
        <v>149</v>
      </c>
      <c r="H848" s="93" t="s">
        <v>150</v>
      </c>
      <c r="I848" s="185" t="s">
        <v>574</v>
      </c>
      <c r="J848" s="123">
        <v>610.13</v>
      </c>
      <c r="K848" s="178"/>
      <c r="L848" s="186">
        <v>200000</v>
      </c>
      <c r="M848" s="187"/>
      <c r="N848" s="187"/>
      <c r="O848" s="188"/>
      <c r="P848" s="100" t="str">
        <f t="shared" si="69"/>
        <v>Biaya Pemeliharaan Peralatan dan Inventaris Kantor</v>
      </c>
      <c r="Q848" s="91"/>
      <c r="S848" s="112"/>
      <c r="T848" s="112"/>
      <c r="U848" s="113"/>
      <c r="V848" s="113"/>
      <c r="X848" s="102"/>
    </row>
    <row r="849" spans="1:24" s="101" customFormat="1" hidden="1" x14ac:dyDescent="0.25">
      <c r="A849" s="60" t="str">
        <f t="shared" si="67"/>
        <v>12211,02</v>
      </c>
      <c r="B849" s="60">
        <f>COUNTIF($J$7:J849,J849)</f>
        <v>12</v>
      </c>
      <c r="C849" s="60" t="str">
        <f t="shared" si="68"/>
        <v>0</v>
      </c>
      <c r="D849" s="60">
        <f>COUNTIF($K$7:K849,K849)</f>
        <v>0</v>
      </c>
      <c r="E849" s="91"/>
      <c r="F849" s="184">
        <v>44572</v>
      </c>
      <c r="G849" s="116" t="s">
        <v>149</v>
      </c>
      <c r="H849" s="93" t="s">
        <v>150</v>
      </c>
      <c r="I849" s="185" t="s">
        <v>575</v>
      </c>
      <c r="J849" s="117">
        <v>211.02</v>
      </c>
      <c r="K849" s="178"/>
      <c r="L849" s="186"/>
      <c r="M849" s="187">
        <v>10800</v>
      </c>
      <c r="N849" s="187"/>
      <c r="O849" s="127" t="s">
        <v>163</v>
      </c>
      <c r="P849" s="100" t="str">
        <f t="shared" si="69"/>
        <v>Hutang PPh 21</v>
      </c>
      <c r="Q849" s="91"/>
      <c r="S849" s="112"/>
      <c r="T849" s="112"/>
      <c r="U849" s="113"/>
      <c r="V849" s="113"/>
      <c r="X849" s="102"/>
    </row>
    <row r="850" spans="1:24" s="101" customFormat="1" hidden="1" x14ac:dyDescent="0.25">
      <c r="A850" s="60" t="str">
        <f t="shared" si="67"/>
        <v>29220,03</v>
      </c>
      <c r="B850" s="60">
        <f>COUNTIF($J$7:J850,J850)</f>
        <v>29</v>
      </c>
      <c r="C850" s="60" t="str">
        <f t="shared" si="68"/>
        <v>0</v>
      </c>
      <c r="D850" s="60">
        <f>COUNTIF($K$7:K850,K850)</f>
        <v>0</v>
      </c>
      <c r="E850" s="91"/>
      <c r="F850" s="184">
        <v>44572</v>
      </c>
      <c r="G850" s="116" t="s">
        <v>149</v>
      </c>
      <c r="H850" s="93" t="s">
        <v>150</v>
      </c>
      <c r="I850" s="185" t="s">
        <v>576</v>
      </c>
      <c r="J850" s="119">
        <v>220.03</v>
      </c>
      <c r="K850" s="178"/>
      <c r="L850" s="186"/>
      <c r="M850" s="187">
        <v>538400</v>
      </c>
      <c r="N850" s="187"/>
      <c r="O850" s="91"/>
      <c r="P850" s="100" t="str">
        <f t="shared" si="69"/>
        <v>Hutang BIaya</v>
      </c>
      <c r="Q850" s="91"/>
      <c r="S850" s="112"/>
      <c r="T850" s="112"/>
      <c r="U850" s="113"/>
      <c r="V850" s="113"/>
      <c r="X850" s="102"/>
    </row>
    <row r="851" spans="1:24" s="101" customFormat="1" hidden="1" x14ac:dyDescent="0.25">
      <c r="A851" s="60" t="str">
        <f t="shared" si="67"/>
        <v>2511,03</v>
      </c>
      <c r="B851" s="60">
        <f>COUNTIF($J$7:J851,J851)</f>
        <v>2</v>
      </c>
      <c r="C851" s="60" t="str">
        <f t="shared" si="68"/>
        <v>0</v>
      </c>
      <c r="D851" s="60">
        <f>COUNTIF($K$7:K851,K851)</f>
        <v>0</v>
      </c>
      <c r="E851" s="91"/>
      <c r="F851" s="92">
        <v>44575</v>
      </c>
      <c r="G851" s="116" t="s">
        <v>149</v>
      </c>
      <c r="H851" s="93" t="s">
        <v>150</v>
      </c>
      <c r="I851" s="125" t="s">
        <v>577</v>
      </c>
      <c r="J851" s="117">
        <v>511.03</v>
      </c>
      <c r="K851" s="178"/>
      <c r="L851" s="97">
        <v>9000000</v>
      </c>
      <c r="M851" s="117"/>
      <c r="N851" s="117"/>
      <c r="O851" s="91"/>
      <c r="P851" s="100" t="str">
        <f t="shared" si="69"/>
        <v>Biaya Pengiriman Barang Ekspedisi</v>
      </c>
      <c r="Q851" s="91"/>
      <c r="S851" s="112"/>
      <c r="T851" s="112"/>
      <c r="U851" s="113"/>
      <c r="V851" s="113"/>
      <c r="X851" s="102"/>
    </row>
    <row r="852" spans="1:24" s="101" customFormat="1" hidden="1" x14ac:dyDescent="0.25">
      <c r="A852" s="60" t="str">
        <f t="shared" si="67"/>
        <v>6211,04</v>
      </c>
      <c r="B852" s="60">
        <f>COUNTIF($J$7:J852,J852)</f>
        <v>6</v>
      </c>
      <c r="C852" s="60" t="str">
        <f t="shared" si="68"/>
        <v>0</v>
      </c>
      <c r="D852" s="60">
        <f>COUNTIF($K$7:K852,K852)</f>
        <v>0</v>
      </c>
      <c r="E852" s="91"/>
      <c r="F852" s="92">
        <v>44575</v>
      </c>
      <c r="G852" s="116" t="s">
        <v>149</v>
      </c>
      <c r="H852" s="93" t="s">
        <v>150</v>
      </c>
      <c r="I852" s="125" t="s">
        <v>578</v>
      </c>
      <c r="J852" s="117">
        <v>211.04</v>
      </c>
      <c r="K852" s="178"/>
      <c r="L852" s="97"/>
      <c r="M852" s="117">
        <v>180000</v>
      </c>
      <c r="N852" s="117"/>
      <c r="O852" s="111" t="s">
        <v>579</v>
      </c>
      <c r="P852" s="100" t="str">
        <f t="shared" si="69"/>
        <v>Hutang PPh 23</v>
      </c>
      <c r="Q852" s="91"/>
      <c r="S852" s="112"/>
      <c r="T852" s="112"/>
      <c r="U852" s="113"/>
      <c r="V852" s="113"/>
      <c r="X852" s="102"/>
    </row>
    <row r="853" spans="1:24" s="101" customFormat="1" hidden="1" x14ac:dyDescent="0.25">
      <c r="A853" s="60" t="str">
        <f t="shared" si="67"/>
        <v>3511,03</v>
      </c>
      <c r="B853" s="60">
        <f>COUNTIF($J$7:J853,J853)</f>
        <v>3</v>
      </c>
      <c r="C853" s="60" t="str">
        <f t="shared" si="68"/>
        <v>0</v>
      </c>
      <c r="D853" s="60">
        <f>COUNTIF($K$7:K853,K853)</f>
        <v>0</v>
      </c>
      <c r="E853" s="91"/>
      <c r="F853" s="92">
        <v>44575</v>
      </c>
      <c r="G853" s="116" t="s">
        <v>149</v>
      </c>
      <c r="H853" s="93" t="s">
        <v>150</v>
      </c>
      <c r="I853" s="161" t="s">
        <v>580</v>
      </c>
      <c r="J853" s="117">
        <v>511.03</v>
      </c>
      <c r="K853" s="178"/>
      <c r="L853" s="97">
        <v>435000</v>
      </c>
      <c r="M853" s="117"/>
      <c r="N853" s="117"/>
      <c r="O853" s="91"/>
      <c r="P853" s="100" t="str">
        <f t="shared" si="69"/>
        <v>Biaya Pengiriman Barang Ekspedisi</v>
      </c>
      <c r="Q853" s="91"/>
      <c r="S853" s="112"/>
      <c r="T853" s="112"/>
      <c r="U853" s="113"/>
      <c r="V853" s="113"/>
      <c r="X853" s="102"/>
    </row>
    <row r="854" spans="1:24" s="101" customFormat="1" hidden="1" x14ac:dyDescent="0.25">
      <c r="A854" s="60" t="str">
        <f t="shared" si="67"/>
        <v>7117,01</v>
      </c>
      <c r="B854" s="60">
        <f>COUNTIF($J$7:J854,J854)</f>
        <v>7</v>
      </c>
      <c r="C854" s="60" t="str">
        <f t="shared" si="68"/>
        <v>0</v>
      </c>
      <c r="D854" s="60">
        <f>COUNTIF($K$7:K854,K854)</f>
        <v>0</v>
      </c>
      <c r="E854" s="91"/>
      <c r="F854" s="92">
        <v>44575</v>
      </c>
      <c r="G854" s="116" t="s">
        <v>149</v>
      </c>
      <c r="H854" s="93" t="s">
        <v>150</v>
      </c>
      <c r="I854" s="161" t="s">
        <v>580</v>
      </c>
      <c r="J854" s="117">
        <v>117.01</v>
      </c>
      <c r="K854" s="178"/>
      <c r="L854" s="97">
        <v>43500</v>
      </c>
      <c r="M854" s="117"/>
      <c r="N854" s="117"/>
      <c r="O854" s="91"/>
      <c r="P854" s="100" t="str">
        <f t="shared" si="69"/>
        <v>Pajak Dibayar Di Muka - PPN Masukan</v>
      </c>
      <c r="Q854" s="91"/>
      <c r="S854" s="112"/>
      <c r="T854" s="112"/>
      <c r="U854" s="113"/>
      <c r="V854" s="113"/>
      <c r="X854" s="102"/>
    </row>
    <row r="855" spans="1:24" s="101" customFormat="1" hidden="1" x14ac:dyDescent="0.25">
      <c r="A855" s="60" t="str">
        <f t="shared" si="67"/>
        <v>4511,03</v>
      </c>
      <c r="B855" s="60">
        <f>COUNTIF($J$7:J855,J855)</f>
        <v>4</v>
      </c>
      <c r="C855" s="60" t="str">
        <f t="shared" si="68"/>
        <v>0</v>
      </c>
      <c r="D855" s="60">
        <f>COUNTIF($K$7:K855,K855)</f>
        <v>0</v>
      </c>
      <c r="E855" s="91"/>
      <c r="F855" s="92">
        <v>44575</v>
      </c>
      <c r="G855" s="116" t="s">
        <v>149</v>
      </c>
      <c r="H855" s="93" t="s">
        <v>150</v>
      </c>
      <c r="I855" s="125" t="s">
        <v>581</v>
      </c>
      <c r="J855" s="117">
        <v>511.03</v>
      </c>
      <c r="K855" s="178"/>
      <c r="L855" s="97">
        <f>3348800-444000-162800</f>
        <v>2742000</v>
      </c>
      <c r="M855" s="117"/>
      <c r="N855" s="117"/>
      <c r="O855" s="91"/>
      <c r="P855" s="100" t="str">
        <f t="shared" si="69"/>
        <v>Biaya Pengiriman Barang Ekspedisi</v>
      </c>
      <c r="Q855" s="91"/>
      <c r="S855" s="112"/>
      <c r="T855" s="112"/>
      <c r="U855" s="113"/>
      <c r="V855" s="113"/>
      <c r="X855" s="102"/>
    </row>
    <row r="856" spans="1:24" s="101" customFormat="1" hidden="1" x14ac:dyDescent="0.25">
      <c r="A856" s="60" t="str">
        <f t="shared" si="67"/>
        <v>5511,03</v>
      </c>
      <c r="B856" s="60">
        <f>COUNTIF($J$7:J856,J856)</f>
        <v>5</v>
      </c>
      <c r="C856" s="60" t="str">
        <f t="shared" si="68"/>
        <v>0</v>
      </c>
      <c r="D856" s="60">
        <f>COUNTIF($K$7:K856,K856)</f>
        <v>0</v>
      </c>
      <c r="E856" s="91"/>
      <c r="F856" s="92">
        <v>44575</v>
      </c>
      <c r="G856" s="116" t="s">
        <v>149</v>
      </c>
      <c r="H856" s="93" t="s">
        <v>150</v>
      </c>
      <c r="I856" s="125" t="s">
        <v>581</v>
      </c>
      <c r="J856" s="117">
        <v>511.03</v>
      </c>
      <c r="K856" s="178"/>
      <c r="L856" s="97">
        <v>551636</v>
      </c>
      <c r="M856" s="117"/>
      <c r="N856" s="117"/>
      <c r="O856" s="91"/>
      <c r="P856" s="100" t="str">
        <f t="shared" si="69"/>
        <v>Biaya Pengiriman Barang Ekspedisi</v>
      </c>
      <c r="Q856" s="91"/>
      <c r="S856" s="112"/>
      <c r="T856" s="112"/>
      <c r="U856" s="113"/>
      <c r="V856" s="113"/>
      <c r="X856" s="102"/>
    </row>
    <row r="857" spans="1:24" s="101" customFormat="1" hidden="1" x14ac:dyDescent="0.25">
      <c r="A857" s="60" t="str">
        <f t="shared" si="67"/>
        <v>8117,01</v>
      </c>
      <c r="B857" s="60">
        <f>COUNTIF($J$7:J857,J857)</f>
        <v>8</v>
      </c>
      <c r="C857" s="60" t="str">
        <f t="shared" si="68"/>
        <v>0</v>
      </c>
      <c r="D857" s="60">
        <f>COUNTIF($K$7:K857,K857)</f>
        <v>0</v>
      </c>
      <c r="E857" s="91"/>
      <c r="F857" s="92">
        <v>44575</v>
      </c>
      <c r="G857" s="116" t="s">
        <v>149</v>
      </c>
      <c r="H857" s="93" t="s">
        <v>150</v>
      </c>
      <c r="I857" s="125" t="s">
        <v>581</v>
      </c>
      <c r="J857" s="117">
        <v>117.01</v>
      </c>
      <c r="K857" s="178"/>
      <c r="L857" s="97">
        <v>55164</v>
      </c>
      <c r="M857" s="117"/>
      <c r="N857" s="117"/>
      <c r="O857" s="91" t="s">
        <v>181</v>
      </c>
      <c r="P857" s="100" t="str">
        <f t="shared" si="69"/>
        <v>Pajak Dibayar Di Muka - PPN Masukan</v>
      </c>
      <c r="Q857" s="91"/>
      <c r="S857" s="112"/>
      <c r="T857" s="112"/>
      <c r="U857" s="113"/>
      <c r="V857" s="113"/>
      <c r="X857" s="102"/>
    </row>
    <row r="858" spans="1:24" s="101" customFormat="1" hidden="1" x14ac:dyDescent="0.25">
      <c r="A858" s="60" t="str">
        <f t="shared" si="67"/>
        <v>30220,03</v>
      </c>
      <c r="B858" s="60">
        <f>COUNTIF($J$7:J858,J858)</f>
        <v>30</v>
      </c>
      <c r="C858" s="60" t="str">
        <f t="shared" si="68"/>
        <v>0</v>
      </c>
      <c r="D858" s="60">
        <f>COUNTIF($K$7:K858,K858)</f>
        <v>0</v>
      </c>
      <c r="E858" s="91"/>
      <c r="F858" s="92">
        <v>44575</v>
      </c>
      <c r="G858" s="116" t="s">
        <v>149</v>
      </c>
      <c r="H858" s="93" t="s">
        <v>150</v>
      </c>
      <c r="I858" s="125" t="s">
        <v>577</v>
      </c>
      <c r="J858" s="119">
        <v>220.03</v>
      </c>
      <c r="K858" s="178"/>
      <c r="L858" s="97"/>
      <c r="M858" s="117">
        <f>SUM(L851:L857)-M852</f>
        <v>12647300</v>
      </c>
      <c r="N858" s="117"/>
      <c r="O858" s="91"/>
      <c r="P858" s="100" t="str">
        <f t="shared" si="69"/>
        <v>Hutang BIaya</v>
      </c>
      <c r="Q858" s="91"/>
      <c r="S858" s="112"/>
      <c r="T858" s="112"/>
      <c r="U858" s="113"/>
      <c r="V858" s="113"/>
      <c r="X858" s="102"/>
    </row>
    <row r="859" spans="1:24" s="101" customFormat="1" hidden="1" x14ac:dyDescent="0.25">
      <c r="A859" s="60" t="str">
        <f t="shared" si="67"/>
        <v>1610,24</v>
      </c>
      <c r="B859" s="60">
        <f>COUNTIF($J$7:J859,J859)</f>
        <v>1</v>
      </c>
      <c r="C859" s="60" t="str">
        <f t="shared" si="68"/>
        <v>0</v>
      </c>
      <c r="D859" s="60">
        <f>COUNTIF($K$7:K859,K859)</f>
        <v>0</v>
      </c>
      <c r="E859" s="91"/>
      <c r="F859" s="92">
        <v>44575</v>
      </c>
      <c r="G859" s="116" t="s">
        <v>149</v>
      </c>
      <c r="H859" s="93" t="s">
        <v>150</v>
      </c>
      <c r="I859" s="161" t="s">
        <v>582</v>
      </c>
      <c r="J859" s="123">
        <v>610.24</v>
      </c>
      <c r="K859" s="178"/>
      <c r="L859" s="97">
        <v>8700</v>
      </c>
      <c r="M859" s="117"/>
      <c r="N859" s="117"/>
      <c r="O859" s="91"/>
      <c r="P859" s="100" t="str">
        <f t="shared" si="69"/>
        <v>Biaya Pajak PPH 23</v>
      </c>
      <c r="Q859" s="91"/>
      <c r="S859" s="112"/>
      <c r="T859" s="112"/>
      <c r="U859" s="113"/>
      <c r="V859" s="113"/>
      <c r="X859" s="102"/>
    </row>
    <row r="860" spans="1:24" s="101" customFormat="1" hidden="1" x14ac:dyDescent="0.25">
      <c r="A860" s="60" t="str">
        <f t="shared" si="67"/>
        <v>7211,04</v>
      </c>
      <c r="B860" s="60">
        <f>COUNTIF($J$7:J860,J860)</f>
        <v>7</v>
      </c>
      <c r="C860" s="60" t="str">
        <f t="shared" si="68"/>
        <v>0</v>
      </c>
      <c r="D860" s="60">
        <f>COUNTIF($K$7:K860,K860)</f>
        <v>0</v>
      </c>
      <c r="E860" s="91"/>
      <c r="F860" s="92">
        <v>44575</v>
      </c>
      <c r="G860" s="116" t="s">
        <v>149</v>
      </c>
      <c r="H860" s="93" t="s">
        <v>150</v>
      </c>
      <c r="I860" s="161" t="s">
        <v>582</v>
      </c>
      <c r="J860" s="117">
        <v>211.04</v>
      </c>
      <c r="K860" s="178"/>
      <c r="L860" s="97"/>
      <c r="M860" s="117">
        <v>8700</v>
      </c>
      <c r="N860" s="117"/>
      <c r="O860" s="111" t="s">
        <v>175</v>
      </c>
      <c r="P860" s="100" t="str">
        <f t="shared" si="69"/>
        <v>Hutang PPh 23</v>
      </c>
      <c r="Q860" s="91"/>
      <c r="S860" s="112"/>
      <c r="T860" s="112"/>
      <c r="U860" s="113"/>
      <c r="V860" s="113"/>
      <c r="X860" s="102"/>
    </row>
    <row r="861" spans="1:24" s="101" customFormat="1" hidden="1" x14ac:dyDescent="0.25">
      <c r="A861" s="60" t="str">
        <f t="shared" si="67"/>
        <v>5610,1</v>
      </c>
      <c r="B861" s="60">
        <f>COUNTIF($J$7:J861,J861)</f>
        <v>5</v>
      </c>
      <c r="C861" s="60" t="str">
        <f t="shared" si="68"/>
        <v>0</v>
      </c>
      <c r="D861" s="60">
        <f>COUNTIF($K$7:K861,K861)</f>
        <v>0</v>
      </c>
      <c r="E861" s="91"/>
      <c r="F861" s="92">
        <v>44575</v>
      </c>
      <c r="G861" s="116"/>
      <c r="H861" s="93" t="s">
        <v>150</v>
      </c>
      <c r="I861" s="161" t="s">
        <v>583</v>
      </c>
      <c r="J861" s="123">
        <v>610.1</v>
      </c>
      <c r="K861" s="178"/>
      <c r="L861" s="97">
        <v>120000</v>
      </c>
      <c r="M861" s="117"/>
      <c r="N861" s="117"/>
      <c r="O861" s="91"/>
      <c r="P861" s="100" t="str">
        <f t="shared" si="69"/>
        <v>Biaya Rumah Tangga Kantor</v>
      </c>
      <c r="Q861" s="91"/>
      <c r="S861" s="112"/>
      <c r="T861" s="112"/>
      <c r="U861" s="113"/>
      <c r="V861" s="113"/>
      <c r="X861" s="102"/>
    </row>
    <row r="862" spans="1:24" s="101" customFormat="1" hidden="1" x14ac:dyDescent="0.25">
      <c r="A862" s="60" t="str">
        <f t="shared" si="67"/>
        <v>9117,01</v>
      </c>
      <c r="B862" s="60">
        <f>COUNTIF($J$7:J862,J862)</f>
        <v>9</v>
      </c>
      <c r="C862" s="60" t="str">
        <f t="shared" si="68"/>
        <v>0</v>
      </c>
      <c r="D862" s="60">
        <f>COUNTIF($K$7:K862,K862)</f>
        <v>0</v>
      </c>
      <c r="E862" s="91"/>
      <c r="F862" s="92">
        <v>44575</v>
      </c>
      <c r="G862" s="116"/>
      <c r="H862" s="93" t="s">
        <v>150</v>
      </c>
      <c r="I862" s="161" t="s">
        <v>583</v>
      </c>
      <c r="J862" s="117">
        <v>117.01</v>
      </c>
      <c r="K862" s="178"/>
      <c r="L862" s="97">
        <v>12000</v>
      </c>
      <c r="M862" s="117"/>
      <c r="N862" s="117"/>
      <c r="O862" s="91" t="s">
        <v>181</v>
      </c>
      <c r="P862" s="100" t="str">
        <f t="shared" si="69"/>
        <v>Pajak Dibayar Di Muka - PPN Masukan</v>
      </c>
      <c r="Q862" s="91"/>
      <c r="S862" s="112"/>
      <c r="T862" s="112"/>
      <c r="U862" s="113"/>
      <c r="V862" s="113"/>
      <c r="X862" s="102"/>
    </row>
    <row r="863" spans="1:24" s="101" customFormat="1" hidden="1" x14ac:dyDescent="0.25">
      <c r="A863" s="60" t="str">
        <f t="shared" si="67"/>
        <v>31220,03</v>
      </c>
      <c r="B863" s="60">
        <f>COUNTIF($J$7:J863,J863)</f>
        <v>31</v>
      </c>
      <c r="C863" s="60" t="str">
        <f t="shared" si="68"/>
        <v>0</v>
      </c>
      <c r="D863" s="60">
        <f>COUNTIF($K$7:K863,K863)</f>
        <v>0</v>
      </c>
      <c r="E863" s="91"/>
      <c r="F863" s="92">
        <v>44575</v>
      </c>
      <c r="G863" s="116"/>
      <c r="H863" s="93" t="s">
        <v>150</v>
      </c>
      <c r="I863" s="161" t="s">
        <v>583</v>
      </c>
      <c r="J863" s="117">
        <v>220.03</v>
      </c>
      <c r="K863" s="178"/>
      <c r="L863" s="97"/>
      <c r="M863" s="117">
        <f>L861+L862</f>
        <v>132000</v>
      </c>
      <c r="N863" s="117"/>
      <c r="O863" s="91"/>
      <c r="P863" s="100" t="str">
        <f t="shared" si="69"/>
        <v>Hutang BIaya</v>
      </c>
      <c r="Q863" s="91"/>
      <c r="S863" s="112"/>
      <c r="T863" s="112"/>
      <c r="U863" s="113"/>
      <c r="V863" s="113"/>
      <c r="X863" s="102"/>
    </row>
    <row r="864" spans="1:24" s="101" customFormat="1" hidden="1" x14ac:dyDescent="0.25">
      <c r="A864" s="60" t="str">
        <f t="shared" si="67"/>
        <v>6511,03</v>
      </c>
      <c r="B864" s="60">
        <f>COUNTIF($J$7:J864,J864)</f>
        <v>6</v>
      </c>
      <c r="C864" s="60" t="str">
        <f t="shared" si="68"/>
        <v>0</v>
      </c>
      <c r="D864" s="60">
        <f>COUNTIF($K$7:K864,K864)</f>
        <v>0</v>
      </c>
      <c r="E864" s="91"/>
      <c r="F864" s="184">
        <v>44589</v>
      </c>
      <c r="G864" s="116" t="s">
        <v>149</v>
      </c>
      <c r="H864" s="91" t="s">
        <v>150</v>
      </c>
      <c r="I864" s="125" t="s">
        <v>584</v>
      </c>
      <c r="J864" s="115">
        <v>511.03</v>
      </c>
      <c r="K864" s="178"/>
      <c r="L864" s="130">
        <v>3000000</v>
      </c>
      <c r="M864" s="165"/>
      <c r="N864" s="165"/>
      <c r="O864" s="91"/>
      <c r="P864" s="100" t="str">
        <f t="shared" si="69"/>
        <v>Biaya Pengiriman Barang Ekspedisi</v>
      </c>
      <c r="Q864" s="91"/>
      <c r="S864" s="112"/>
      <c r="T864" s="112"/>
      <c r="U864" s="113"/>
      <c r="V864" s="113"/>
      <c r="X864" s="102"/>
    </row>
    <row r="865" spans="1:24" s="101" customFormat="1" hidden="1" x14ac:dyDescent="0.25">
      <c r="A865" s="60" t="str">
        <f t="shared" si="67"/>
        <v>13211,02</v>
      </c>
      <c r="B865" s="60">
        <f>COUNTIF($J$7:J865,J865)</f>
        <v>13</v>
      </c>
      <c r="C865" s="60" t="str">
        <f t="shared" si="68"/>
        <v>0</v>
      </c>
      <c r="D865" s="60">
        <f>COUNTIF($K$7:K865,K865)</f>
        <v>0</v>
      </c>
      <c r="E865" s="91"/>
      <c r="F865" s="184">
        <v>44589</v>
      </c>
      <c r="G865" s="116" t="s">
        <v>149</v>
      </c>
      <c r="H865" s="91" t="s">
        <v>150</v>
      </c>
      <c r="I865" s="125" t="s">
        <v>585</v>
      </c>
      <c r="J865" s="117">
        <v>211.02</v>
      </c>
      <c r="K865" s="178"/>
      <c r="L865" s="130"/>
      <c r="M865" s="165">
        <f>5%*50%*L864</f>
        <v>75000</v>
      </c>
      <c r="N865" s="165"/>
      <c r="O865" s="91" t="s">
        <v>586</v>
      </c>
      <c r="P865" s="100" t="str">
        <f t="shared" si="69"/>
        <v>Hutang PPh 21</v>
      </c>
      <c r="Q865" s="91"/>
      <c r="S865" s="112"/>
      <c r="T865" s="112"/>
      <c r="U865" s="113"/>
      <c r="V865" s="113"/>
      <c r="X865" s="102"/>
    </row>
    <row r="866" spans="1:24" s="101" customFormat="1" hidden="1" x14ac:dyDescent="0.25">
      <c r="A866" s="60" t="str">
        <f t="shared" si="67"/>
        <v>7511,03</v>
      </c>
      <c r="B866" s="60">
        <f>COUNTIF($J$7:J866,J866)</f>
        <v>7</v>
      </c>
      <c r="C866" s="60" t="str">
        <f t="shared" si="68"/>
        <v>0</v>
      </c>
      <c r="D866" s="60">
        <f>COUNTIF($K$7:K866,K866)</f>
        <v>0</v>
      </c>
      <c r="E866" s="91"/>
      <c r="F866" s="184">
        <v>44589</v>
      </c>
      <c r="G866" s="116" t="s">
        <v>149</v>
      </c>
      <c r="H866" s="91" t="s">
        <v>150</v>
      </c>
      <c r="I866" s="125" t="s">
        <v>587</v>
      </c>
      <c r="J866" s="115">
        <v>511.03</v>
      </c>
      <c r="K866" s="178"/>
      <c r="L866" s="130">
        <v>302400</v>
      </c>
      <c r="M866" s="165"/>
      <c r="N866" s="165"/>
      <c r="O866" s="91"/>
      <c r="P866" s="100" t="str">
        <f t="shared" si="69"/>
        <v>Biaya Pengiriman Barang Ekspedisi</v>
      </c>
      <c r="Q866" s="91"/>
      <c r="S866" s="112"/>
      <c r="T866" s="112"/>
      <c r="U866" s="113"/>
      <c r="V866" s="113"/>
      <c r="X866" s="102"/>
    </row>
    <row r="867" spans="1:24" s="101" customFormat="1" hidden="1" x14ac:dyDescent="0.25">
      <c r="A867" s="60" t="str">
        <f t="shared" si="67"/>
        <v>10117,01</v>
      </c>
      <c r="B867" s="60">
        <f>COUNTIF($J$7:J867,J867)</f>
        <v>10</v>
      </c>
      <c r="C867" s="60" t="str">
        <f t="shared" si="68"/>
        <v>0</v>
      </c>
      <c r="D867" s="60">
        <f>COUNTIF($K$7:K867,K867)</f>
        <v>0</v>
      </c>
      <c r="E867" s="91"/>
      <c r="F867" s="184">
        <v>44589</v>
      </c>
      <c r="G867" s="116" t="s">
        <v>149</v>
      </c>
      <c r="H867" s="91" t="s">
        <v>150</v>
      </c>
      <c r="I867" s="125" t="s">
        <v>587</v>
      </c>
      <c r="J867" s="117">
        <v>117.01</v>
      </c>
      <c r="K867" s="178"/>
      <c r="L867" s="133">
        <v>30240</v>
      </c>
      <c r="M867" s="165"/>
      <c r="N867" s="165"/>
      <c r="O867" s="111" t="s">
        <v>153</v>
      </c>
      <c r="P867" s="100" t="str">
        <f t="shared" si="69"/>
        <v>Pajak Dibayar Di Muka - PPN Masukan</v>
      </c>
      <c r="Q867" s="91"/>
      <c r="S867" s="112"/>
      <c r="T867" s="112"/>
      <c r="U867" s="113"/>
      <c r="V867" s="113"/>
      <c r="X867" s="102"/>
    </row>
    <row r="868" spans="1:24" s="101" customFormat="1" hidden="1" x14ac:dyDescent="0.25">
      <c r="A868" s="60" t="str">
        <f t="shared" si="67"/>
        <v>8511,03</v>
      </c>
      <c r="B868" s="60">
        <f>COUNTIF($J$7:J868,J868)</f>
        <v>8</v>
      </c>
      <c r="C868" s="60" t="str">
        <f t="shared" si="68"/>
        <v>0</v>
      </c>
      <c r="D868" s="60">
        <f>COUNTIF($K$7:K868,K868)</f>
        <v>0</v>
      </c>
      <c r="E868" s="91"/>
      <c r="F868" s="184">
        <v>44589</v>
      </c>
      <c r="G868" s="116" t="s">
        <v>149</v>
      </c>
      <c r="H868" s="91" t="s">
        <v>150</v>
      </c>
      <c r="I868" s="125" t="s">
        <v>588</v>
      </c>
      <c r="J868" s="115">
        <v>511.03</v>
      </c>
      <c r="K868" s="178"/>
      <c r="L868" s="130">
        <v>13147752</v>
      </c>
      <c r="M868" s="165"/>
      <c r="N868" s="165"/>
      <c r="O868" s="91"/>
      <c r="P868" s="100" t="str">
        <f t="shared" si="69"/>
        <v>Biaya Pengiriman Barang Ekspedisi</v>
      </c>
      <c r="Q868" s="91"/>
      <c r="S868" s="112"/>
      <c r="T868" s="112"/>
      <c r="U868" s="113"/>
      <c r="V868" s="113"/>
      <c r="X868" s="102"/>
    </row>
    <row r="869" spans="1:24" s="101" customFormat="1" hidden="1" x14ac:dyDescent="0.25">
      <c r="A869" s="60" t="str">
        <f t="shared" si="67"/>
        <v>11117,01</v>
      </c>
      <c r="B869" s="60">
        <f>COUNTIF($J$7:J869,J869)</f>
        <v>11</v>
      </c>
      <c r="C869" s="60" t="str">
        <f t="shared" si="68"/>
        <v>0</v>
      </c>
      <c r="D869" s="60">
        <f>COUNTIF($K$7:K869,K869)</f>
        <v>0</v>
      </c>
      <c r="E869" s="91"/>
      <c r="F869" s="184">
        <v>44589</v>
      </c>
      <c r="G869" s="116" t="s">
        <v>149</v>
      </c>
      <c r="H869" s="91" t="s">
        <v>150</v>
      </c>
      <c r="I869" s="125" t="s">
        <v>588</v>
      </c>
      <c r="J869" s="117">
        <v>117.01</v>
      </c>
      <c r="K869" s="178"/>
      <c r="L869" s="133">
        <v>1314775</v>
      </c>
      <c r="M869" s="165"/>
      <c r="N869" s="165"/>
      <c r="O869" s="111" t="s">
        <v>153</v>
      </c>
      <c r="P869" s="100" t="str">
        <f t="shared" si="69"/>
        <v>Pajak Dibayar Di Muka - PPN Masukan</v>
      </c>
      <c r="Q869" s="91"/>
      <c r="S869" s="112"/>
      <c r="T869" s="112"/>
      <c r="U869" s="113"/>
      <c r="V869" s="113"/>
      <c r="X869" s="102"/>
    </row>
    <row r="870" spans="1:24" s="101" customFormat="1" hidden="1" x14ac:dyDescent="0.25">
      <c r="A870" s="60" t="str">
        <f t="shared" si="67"/>
        <v>9511,03</v>
      </c>
      <c r="B870" s="60">
        <f>COUNTIF($J$7:J870,J870)</f>
        <v>9</v>
      </c>
      <c r="C870" s="60" t="str">
        <f t="shared" si="68"/>
        <v>0</v>
      </c>
      <c r="D870" s="60">
        <f>COUNTIF($K$7:K870,K870)</f>
        <v>0</v>
      </c>
      <c r="E870" s="91"/>
      <c r="F870" s="184">
        <v>44589</v>
      </c>
      <c r="G870" s="116" t="s">
        <v>149</v>
      </c>
      <c r="H870" s="91" t="s">
        <v>150</v>
      </c>
      <c r="I870" s="125" t="s">
        <v>589</v>
      </c>
      <c r="J870" s="115">
        <v>511.03</v>
      </c>
      <c r="K870" s="178"/>
      <c r="L870" s="130">
        <v>500000</v>
      </c>
      <c r="M870" s="165"/>
      <c r="N870" s="165"/>
      <c r="O870" s="91"/>
      <c r="P870" s="100" t="str">
        <f t="shared" si="69"/>
        <v>Biaya Pengiriman Barang Ekspedisi</v>
      </c>
      <c r="Q870" s="91"/>
      <c r="S870" s="112"/>
      <c r="T870" s="112"/>
      <c r="U870" s="113"/>
      <c r="V870" s="113"/>
      <c r="X870" s="102"/>
    </row>
    <row r="871" spans="1:24" s="101" customFormat="1" hidden="1" x14ac:dyDescent="0.25">
      <c r="A871" s="60" t="str">
        <f t="shared" si="67"/>
        <v>10511,03</v>
      </c>
      <c r="B871" s="60">
        <f>COUNTIF($J$7:J871,J871)</f>
        <v>10</v>
      </c>
      <c r="C871" s="60" t="str">
        <f t="shared" si="68"/>
        <v>0</v>
      </c>
      <c r="D871" s="60">
        <f>COUNTIF($K$7:K871,K871)</f>
        <v>0</v>
      </c>
      <c r="E871" s="91"/>
      <c r="F871" s="184">
        <v>44589</v>
      </c>
      <c r="G871" s="116" t="s">
        <v>149</v>
      </c>
      <c r="H871" s="91" t="s">
        <v>150</v>
      </c>
      <c r="I871" s="125" t="s">
        <v>590</v>
      </c>
      <c r="J871" s="115">
        <v>511.03</v>
      </c>
      <c r="K871" s="178"/>
      <c r="L871" s="130">
        <v>10000</v>
      </c>
      <c r="M871" s="165"/>
      <c r="N871" s="165"/>
      <c r="O871" s="91"/>
      <c r="P871" s="100" t="str">
        <f t="shared" si="69"/>
        <v>Biaya Pengiriman Barang Ekspedisi</v>
      </c>
      <c r="Q871" s="91"/>
      <c r="S871" s="112"/>
      <c r="T871" s="112"/>
      <c r="U871" s="113"/>
      <c r="V871" s="113"/>
      <c r="X871" s="102"/>
    </row>
    <row r="872" spans="1:24" s="101" customFormat="1" hidden="1" x14ac:dyDescent="0.25">
      <c r="A872" s="60" t="str">
        <f t="shared" si="67"/>
        <v>11511,03</v>
      </c>
      <c r="B872" s="60">
        <f>COUNTIF($J$7:J872,J872)</f>
        <v>11</v>
      </c>
      <c r="C872" s="60" t="str">
        <f t="shared" si="68"/>
        <v>0</v>
      </c>
      <c r="D872" s="60">
        <f>COUNTIF($K$7:K872,K872)</f>
        <v>0</v>
      </c>
      <c r="E872" s="91"/>
      <c r="F872" s="184">
        <v>44589</v>
      </c>
      <c r="G872" s="116" t="s">
        <v>149</v>
      </c>
      <c r="H872" s="91" t="s">
        <v>150</v>
      </c>
      <c r="I872" s="125" t="s">
        <v>591</v>
      </c>
      <c r="J872" s="115">
        <v>511.03</v>
      </c>
      <c r="K872" s="178"/>
      <c r="L872" s="130">
        <v>1500000</v>
      </c>
      <c r="M872" s="165"/>
      <c r="N872" s="165"/>
      <c r="O872" s="91"/>
      <c r="P872" s="100" t="str">
        <f t="shared" si="69"/>
        <v>Biaya Pengiriman Barang Ekspedisi</v>
      </c>
      <c r="Q872" s="91"/>
      <c r="S872" s="112"/>
      <c r="T872" s="112"/>
      <c r="U872" s="113"/>
      <c r="V872" s="113"/>
      <c r="X872" s="102"/>
    </row>
    <row r="873" spans="1:24" s="101" customFormat="1" hidden="1" x14ac:dyDescent="0.25">
      <c r="A873" s="60" t="str">
        <f t="shared" si="67"/>
        <v>32220,03</v>
      </c>
      <c r="B873" s="60">
        <f>COUNTIF($J$7:J873,J873)</f>
        <v>32</v>
      </c>
      <c r="C873" s="60" t="str">
        <f t="shared" si="68"/>
        <v>0</v>
      </c>
      <c r="D873" s="60">
        <f>COUNTIF($K$7:K873,K873)</f>
        <v>0</v>
      </c>
      <c r="E873" s="91"/>
      <c r="F873" s="184">
        <v>44589</v>
      </c>
      <c r="G873" s="116" t="s">
        <v>149</v>
      </c>
      <c r="H873" s="91" t="s">
        <v>150</v>
      </c>
      <c r="I873" s="125" t="s">
        <v>592</v>
      </c>
      <c r="J873" s="119">
        <v>220.03</v>
      </c>
      <c r="K873" s="178"/>
      <c r="L873" s="130"/>
      <c r="M873" s="165">
        <v>19730167</v>
      </c>
      <c r="N873" s="165"/>
      <c r="O873" s="91"/>
      <c r="P873" s="100" t="str">
        <f t="shared" si="69"/>
        <v>Hutang BIaya</v>
      </c>
      <c r="Q873" s="91"/>
      <c r="S873" s="112"/>
      <c r="T873" s="112"/>
      <c r="U873" s="113"/>
      <c r="V873" s="113"/>
      <c r="X873" s="102"/>
    </row>
    <row r="874" spans="1:24" s="101" customFormat="1" hidden="1" x14ac:dyDescent="0.25">
      <c r="A874" s="60" t="str">
        <f t="shared" si="67"/>
        <v>12511,03</v>
      </c>
      <c r="B874" s="60">
        <f>COUNTIF($J$7:J874,J874)</f>
        <v>12</v>
      </c>
      <c r="C874" s="60" t="str">
        <f t="shared" si="68"/>
        <v>0</v>
      </c>
      <c r="D874" s="60">
        <f>COUNTIF($K$7:K874,K874)</f>
        <v>0</v>
      </c>
      <c r="E874" s="91"/>
      <c r="F874" s="184">
        <v>44589</v>
      </c>
      <c r="G874" s="116" t="s">
        <v>149</v>
      </c>
      <c r="H874" s="91" t="s">
        <v>150</v>
      </c>
      <c r="I874" s="125" t="s">
        <v>588</v>
      </c>
      <c r="J874" s="115">
        <v>511.03</v>
      </c>
      <c r="K874" s="178"/>
      <c r="L874" s="130">
        <f>2%*L868</f>
        <v>262955.03999999998</v>
      </c>
      <c r="M874" s="165"/>
      <c r="N874" s="165"/>
      <c r="O874" s="91"/>
      <c r="P874" s="100" t="str">
        <f t="shared" si="69"/>
        <v>Biaya Pengiriman Barang Ekspedisi</v>
      </c>
      <c r="Q874" s="91"/>
      <c r="S874" s="112"/>
      <c r="T874" s="112"/>
      <c r="U874" s="113"/>
      <c r="V874" s="113"/>
      <c r="X874" s="102"/>
    </row>
    <row r="875" spans="1:24" s="101" customFormat="1" hidden="1" x14ac:dyDescent="0.25">
      <c r="A875" s="60" t="str">
        <f t="shared" si="67"/>
        <v>8211,04</v>
      </c>
      <c r="B875" s="60">
        <f>COUNTIF($J$7:J875,J875)</f>
        <v>8</v>
      </c>
      <c r="C875" s="60" t="str">
        <f t="shared" si="68"/>
        <v>0</v>
      </c>
      <c r="D875" s="60">
        <f>COUNTIF($K$7:K875,K875)</f>
        <v>0</v>
      </c>
      <c r="E875" s="91"/>
      <c r="F875" s="184">
        <v>44589</v>
      </c>
      <c r="G875" s="116" t="s">
        <v>149</v>
      </c>
      <c r="H875" s="91" t="s">
        <v>150</v>
      </c>
      <c r="I875" s="125" t="s">
        <v>588</v>
      </c>
      <c r="J875" s="117">
        <v>211.04</v>
      </c>
      <c r="K875" s="178"/>
      <c r="L875" s="130"/>
      <c r="M875" s="165">
        <f>L874</f>
        <v>262955.03999999998</v>
      </c>
      <c r="N875" s="165"/>
      <c r="O875" s="111" t="s">
        <v>175</v>
      </c>
      <c r="P875" s="100" t="str">
        <f t="shared" si="69"/>
        <v>Hutang PPh 23</v>
      </c>
      <c r="Q875" s="91"/>
      <c r="S875" s="112"/>
      <c r="T875" s="112"/>
      <c r="U875" s="113"/>
      <c r="V875" s="113"/>
      <c r="X875" s="102"/>
    </row>
    <row r="876" spans="1:24" s="101" customFormat="1" hidden="1" x14ac:dyDescent="0.25">
      <c r="A876" s="60" t="str">
        <f t="shared" si="67"/>
        <v>13511,03</v>
      </c>
      <c r="B876" s="60">
        <f>COUNTIF($J$7:J876,J876)</f>
        <v>13</v>
      </c>
      <c r="C876" s="60" t="str">
        <f t="shared" si="68"/>
        <v>0</v>
      </c>
      <c r="D876" s="60">
        <f>COUNTIF($K$7:K876,K876)</f>
        <v>0</v>
      </c>
      <c r="E876" s="91"/>
      <c r="F876" s="184">
        <v>44589</v>
      </c>
      <c r="G876" s="116" t="s">
        <v>149</v>
      </c>
      <c r="H876" s="91" t="s">
        <v>150</v>
      </c>
      <c r="I876" s="125" t="s">
        <v>587</v>
      </c>
      <c r="J876" s="115">
        <v>511.03</v>
      </c>
      <c r="K876" s="178"/>
      <c r="L876" s="130">
        <f>2%*L866</f>
        <v>6048</v>
      </c>
      <c r="M876" s="165"/>
      <c r="N876" s="165"/>
      <c r="O876" s="91"/>
      <c r="P876" s="100" t="str">
        <f t="shared" si="69"/>
        <v>Biaya Pengiriman Barang Ekspedisi</v>
      </c>
      <c r="Q876" s="91"/>
      <c r="S876" s="112"/>
      <c r="T876" s="112"/>
      <c r="U876" s="113"/>
      <c r="V876" s="113"/>
      <c r="X876" s="102"/>
    </row>
    <row r="877" spans="1:24" s="101" customFormat="1" hidden="1" x14ac:dyDescent="0.25">
      <c r="A877" s="60" t="str">
        <f t="shared" si="67"/>
        <v>9211,04</v>
      </c>
      <c r="B877" s="60">
        <f>COUNTIF($J$7:J877,J877)</f>
        <v>9</v>
      </c>
      <c r="C877" s="60" t="str">
        <f t="shared" si="68"/>
        <v>0</v>
      </c>
      <c r="D877" s="60">
        <f>COUNTIF($K$7:K877,K877)</f>
        <v>0</v>
      </c>
      <c r="E877" s="91"/>
      <c r="F877" s="184">
        <v>44589</v>
      </c>
      <c r="G877" s="116" t="s">
        <v>149</v>
      </c>
      <c r="H877" s="91" t="s">
        <v>150</v>
      </c>
      <c r="I877" s="125" t="s">
        <v>587</v>
      </c>
      <c r="J877" s="117">
        <v>211.04</v>
      </c>
      <c r="K877" s="178"/>
      <c r="L877" s="130"/>
      <c r="M877" s="165">
        <f>L876</f>
        <v>6048</v>
      </c>
      <c r="N877" s="165"/>
      <c r="O877" s="111" t="s">
        <v>175</v>
      </c>
      <c r="P877" s="100" t="str">
        <f t="shared" si="69"/>
        <v>Hutang PPh 23</v>
      </c>
      <c r="Q877" s="91"/>
      <c r="S877" s="112"/>
      <c r="T877" s="112"/>
      <c r="U877" s="113"/>
      <c r="V877" s="113"/>
      <c r="X877" s="102"/>
    </row>
    <row r="878" spans="1:24" s="101" customFormat="1" hidden="1" x14ac:dyDescent="0.25">
      <c r="A878" s="60" t="str">
        <f t="shared" si="67"/>
        <v>6610,1</v>
      </c>
      <c r="B878" s="60">
        <f>COUNTIF($J$7:J878,J878)</f>
        <v>6</v>
      </c>
      <c r="C878" s="60" t="str">
        <f t="shared" si="68"/>
        <v>0</v>
      </c>
      <c r="D878" s="60">
        <f>COUNTIF($K$7:K878,K878)</f>
        <v>0</v>
      </c>
      <c r="E878" s="91"/>
      <c r="F878" s="184">
        <v>44566</v>
      </c>
      <c r="G878" s="116" t="s">
        <v>149</v>
      </c>
      <c r="H878" s="93" t="s">
        <v>593</v>
      </c>
      <c r="I878" s="185" t="s">
        <v>594</v>
      </c>
      <c r="J878" s="123">
        <v>610.1</v>
      </c>
      <c r="K878" s="178"/>
      <c r="L878" s="186">
        <v>40000</v>
      </c>
      <c r="M878" s="117"/>
      <c r="N878" s="117" t="s">
        <v>16</v>
      </c>
      <c r="O878" s="111"/>
      <c r="P878" s="100" t="str">
        <f t="shared" si="69"/>
        <v>Biaya Rumah Tangga Kantor</v>
      </c>
      <c r="Q878" s="91"/>
      <c r="S878" s="112"/>
      <c r="T878" s="112"/>
      <c r="U878" s="113"/>
      <c r="V878" s="113"/>
      <c r="X878" s="102"/>
    </row>
    <row r="879" spans="1:24" s="101" customFormat="1" x14ac:dyDescent="0.25">
      <c r="A879" s="60" t="str">
        <f t="shared" si="67"/>
        <v>7610,1</v>
      </c>
      <c r="B879" s="60">
        <f>COUNTIF($J$7:J879,J879)</f>
        <v>7</v>
      </c>
      <c r="C879" s="60" t="str">
        <f t="shared" si="68"/>
        <v>0</v>
      </c>
      <c r="D879" s="60">
        <f>COUNTIF($K$7:K879,K879)</f>
        <v>0</v>
      </c>
      <c r="E879" s="91"/>
      <c r="F879" s="184">
        <v>44567</v>
      </c>
      <c r="G879" s="116" t="s">
        <v>149</v>
      </c>
      <c r="H879" s="93" t="s">
        <v>595</v>
      </c>
      <c r="I879" s="185" t="s">
        <v>594</v>
      </c>
      <c r="J879" s="123">
        <v>610.1</v>
      </c>
      <c r="K879" s="178"/>
      <c r="L879" s="186">
        <v>30000</v>
      </c>
      <c r="M879" s="117"/>
      <c r="N879" s="117" t="s">
        <v>16</v>
      </c>
      <c r="O879" s="111"/>
      <c r="P879" s="100" t="str">
        <f t="shared" si="69"/>
        <v>Biaya Rumah Tangga Kantor</v>
      </c>
      <c r="Q879" s="91"/>
      <c r="S879" s="112"/>
      <c r="T879" s="112"/>
      <c r="U879" s="113"/>
      <c r="V879" s="113"/>
      <c r="X879" s="102"/>
    </row>
    <row r="880" spans="1:24" s="101" customFormat="1" ht="30" hidden="1" x14ac:dyDescent="0.25">
      <c r="A880" s="60" t="str">
        <f t="shared" si="67"/>
        <v>1511,05</v>
      </c>
      <c r="B880" s="60">
        <f>COUNTIF($J$7:J880,J880)</f>
        <v>1</v>
      </c>
      <c r="C880" s="60" t="str">
        <f t="shared" si="68"/>
        <v>0</v>
      </c>
      <c r="D880" s="60">
        <f>COUNTIF($K$7:K880,K880)</f>
        <v>0</v>
      </c>
      <c r="E880" s="91"/>
      <c r="F880" s="184">
        <v>44568</v>
      </c>
      <c r="G880" s="116" t="s">
        <v>149</v>
      </c>
      <c r="H880" s="93" t="s">
        <v>596</v>
      </c>
      <c r="I880" s="185" t="s">
        <v>597</v>
      </c>
      <c r="J880" s="123">
        <v>511.05</v>
      </c>
      <c r="K880" s="178"/>
      <c r="L880" s="190">
        <v>20000</v>
      </c>
      <c r="M880" s="117"/>
      <c r="N880" s="117"/>
      <c r="O880" s="111"/>
      <c r="P880" s="100" t="str">
        <f t="shared" si="69"/>
        <v>Biaya Transport Pengiriman Bensin, Parkir, Tol</v>
      </c>
      <c r="Q880" s="91"/>
      <c r="S880" s="112"/>
      <c r="T880" s="112"/>
      <c r="U880" s="113"/>
      <c r="V880" s="113"/>
      <c r="X880" s="102"/>
    </row>
    <row r="881" spans="1:24" s="101" customFormat="1" ht="30" hidden="1" x14ac:dyDescent="0.25">
      <c r="A881" s="60" t="str">
        <f t="shared" si="67"/>
        <v>2511,05</v>
      </c>
      <c r="B881" s="60">
        <f>COUNTIF($J$7:J881,J881)</f>
        <v>2</v>
      </c>
      <c r="C881" s="60" t="str">
        <f t="shared" si="68"/>
        <v>0</v>
      </c>
      <c r="D881" s="60">
        <f>COUNTIF($K$7:K881,K881)</f>
        <v>0</v>
      </c>
      <c r="E881" s="91"/>
      <c r="F881" s="184">
        <v>44568</v>
      </c>
      <c r="G881" s="116" t="s">
        <v>149</v>
      </c>
      <c r="H881" s="93" t="s">
        <v>598</v>
      </c>
      <c r="I881" s="185" t="s">
        <v>599</v>
      </c>
      <c r="J881" s="123">
        <v>511.05</v>
      </c>
      <c r="K881" s="178"/>
      <c r="L881" s="186">
        <v>4000</v>
      </c>
      <c r="M881" s="117"/>
      <c r="N881" s="117"/>
      <c r="O881" s="111"/>
      <c r="P881" s="100" t="str">
        <f t="shared" si="69"/>
        <v>Biaya Transport Pengiriman Bensin, Parkir, Tol</v>
      </c>
      <c r="Q881" s="91"/>
      <c r="S881" s="112"/>
      <c r="T881" s="112"/>
      <c r="U881" s="113"/>
      <c r="V881" s="113"/>
      <c r="X881" s="102"/>
    </row>
    <row r="882" spans="1:24" s="101" customFormat="1" hidden="1" x14ac:dyDescent="0.25">
      <c r="A882" s="60" t="str">
        <f t="shared" si="67"/>
        <v>1110</v>
      </c>
      <c r="B882" s="60">
        <f>COUNTIF($J$7:J882,J882)</f>
        <v>1</v>
      </c>
      <c r="C882" s="60" t="str">
        <f t="shared" si="68"/>
        <v>0</v>
      </c>
      <c r="D882" s="60">
        <f>COUNTIF($K$7:K882,K882)</f>
        <v>0</v>
      </c>
      <c r="E882" s="91"/>
      <c r="F882" s="184">
        <v>44566</v>
      </c>
      <c r="G882" s="116" t="s">
        <v>149</v>
      </c>
      <c r="H882" s="93" t="s">
        <v>593</v>
      </c>
      <c r="I882" s="185" t="s">
        <v>594</v>
      </c>
      <c r="J882" s="117">
        <v>110</v>
      </c>
      <c r="K882" s="178"/>
      <c r="L882" s="97"/>
      <c r="M882" s="187">
        <v>40000</v>
      </c>
      <c r="N882" s="187" t="s">
        <v>16</v>
      </c>
      <c r="O882" s="111"/>
      <c r="P882" s="100" t="str">
        <f t="shared" si="69"/>
        <v xml:space="preserve"> Kas Kecil</v>
      </c>
      <c r="Q882" s="91"/>
      <c r="S882" s="112"/>
      <c r="T882" s="112"/>
      <c r="U882" s="113"/>
      <c r="V882" s="113"/>
      <c r="X882" s="102"/>
    </row>
    <row r="883" spans="1:24" s="101" customFormat="1" x14ac:dyDescent="0.25">
      <c r="A883" s="60" t="str">
        <f t="shared" si="67"/>
        <v>2110</v>
      </c>
      <c r="B883" s="60">
        <f>COUNTIF($J$7:J883,J883)</f>
        <v>2</v>
      </c>
      <c r="C883" s="60" t="str">
        <f t="shared" si="68"/>
        <v>0</v>
      </c>
      <c r="D883" s="60">
        <f>COUNTIF($K$7:K883,K883)</f>
        <v>0</v>
      </c>
      <c r="E883" s="91"/>
      <c r="F883" s="184">
        <v>44567</v>
      </c>
      <c r="G883" s="116" t="s">
        <v>149</v>
      </c>
      <c r="H883" s="93" t="s">
        <v>595</v>
      </c>
      <c r="I883" s="185" t="s">
        <v>594</v>
      </c>
      <c r="J883" s="117">
        <v>110</v>
      </c>
      <c r="K883" s="178"/>
      <c r="L883" s="97"/>
      <c r="M883" s="187">
        <v>30000</v>
      </c>
      <c r="N883" s="187" t="s">
        <v>16</v>
      </c>
      <c r="O883" s="111"/>
      <c r="P883" s="100" t="str">
        <f t="shared" si="69"/>
        <v xml:space="preserve"> Kas Kecil</v>
      </c>
      <c r="Q883" s="91"/>
      <c r="S883" s="112"/>
      <c r="T883" s="112"/>
      <c r="U883" s="113"/>
      <c r="V883" s="113"/>
      <c r="X883" s="102"/>
    </row>
    <row r="884" spans="1:24" s="101" customFormat="1" ht="30" hidden="1" x14ac:dyDescent="0.25">
      <c r="A884" s="60" t="str">
        <f t="shared" si="67"/>
        <v>3110</v>
      </c>
      <c r="B884" s="60">
        <f>COUNTIF($J$7:J884,J884)</f>
        <v>3</v>
      </c>
      <c r="C884" s="60" t="str">
        <f t="shared" si="68"/>
        <v>0</v>
      </c>
      <c r="D884" s="60">
        <f>COUNTIF($K$7:K884,K884)</f>
        <v>0</v>
      </c>
      <c r="E884" s="91"/>
      <c r="F884" s="184">
        <v>44568</v>
      </c>
      <c r="G884" s="116" t="s">
        <v>149</v>
      </c>
      <c r="H884" s="93" t="s">
        <v>596</v>
      </c>
      <c r="I884" s="185" t="s">
        <v>597</v>
      </c>
      <c r="J884" s="117">
        <v>110</v>
      </c>
      <c r="K884" s="178"/>
      <c r="L884" s="97"/>
      <c r="M884" s="191">
        <v>20000</v>
      </c>
      <c r="N884" s="191"/>
      <c r="O884" s="111"/>
      <c r="P884" s="100" t="str">
        <f t="shared" si="69"/>
        <v xml:space="preserve"> Kas Kecil</v>
      </c>
      <c r="Q884" s="91"/>
      <c r="S884" s="112"/>
      <c r="T884" s="112"/>
      <c r="U884" s="113"/>
      <c r="V884" s="113"/>
      <c r="X884" s="102"/>
    </row>
    <row r="885" spans="1:24" s="101" customFormat="1" ht="30" hidden="1" x14ac:dyDescent="0.25">
      <c r="A885" s="60" t="str">
        <f t="shared" si="67"/>
        <v>4110</v>
      </c>
      <c r="B885" s="60">
        <f>COUNTIF($J$7:J885,J885)</f>
        <v>4</v>
      </c>
      <c r="C885" s="60" t="str">
        <f t="shared" si="68"/>
        <v>0</v>
      </c>
      <c r="D885" s="60">
        <f>COUNTIF($K$7:K885,K885)</f>
        <v>0</v>
      </c>
      <c r="E885" s="91"/>
      <c r="F885" s="184">
        <v>44568</v>
      </c>
      <c r="G885" s="116" t="s">
        <v>149</v>
      </c>
      <c r="H885" s="93" t="s">
        <v>598</v>
      </c>
      <c r="I885" s="185" t="s">
        <v>599</v>
      </c>
      <c r="J885" s="117">
        <v>110</v>
      </c>
      <c r="K885" s="178"/>
      <c r="L885" s="97"/>
      <c r="M885" s="187">
        <v>4000</v>
      </c>
      <c r="N885" s="187"/>
      <c r="O885" s="111"/>
      <c r="P885" s="100" t="str">
        <f t="shared" si="69"/>
        <v xml:space="preserve"> Kas Kecil</v>
      </c>
      <c r="Q885" s="91"/>
      <c r="S885" s="112"/>
      <c r="T885" s="112"/>
      <c r="U885" s="113"/>
      <c r="V885" s="113"/>
      <c r="X885" s="102"/>
    </row>
    <row r="886" spans="1:24" s="101" customFormat="1" ht="30" hidden="1" x14ac:dyDescent="0.25">
      <c r="A886" s="60" t="str">
        <f t="shared" si="67"/>
        <v>33220,03</v>
      </c>
      <c r="B886" s="60">
        <f>COUNTIF($J$7:J886,J886)</f>
        <v>33</v>
      </c>
      <c r="C886" s="60" t="str">
        <f t="shared" si="68"/>
        <v>0</v>
      </c>
      <c r="D886" s="60">
        <f>COUNTIF($K$7:K886,K886)</f>
        <v>0</v>
      </c>
      <c r="E886" s="91"/>
      <c r="F886" s="184">
        <v>44572</v>
      </c>
      <c r="G886" s="116" t="s">
        <v>149</v>
      </c>
      <c r="H886" s="93" t="s">
        <v>600</v>
      </c>
      <c r="I886" s="185" t="s">
        <v>601</v>
      </c>
      <c r="J886" s="119">
        <v>220.03</v>
      </c>
      <c r="K886" s="178"/>
      <c r="L886" s="186">
        <v>538400</v>
      </c>
      <c r="M886" s="187"/>
      <c r="N886" s="187"/>
      <c r="O886" s="111"/>
      <c r="P886" s="100" t="str">
        <f t="shared" si="69"/>
        <v>Hutang BIaya</v>
      </c>
      <c r="Q886" s="91"/>
      <c r="S886" s="112"/>
      <c r="T886" s="112"/>
      <c r="U886" s="113"/>
      <c r="V886" s="113"/>
      <c r="X886" s="102"/>
    </row>
    <row r="887" spans="1:24" s="101" customFormat="1" ht="30" hidden="1" x14ac:dyDescent="0.25">
      <c r="A887" s="60" t="str">
        <f t="shared" si="67"/>
        <v>3511,05</v>
      </c>
      <c r="B887" s="60">
        <f>COUNTIF($J$7:J887,J887)</f>
        <v>3</v>
      </c>
      <c r="C887" s="60" t="str">
        <f t="shared" si="68"/>
        <v>0</v>
      </c>
      <c r="D887" s="60">
        <f>COUNTIF($K$7:K887,K887)</f>
        <v>0</v>
      </c>
      <c r="E887" s="91"/>
      <c r="F887" s="184">
        <v>44573</v>
      </c>
      <c r="G887" s="116" t="s">
        <v>149</v>
      </c>
      <c r="H887" s="93" t="s">
        <v>602</v>
      </c>
      <c r="I887" s="185" t="s">
        <v>603</v>
      </c>
      <c r="J887" s="123">
        <v>511.05</v>
      </c>
      <c r="K887" s="178"/>
      <c r="L887" s="186">
        <v>20000</v>
      </c>
      <c r="M887" s="187"/>
      <c r="N887" s="187"/>
      <c r="O887" s="111"/>
      <c r="P887" s="100" t="str">
        <f t="shared" si="69"/>
        <v>Biaya Transport Pengiriman Bensin, Parkir, Tol</v>
      </c>
      <c r="Q887" s="91"/>
      <c r="S887" s="112"/>
      <c r="T887" s="112"/>
      <c r="U887" s="113"/>
      <c r="V887" s="113"/>
      <c r="X887" s="102"/>
    </row>
    <row r="888" spans="1:24" s="101" customFormat="1" ht="30" hidden="1" x14ac:dyDescent="0.25">
      <c r="A888" s="60" t="str">
        <f t="shared" si="67"/>
        <v>4511,05</v>
      </c>
      <c r="B888" s="60">
        <f>COUNTIF($J$7:J888,J888)</f>
        <v>4</v>
      </c>
      <c r="C888" s="60" t="str">
        <f t="shared" si="68"/>
        <v>0</v>
      </c>
      <c r="D888" s="60">
        <f>COUNTIF($K$7:K888,K888)</f>
        <v>0</v>
      </c>
      <c r="E888" s="91"/>
      <c r="F888" s="184">
        <v>44573</v>
      </c>
      <c r="G888" s="116" t="s">
        <v>149</v>
      </c>
      <c r="H888" s="93" t="s">
        <v>604</v>
      </c>
      <c r="I888" s="185" t="s">
        <v>605</v>
      </c>
      <c r="J888" s="123">
        <v>511.05</v>
      </c>
      <c r="K888" s="178"/>
      <c r="L888" s="186">
        <v>2000</v>
      </c>
      <c r="M888" s="187"/>
      <c r="N888" s="187"/>
      <c r="O888" s="111"/>
      <c r="P888" s="100" t="str">
        <f t="shared" si="69"/>
        <v>Biaya Transport Pengiriman Bensin, Parkir, Tol</v>
      </c>
      <c r="Q888" s="91"/>
      <c r="S888" s="112"/>
      <c r="T888" s="112"/>
      <c r="U888" s="113"/>
      <c r="V888" s="113"/>
      <c r="X888" s="102"/>
    </row>
    <row r="889" spans="1:24" s="101" customFormat="1" ht="30" hidden="1" x14ac:dyDescent="0.25">
      <c r="A889" s="60" t="str">
        <f t="shared" si="67"/>
        <v>8610,1</v>
      </c>
      <c r="B889" s="60">
        <f>COUNTIF($J$7:J889,J889)</f>
        <v>8</v>
      </c>
      <c r="C889" s="60" t="str">
        <f t="shared" si="68"/>
        <v>0</v>
      </c>
      <c r="D889" s="60">
        <f>COUNTIF($K$7:K889,K889)</f>
        <v>0</v>
      </c>
      <c r="E889" s="91"/>
      <c r="F889" s="184">
        <v>44574</v>
      </c>
      <c r="G889" s="116" t="s">
        <v>149</v>
      </c>
      <c r="H889" s="93" t="s">
        <v>606</v>
      </c>
      <c r="I889" s="185" t="s">
        <v>607</v>
      </c>
      <c r="J889" s="123">
        <v>610.1</v>
      </c>
      <c r="K889" s="178"/>
      <c r="L889" s="186">
        <v>4000</v>
      </c>
      <c r="M889" s="187"/>
      <c r="N889" s="187"/>
      <c r="O889" s="111"/>
      <c r="P889" s="100" t="str">
        <f t="shared" si="69"/>
        <v>Biaya Rumah Tangga Kantor</v>
      </c>
      <c r="Q889" s="91"/>
      <c r="S889" s="112"/>
      <c r="T889" s="112"/>
      <c r="U889" s="113"/>
      <c r="V889" s="113"/>
      <c r="X889" s="102"/>
    </row>
    <row r="890" spans="1:24" s="101" customFormat="1" ht="30" hidden="1" x14ac:dyDescent="0.25">
      <c r="A890" s="60" t="str">
        <f t="shared" si="67"/>
        <v>5511,04</v>
      </c>
      <c r="B890" s="60">
        <f>COUNTIF($J$7:J890,J890)</f>
        <v>5</v>
      </c>
      <c r="C890" s="60" t="str">
        <f t="shared" si="68"/>
        <v>0</v>
      </c>
      <c r="D890" s="60">
        <f>COUNTIF($K$7:K890,K890)</f>
        <v>0</v>
      </c>
      <c r="E890" s="91"/>
      <c r="F890" s="184">
        <v>44575</v>
      </c>
      <c r="G890" s="116" t="s">
        <v>149</v>
      </c>
      <c r="H890" s="93" t="s">
        <v>608</v>
      </c>
      <c r="I890" s="185" t="s">
        <v>609</v>
      </c>
      <c r="J890" s="117">
        <v>511.04</v>
      </c>
      <c r="K890" s="178"/>
      <c r="L890" s="186">
        <v>60500</v>
      </c>
      <c r="M890" s="187"/>
      <c r="N890" s="187"/>
      <c r="O890" s="111"/>
      <c r="P890" s="100" t="str">
        <f t="shared" si="69"/>
        <v>Biaya pengiriman Via Online (Gojek,Grab), Kuli</v>
      </c>
      <c r="Q890" s="91"/>
      <c r="S890" s="112"/>
      <c r="T890" s="112"/>
      <c r="U890" s="113"/>
      <c r="V890" s="113"/>
      <c r="X890" s="102"/>
    </row>
    <row r="891" spans="1:24" s="101" customFormat="1" hidden="1" x14ac:dyDescent="0.25">
      <c r="A891" s="60" t="str">
        <f t="shared" si="67"/>
        <v>9610,1</v>
      </c>
      <c r="B891" s="60">
        <f>COUNTIF($J$7:J891,J891)</f>
        <v>9</v>
      </c>
      <c r="C891" s="60" t="str">
        <f t="shared" si="68"/>
        <v>0</v>
      </c>
      <c r="D891" s="60">
        <f>COUNTIF($K$7:K891,K891)</f>
        <v>0</v>
      </c>
      <c r="E891" s="91"/>
      <c r="F891" s="184">
        <v>44575</v>
      </c>
      <c r="G891" s="116" t="s">
        <v>149</v>
      </c>
      <c r="H891" s="93" t="s">
        <v>610</v>
      </c>
      <c r="I891" s="185" t="s">
        <v>611</v>
      </c>
      <c r="J891" s="117">
        <v>610.1</v>
      </c>
      <c r="K891" s="178"/>
      <c r="L891" s="186">
        <v>100000</v>
      </c>
      <c r="M891" s="187"/>
      <c r="N891" s="187"/>
      <c r="O891" s="111"/>
      <c r="P891" s="100" t="str">
        <f t="shared" si="69"/>
        <v>Biaya Rumah Tangga Kantor</v>
      </c>
      <c r="Q891" s="91"/>
      <c r="S891" s="112"/>
      <c r="T891" s="112"/>
      <c r="U891" s="113"/>
      <c r="V891" s="113"/>
      <c r="X891" s="102"/>
    </row>
    <row r="892" spans="1:24" s="101" customFormat="1" ht="30" hidden="1" x14ac:dyDescent="0.25">
      <c r="A892" s="60" t="str">
        <f t="shared" si="67"/>
        <v>10610,1</v>
      </c>
      <c r="B892" s="60">
        <f>COUNTIF($J$7:J892,J892)</f>
        <v>10</v>
      </c>
      <c r="C892" s="60" t="str">
        <f t="shared" si="68"/>
        <v>0</v>
      </c>
      <c r="D892" s="60">
        <f>COUNTIF($K$7:K892,K892)</f>
        <v>0</v>
      </c>
      <c r="E892" s="91"/>
      <c r="F892" s="184">
        <v>44578</v>
      </c>
      <c r="G892" s="116" t="s">
        <v>149</v>
      </c>
      <c r="H892" s="93" t="s">
        <v>612</v>
      </c>
      <c r="I892" s="185" t="s">
        <v>613</v>
      </c>
      <c r="J892" s="117">
        <v>610.1</v>
      </c>
      <c r="K892" s="178"/>
      <c r="L892" s="186">
        <v>550000</v>
      </c>
      <c r="M892" s="187"/>
      <c r="N892" s="187"/>
      <c r="O892" s="111"/>
      <c r="P892" s="100" t="str">
        <f t="shared" si="69"/>
        <v>Biaya Rumah Tangga Kantor</v>
      </c>
      <c r="Q892" s="91"/>
      <c r="S892" s="112"/>
      <c r="T892" s="112"/>
      <c r="U892" s="113"/>
      <c r="V892" s="113"/>
      <c r="X892" s="102"/>
    </row>
    <row r="893" spans="1:24" s="101" customFormat="1" ht="30" hidden="1" x14ac:dyDescent="0.25">
      <c r="A893" s="60" t="str">
        <f t="shared" si="67"/>
        <v>11610,1</v>
      </c>
      <c r="B893" s="60">
        <f>COUNTIF($J$7:J893,J893)</f>
        <v>11</v>
      </c>
      <c r="C893" s="60" t="str">
        <f t="shared" si="68"/>
        <v>0</v>
      </c>
      <c r="D893" s="60">
        <f>COUNTIF($K$7:K893,K893)</f>
        <v>0</v>
      </c>
      <c r="E893" s="91"/>
      <c r="F893" s="184">
        <v>44578</v>
      </c>
      <c r="G893" s="116" t="s">
        <v>149</v>
      </c>
      <c r="H893" s="93" t="s">
        <v>614</v>
      </c>
      <c r="I893" s="185" t="s">
        <v>615</v>
      </c>
      <c r="J893" s="117">
        <v>610.1</v>
      </c>
      <c r="K893" s="178"/>
      <c r="L893" s="186">
        <v>9000</v>
      </c>
      <c r="M893" s="187"/>
      <c r="N893" s="187"/>
      <c r="O893" s="111"/>
      <c r="P893" s="100" t="str">
        <f t="shared" si="69"/>
        <v>Biaya Rumah Tangga Kantor</v>
      </c>
      <c r="Q893" s="91"/>
      <c r="S893" s="112"/>
      <c r="T893" s="112"/>
      <c r="U893" s="113"/>
      <c r="V893" s="113"/>
      <c r="X893" s="102"/>
    </row>
    <row r="894" spans="1:24" s="101" customFormat="1" hidden="1" x14ac:dyDescent="0.25">
      <c r="A894" s="60" t="str">
        <f t="shared" si="67"/>
        <v>34220,03</v>
      </c>
      <c r="B894" s="60">
        <f>COUNTIF($J$7:J894,J894)</f>
        <v>34</v>
      </c>
      <c r="C894" s="60" t="str">
        <f t="shared" si="68"/>
        <v>0</v>
      </c>
      <c r="D894" s="60">
        <f>COUNTIF($K$7:K894,K894)</f>
        <v>0</v>
      </c>
      <c r="E894" s="91"/>
      <c r="F894" s="184">
        <v>44582</v>
      </c>
      <c r="G894" s="116" t="s">
        <v>149</v>
      </c>
      <c r="H894" s="93" t="s">
        <v>616</v>
      </c>
      <c r="I894" s="185" t="s">
        <v>571</v>
      </c>
      <c r="J894" s="119">
        <v>220.03</v>
      </c>
      <c r="K894" s="178"/>
      <c r="L894" s="186">
        <v>705000</v>
      </c>
      <c r="M894" s="187"/>
      <c r="N894" s="187"/>
      <c r="O894" s="111"/>
      <c r="P894" s="100" t="str">
        <f t="shared" si="69"/>
        <v>Hutang BIaya</v>
      </c>
      <c r="Q894" s="91"/>
      <c r="S894" s="112"/>
      <c r="T894" s="112"/>
      <c r="U894" s="113"/>
      <c r="V894" s="113"/>
      <c r="X894" s="102"/>
    </row>
    <row r="895" spans="1:24" s="101" customFormat="1" ht="30" hidden="1" x14ac:dyDescent="0.25">
      <c r="A895" s="60" t="str">
        <f t="shared" si="67"/>
        <v>35220,03</v>
      </c>
      <c r="B895" s="60">
        <f>COUNTIF($J$7:J895,J895)</f>
        <v>35</v>
      </c>
      <c r="C895" s="60" t="str">
        <f t="shared" si="68"/>
        <v>0</v>
      </c>
      <c r="D895" s="60">
        <f>COUNTIF($K$7:K895,K895)</f>
        <v>0</v>
      </c>
      <c r="E895" s="91"/>
      <c r="F895" s="184">
        <v>44587</v>
      </c>
      <c r="G895" s="116" t="s">
        <v>149</v>
      </c>
      <c r="H895" s="93" t="s">
        <v>617</v>
      </c>
      <c r="I895" s="192" t="s">
        <v>618</v>
      </c>
      <c r="J895" s="119">
        <v>220.03</v>
      </c>
      <c r="K895" s="178"/>
      <c r="L895" s="186">
        <v>9200</v>
      </c>
      <c r="M895" s="187"/>
      <c r="N895" s="187"/>
      <c r="O895" s="111"/>
      <c r="P895" s="100" t="str">
        <f t="shared" si="69"/>
        <v>Hutang BIaya</v>
      </c>
      <c r="Q895" s="91"/>
      <c r="S895" s="112"/>
      <c r="T895" s="112"/>
      <c r="U895" s="113"/>
      <c r="V895" s="113"/>
      <c r="X895" s="102"/>
    </row>
    <row r="896" spans="1:24" s="101" customFormat="1" ht="30" hidden="1" x14ac:dyDescent="0.25">
      <c r="A896" s="60" t="str">
        <f t="shared" si="67"/>
        <v>5110</v>
      </c>
      <c r="B896" s="60">
        <f>COUNTIF($J$7:J896,J896)</f>
        <v>5</v>
      </c>
      <c r="C896" s="60" t="str">
        <f t="shared" si="68"/>
        <v>0</v>
      </c>
      <c r="D896" s="60">
        <f>COUNTIF($K$7:K896,K896)</f>
        <v>0</v>
      </c>
      <c r="E896" s="91"/>
      <c r="F896" s="184">
        <v>44572</v>
      </c>
      <c r="G896" s="116" t="s">
        <v>149</v>
      </c>
      <c r="H896" s="93" t="s">
        <v>600</v>
      </c>
      <c r="I896" s="185" t="s">
        <v>601</v>
      </c>
      <c r="J896" s="117">
        <v>110</v>
      </c>
      <c r="K896" s="178"/>
      <c r="L896" s="97"/>
      <c r="M896" s="187">
        <v>538400</v>
      </c>
      <c r="N896" s="187"/>
      <c r="O896" s="111"/>
      <c r="P896" s="100" t="str">
        <f t="shared" si="69"/>
        <v xml:space="preserve"> Kas Kecil</v>
      </c>
      <c r="Q896" s="91"/>
      <c r="S896" s="112"/>
      <c r="T896" s="112"/>
      <c r="U896" s="113"/>
      <c r="V896" s="113"/>
      <c r="X896" s="102"/>
    </row>
    <row r="897" spans="1:24" s="101" customFormat="1" ht="30" hidden="1" x14ac:dyDescent="0.25">
      <c r="A897" s="60" t="str">
        <f t="shared" si="67"/>
        <v>6110</v>
      </c>
      <c r="B897" s="60">
        <f>COUNTIF($J$7:J897,J897)</f>
        <v>6</v>
      </c>
      <c r="C897" s="60" t="str">
        <f t="shared" si="68"/>
        <v>0</v>
      </c>
      <c r="D897" s="60">
        <f>COUNTIF($K$7:K897,K897)</f>
        <v>0</v>
      </c>
      <c r="E897" s="91"/>
      <c r="F897" s="184">
        <v>44573</v>
      </c>
      <c r="G897" s="116" t="s">
        <v>149</v>
      </c>
      <c r="H897" s="93" t="s">
        <v>602</v>
      </c>
      <c r="I897" s="185" t="s">
        <v>603</v>
      </c>
      <c r="J897" s="117">
        <v>110</v>
      </c>
      <c r="K897" s="178"/>
      <c r="L897" s="97"/>
      <c r="M897" s="187">
        <v>20000</v>
      </c>
      <c r="N897" s="187"/>
      <c r="O897" s="111"/>
      <c r="P897" s="100" t="str">
        <f t="shared" si="69"/>
        <v xml:space="preserve"> Kas Kecil</v>
      </c>
      <c r="Q897" s="91"/>
      <c r="S897" s="112"/>
      <c r="T897" s="112"/>
      <c r="U897" s="113"/>
      <c r="V897" s="113"/>
      <c r="X897" s="102"/>
    </row>
    <row r="898" spans="1:24" s="101" customFormat="1" ht="30" hidden="1" x14ac:dyDescent="0.25">
      <c r="A898" s="60" t="str">
        <f t="shared" si="67"/>
        <v>7110</v>
      </c>
      <c r="B898" s="60">
        <f>COUNTIF($J$7:J898,J898)</f>
        <v>7</v>
      </c>
      <c r="C898" s="60" t="str">
        <f t="shared" si="68"/>
        <v>0</v>
      </c>
      <c r="D898" s="60">
        <f>COUNTIF($K$7:K898,K898)</f>
        <v>0</v>
      </c>
      <c r="E898" s="91"/>
      <c r="F898" s="184">
        <v>44573</v>
      </c>
      <c r="G898" s="116" t="s">
        <v>149</v>
      </c>
      <c r="H898" s="93" t="s">
        <v>604</v>
      </c>
      <c r="I898" s="185" t="s">
        <v>605</v>
      </c>
      <c r="J898" s="117">
        <v>110</v>
      </c>
      <c r="K898" s="178"/>
      <c r="L898" s="97"/>
      <c r="M898" s="187">
        <v>2000</v>
      </c>
      <c r="N898" s="187"/>
      <c r="O898" s="111"/>
      <c r="P898" s="100" t="str">
        <f t="shared" si="69"/>
        <v xml:space="preserve"> Kas Kecil</v>
      </c>
      <c r="Q898" s="91"/>
      <c r="S898" s="112"/>
      <c r="T898" s="112"/>
      <c r="U898" s="113"/>
      <c r="V898" s="113"/>
      <c r="X898" s="102"/>
    </row>
    <row r="899" spans="1:24" s="101" customFormat="1" ht="30" hidden="1" x14ac:dyDescent="0.25">
      <c r="A899" s="60" t="str">
        <f t="shared" si="67"/>
        <v>8110</v>
      </c>
      <c r="B899" s="60">
        <f>COUNTIF($J$7:J899,J899)</f>
        <v>8</v>
      </c>
      <c r="C899" s="60" t="str">
        <f t="shared" si="68"/>
        <v>0</v>
      </c>
      <c r="D899" s="60">
        <f>COUNTIF($K$7:K899,K899)</f>
        <v>0</v>
      </c>
      <c r="E899" s="91"/>
      <c r="F899" s="184">
        <v>44574</v>
      </c>
      <c r="G899" s="116" t="s">
        <v>149</v>
      </c>
      <c r="H899" s="93" t="s">
        <v>606</v>
      </c>
      <c r="I899" s="185" t="s">
        <v>607</v>
      </c>
      <c r="J899" s="117">
        <v>110</v>
      </c>
      <c r="K899" s="178"/>
      <c r="L899" s="97"/>
      <c r="M899" s="187">
        <v>4000</v>
      </c>
      <c r="N899" s="187"/>
      <c r="O899" s="111"/>
      <c r="P899" s="100" t="str">
        <f t="shared" si="69"/>
        <v xml:space="preserve"> Kas Kecil</v>
      </c>
      <c r="Q899" s="91"/>
      <c r="S899" s="112"/>
      <c r="T899" s="112"/>
      <c r="U899" s="113"/>
      <c r="V899" s="113"/>
      <c r="X899" s="102"/>
    </row>
    <row r="900" spans="1:24" s="101" customFormat="1" ht="30" hidden="1" x14ac:dyDescent="0.25">
      <c r="A900" s="60" t="str">
        <f t="shared" si="67"/>
        <v>9110</v>
      </c>
      <c r="B900" s="60">
        <f>COUNTIF($J$7:J900,J900)</f>
        <v>9</v>
      </c>
      <c r="C900" s="60" t="str">
        <f t="shared" si="68"/>
        <v>0</v>
      </c>
      <c r="D900" s="60">
        <f>COUNTIF($K$7:K900,K900)</f>
        <v>0</v>
      </c>
      <c r="E900" s="91"/>
      <c r="F900" s="184">
        <v>44575</v>
      </c>
      <c r="G900" s="116" t="s">
        <v>149</v>
      </c>
      <c r="H900" s="93" t="s">
        <v>608</v>
      </c>
      <c r="I900" s="185" t="s">
        <v>609</v>
      </c>
      <c r="J900" s="117">
        <v>110</v>
      </c>
      <c r="K900" s="178"/>
      <c r="L900" s="97"/>
      <c r="M900" s="187">
        <v>60500</v>
      </c>
      <c r="N900" s="187"/>
      <c r="O900" s="111"/>
      <c r="P900" s="100" t="str">
        <f t="shared" si="69"/>
        <v xml:space="preserve"> Kas Kecil</v>
      </c>
      <c r="Q900" s="91"/>
      <c r="S900" s="112"/>
      <c r="T900" s="112"/>
      <c r="U900" s="113"/>
      <c r="V900" s="113"/>
      <c r="X900" s="102"/>
    </row>
    <row r="901" spans="1:24" s="101" customFormat="1" hidden="1" x14ac:dyDescent="0.25">
      <c r="A901" s="60" t="str">
        <f t="shared" si="67"/>
        <v>10110</v>
      </c>
      <c r="B901" s="60">
        <f>COUNTIF($J$7:J901,J901)</f>
        <v>10</v>
      </c>
      <c r="C901" s="60" t="str">
        <f t="shared" si="68"/>
        <v>0</v>
      </c>
      <c r="D901" s="60">
        <f>COUNTIF($K$7:K901,K901)</f>
        <v>0</v>
      </c>
      <c r="E901" s="91"/>
      <c r="F901" s="184">
        <v>44575</v>
      </c>
      <c r="G901" s="116" t="s">
        <v>149</v>
      </c>
      <c r="H901" s="93" t="s">
        <v>610</v>
      </c>
      <c r="I901" s="185" t="s">
        <v>611</v>
      </c>
      <c r="J901" s="117">
        <v>110</v>
      </c>
      <c r="K901" s="178"/>
      <c r="L901" s="97"/>
      <c r="M901" s="187">
        <v>100000</v>
      </c>
      <c r="N901" s="187"/>
      <c r="O901" s="111"/>
      <c r="P901" s="100" t="str">
        <f t="shared" si="69"/>
        <v xml:space="preserve"> Kas Kecil</v>
      </c>
      <c r="Q901" s="91"/>
      <c r="S901" s="112"/>
      <c r="T901" s="112"/>
      <c r="U901" s="113"/>
      <c r="V901" s="113"/>
      <c r="X901" s="102"/>
    </row>
    <row r="902" spans="1:24" s="101" customFormat="1" ht="30" hidden="1" x14ac:dyDescent="0.25">
      <c r="A902" s="60" t="str">
        <f t="shared" si="67"/>
        <v>11110</v>
      </c>
      <c r="B902" s="60">
        <f>COUNTIF($J$7:J902,J902)</f>
        <v>11</v>
      </c>
      <c r="C902" s="60" t="str">
        <f t="shared" si="68"/>
        <v>0</v>
      </c>
      <c r="D902" s="60">
        <f>COUNTIF($K$7:K902,K902)</f>
        <v>0</v>
      </c>
      <c r="E902" s="91"/>
      <c r="F902" s="184">
        <v>44578</v>
      </c>
      <c r="G902" s="116" t="s">
        <v>149</v>
      </c>
      <c r="H902" s="93" t="s">
        <v>612</v>
      </c>
      <c r="I902" s="185" t="s">
        <v>613</v>
      </c>
      <c r="J902" s="117">
        <v>110</v>
      </c>
      <c r="K902" s="178"/>
      <c r="L902" s="97"/>
      <c r="M902" s="187">
        <v>550000</v>
      </c>
      <c r="N902" s="187"/>
      <c r="O902" s="111"/>
      <c r="P902" s="100" t="str">
        <f t="shared" si="69"/>
        <v xml:space="preserve"> Kas Kecil</v>
      </c>
      <c r="Q902" s="91"/>
      <c r="S902" s="112"/>
      <c r="T902" s="112"/>
      <c r="U902" s="113"/>
      <c r="V902" s="113"/>
      <c r="X902" s="102"/>
    </row>
    <row r="903" spans="1:24" s="101" customFormat="1" ht="30" hidden="1" x14ac:dyDescent="0.25">
      <c r="A903" s="60" t="str">
        <f t="shared" ref="A903:A966" si="70">B903&amp;J903</f>
        <v>12110</v>
      </c>
      <c r="B903" s="60">
        <f>COUNTIF($J$7:J903,J903)</f>
        <v>12</v>
      </c>
      <c r="C903" s="60" t="str">
        <f t="shared" ref="C903:C966" si="71">D903&amp;K903</f>
        <v>0</v>
      </c>
      <c r="D903" s="60">
        <f>COUNTIF($K$7:K903,K903)</f>
        <v>0</v>
      </c>
      <c r="E903" s="91"/>
      <c r="F903" s="184">
        <v>44578</v>
      </c>
      <c r="G903" s="116" t="s">
        <v>149</v>
      </c>
      <c r="H903" s="93" t="s">
        <v>614</v>
      </c>
      <c r="I903" s="185" t="s">
        <v>615</v>
      </c>
      <c r="J903" s="117">
        <v>110</v>
      </c>
      <c r="K903" s="178"/>
      <c r="L903" s="97"/>
      <c r="M903" s="187">
        <v>9000</v>
      </c>
      <c r="N903" s="187"/>
      <c r="O903" s="111"/>
      <c r="P903" s="100" t="str">
        <f t="shared" ref="P903:P966" si="72">IF(J903=0,"-",+VLOOKUP(J903,DAF_AKUN,2,FALSE))</f>
        <v xml:space="preserve"> Kas Kecil</v>
      </c>
      <c r="Q903" s="91"/>
      <c r="S903" s="112"/>
      <c r="T903" s="112"/>
      <c r="U903" s="113"/>
      <c r="V903" s="113"/>
      <c r="X903" s="102"/>
    </row>
    <row r="904" spans="1:24" s="101" customFormat="1" hidden="1" x14ac:dyDescent="0.25">
      <c r="A904" s="60" t="str">
        <f t="shared" si="70"/>
        <v>13110</v>
      </c>
      <c r="B904" s="60">
        <f>COUNTIF($J$7:J904,J904)</f>
        <v>13</v>
      </c>
      <c r="C904" s="60" t="str">
        <f t="shared" si="71"/>
        <v>0</v>
      </c>
      <c r="D904" s="60">
        <f>COUNTIF($K$7:K904,K904)</f>
        <v>0</v>
      </c>
      <c r="E904" s="91"/>
      <c r="F904" s="184">
        <v>44582</v>
      </c>
      <c r="G904" s="116" t="s">
        <v>149</v>
      </c>
      <c r="H904" s="93" t="s">
        <v>616</v>
      </c>
      <c r="I904" s="185" t="s">
        <v>571</v>
      </c>
      <c r="J904" s="117">
        <v>110</v>
      </c>
      <c r="K904" s="178"/>
      <c r="L904" s="97"/>
      <c r="M904" s="187">
        <v>705000</v>
      </c>
      <c r="N904" s="187"/>
      <c r="O904" s="111"/>
      <c r="P904" s="100" t="str">
        <f t="shared" si="72"/>
        <v xml:space="preserve"> Kas Kecil</v>
      </c>
      <c r="Q904" s="91"/>
      <c r="S904" s="112"/>
      <c r="T904" s="112"/>
      <c r="U904" s="113"/>
      <c r="V904" s="113"/>
      <c r="X904" s="102"/>
    </row>
    <row r="905" spans="1:24" s="101" customFormat="1" ht="30" hidden="1" x14ac:dyDescent="0.25">
      <c r="A905" s="60" t="str">
        <f t="shared" si="70"/>
        <v>14110</v>
      </c>
      <c r="B905" s="60">
        <f>COUNTIF($J$7:J905,J905)</f>
        <v>14</v>
      </c>
      <c r="C905" s="60" t="str">
        <f t="shared" si="71"/>
        <v>0</v>
      </c>
      <c r="D905" s="60">
        <f>COUNTIF($K$7:K905,K905)</f>
        <v>0</v>
      </c>
      <c r="E905" s="91"/>
      <c r="F905" s="184">
        <v>44587</v>
      </c>
      <c r="G905" s="116" t="s">
        <v>149</v>
      </c>
      <c r="H905" s="93" t="s">
        <v>617</v>
      </c>
      <c r="I905" s="192" t="s">
        <v>618</v>
      </c>
      <c r="J905" s="117">
        <v>110</v>
      </c>
      <c r="K905" s="178"/>
      <c r="L905" s="97"/>
      <c r="M905" s="187">
        <v>9200</v>
      </c>
      <c r="N905" s="187"/>
      <c r="O905" s="111"/>
      <c r="P905" s="100" t="str">
        <f t="shared" si="72"/>
        <v xml:space="preserve"> Kas Kecil</v>
      </c>
      <c r="Q905" s="91"/>
      <c r="S905" s="112"/>
      <c r="T905" s="112"/>
      <c r="U905" s="113"/>
      <c r="V905" s="113"/>
      <c r="X905" s="102"/>
    </row>
    <row r="906" spans="1:24" s="101" customFormat="1" hidden="1" x14ac:dyDescent="0.25">
      <c r="A906" s="60" t="str">
        <f t="shared" si="70"/>
        <v>1511,02</v>
      </c>
      <c r="B906" s="60">
        <f>COUNTIF($J$7:J906,J906)</f>
        <v>1</v>
      </c>
      <c r="C906" s="60" t="str">
        <f t="shared" si="71"/>
        <v>0</v>
      </c>
      <c r="D906" s="60">
        <f>COUNTIF($K$7:K906,K906)</f>
        <v>0</v>
      </c>
      <c r="E906" s="91"/>
      <c r="F906" s="193">
        <v>44572</v>
      </c>
      <c r="G906" s="116" t="s">
        <v>149</v>
      </c>
      <c r="H906" s="91" t="s">
        <v>619</v>
      </c>
      <c r="I906" s="126" t="s">
        <v>620</v>
      </c>
      <c r="J906" s="115">
        <v>511.02</v>
      </c>
      <c r="K906" s="178"/>
      <c r="L906" s="194">
        <v>200000</v>
      </c>
      <c r="M906" s="117"/>
      <c r="N906" s="117"/>
      <c r="O906" s="91" t="s">
        <v>621</v>
      </c>
      <c r="P906" s="100" t="str">
        <f t="shared" si="72"/>
        <v>Biaya Loading UnLoading</v>
      </c>
      <c r="Q906" s="91"/>
      <c r="S906" s="112"/>
      <c r="T906" s="112"/>
      <c r="U906" s="113"/>
      <c r="V906" s="113"/>
      <c r="X906" s="102"/>
    </row>
    <row r="907" spans="1:24" s="101" customFormat="1" hidden="1" x14ac:dyDescent="0.25">
      <c r="A907" s="60" t="str">
        <f t="shared" si="70"/>
        <v>2511,02</v>
      </c>
      <c r="B907" s="60">
        <f>COUNTIF($J$7:J907,J907)</f>
        <v>2</v>
      </c>
      <c r="C907" s="60" t="str">
        <f t="shared" si="71"/>
        <v>0</v>
      </c>
      <c r="D907" s="60">
        <f>COUNTIF($K$7:K907,K907)</f>
        <v>0</v>
      </c>
      <c r="E907" s="91"/>
      <c r="F907" s="193">
        <v>44572</v>
      </c>
      <c r="G907" s="116" t="s">
        <v>149</v>
      </c>
      <c r="H907" s="91" t="s">
        <v>619</v>
      </c>
      <c r="I907" s="110" t="s">
        <v>622</v>
      </c>
      <c r="J907" s="115">
        <v>511.02</v>
      </c>
      <c r="K907" s="178"/>
      <c r="L907" s="195">
        <v>50000</v>
      </c>
      <c r="M907" s="117"/>
      <c r="N907" s="117"/>
      <c r="O907" s="91" t="s">
        <v>621</v>
      </c>
      <c r="P907" s="100" t="str">
        <f t="shared" si="72"/>
        <v>Biaya Loading UnLoading</v>
      </c>
      <c r="Q907" s="91"/>
      <c r="S907" s="112"/>
      <c r="T907" s="112"/>
      <c r="U907" s="113"/>
      <c r="V907" s="113"/>
      <c r="X907" s="102"/>
    </row>
    <row r="908" spans="1:24" s="101" customFormat="1" hidden="1" x14ac:dyDescent="0.25">
      <c r="A908" s="60" t="str">
        <f t="shared" si="70"/>
        <v>3511,02</v>
      </c>
      <c r="B908" s="60">
        <f>COUNTIF($J$7:J908,J908)</f>
        <v>3</v>
      </c>
      <c r="C908" s="60" t="str">
        <f t="shared" si="71"/>
        <v>0</v>
      </c>
      <c r="D908" s="60">
        <f>COUNTIF($K$7:K908,K908)</f>
        <v>0</v>
      </c>
      <c r="E908" s="91"/>
      <c r="F908" s="193">
        <v>44572</v>
      </c>
      <c r="G908" s="116" t="s">
        <v>149</v>
      </c>
      <c r="H908" s="91" t="s">
        <v>619</v>
      </c>
      <c r="I908" s="161" t="s">
        <v>623</v>
      </c>
      <c r="J908" s="115">
        <v>511.02</v>
      </c>
      <c r="K908" s="178"/>
      <c r="L908" s="131">
        <v>800000</v>
      </c>
      <c r="M908" s="117"/>
      <c r="N908" s="117"/>
      <c r="O908" s="91" t="s">
        <v>621</v>
      </c>
      <c r="P908" s="100" t="str">
        <f t="shared" si="72"/>
        <v>Biaya Loading UnLoading</v>
      </c>
      <c r="Q908" s="91"/>
      <c r="S908" s="112"/>
      <c r="T908" s="112"/>
      <c r="U908" s="113"/>
      <c r="V908" s="113"/>
      <c r="X908" s="102"/>
    </row>
    <row r="909" spans="1:24" s="101" customFormat="1" hidden="1" x14ac:dyDescent="0.25">
      <c r="A909" s="60" t="str">
        <f t="shared" si="70"/>
        <v>4511,02</v>
      </c>
      <c r="B909" s="60">
        <f>COUNTIF($J$7:J909,J909)</f>
        <v>4</v>
      </c>
      <c r="C909" s="60" t="str">
        <f t="shared" si="71"/>
        <v>0</v>
      </c>
      <c r="D909" s="60">
        <f>COUNTIF($K$7:K909,K909)</f>
        <v>0</v>
      </c>
      <c r="E909" s="91"/>
      <c r="F909" s="193">
        <v>44572</v>
      </c>
      <c r="G909" s="116" t="s">
        <v>149</v>
      </c>
      <c r="H909" s="91" t="s">
        <v>619</v>
      </c>
      <c r="I909" s="126" t="s">
        <v>624</v>
      </c>
      <c r="J909" s="115">
        <v>511.02</v>
      </c>
      <c r="K909" s="178"/>
      <c r="L909" s="194">
        <v>45000</v>
      </c>
      <c r="M909" s="117"/>
      <c r="N909" s="117"/>
      <c r="O909" s="91" t="s">
        <v>621</v>
      </c>
      <c r="P909" s="100" t="str">
        <f t="shared" si="72"/>
        <v>Biaya Loading UnLoading</v>
      </c>
      <c r="Q909" s="91"/>
      <c r="S909" s="112"/>
      <c r="T909" s="112"/>
      <c r="U909" s="113"/>
      <c r="V909" s="113"/>
      <c r="X909" s="102"/>
    </row>
    <row r="910" spans="1:24" s="101" customFormat="1" hidden="1" x14ac:dyDescent="0.25">
      <c r="A910" s="60" t="str">
        <f t="shared" si="70"/>
        <v>5511,02</v>
      </c>
      <c r="B910" s="60">
        <f>COUNTIF($J$7:J910,J910)</f>
        <v>5</v>
      </c>
      <c r="C910" s="60" t="str">
        <f t="shared" si="71"/>
        <v>0</v>
      </c>
      <c r="D910" s="60">
        <f>COUNTIF($K$7:K910,K910)</f>
        <v>0</v>
      </c>
      <c r="E910" s="91"/>
      <c r="F910" s="193">
        <v>44572</v>
      </c>
      <c r="G910" s="116" t="s">
        <v>149</v>
      </c>
      <c r="H910" s="91" t="s">
        <v>619</v>
      </c>
      <c r="I910" s="110" t="s">
        <v>625</v>
      </c>
      <c r="J910" s="115">
        <v>511.02</v>
      </c>
      <c r="K910" s="178"/>
      <c r="L910" s="195">
        <v>135000</v>
      </c>
      <c r="M910" s="117"/>
      <c r="N910" s="117"/>
      <c r="O910" s="91" t="s">
        <v>621</v>
      </c>
      <c r="P910" s="100" t="str">
        <f t="shared" si="72"/>
        <v>Biaya Loading UnLoading</v>
      </c>
      <c r="Q910" s="91"/>
      <c r="S910" s="112"/>
      <c r="T910" s="112"/>
      <c r="U910" s="113"/>
      <c r="V910" s="113"/>
      <c r="X910" s="102"/>
    </row>
    <row r="911" spans="1:24" s="101" customFormat="1" hidden="1" x14ac:dyDescent="0.25">
      <c r="A911" s="60" t="str">
        <f t="shared" si="70"/>
        <v>6511,02</v>
      </c>
      <c r="B911" s="60">
        <f>COUNTIF($J$7:J911,J911)</f>
        <v>6</v>
      </c>
      <c r="C911" s="60" t="str">
        <f t="shared" si="71"/>
        <v>0</v>
      </c>
      <c r="D911" s="60">
        <f>COUNTIF($K$7:K911,K911)</f>
        <v>0</v>
      </c>
      <c r="E911" s="91"/>
      <c r="F911" s="193">
        <v>44572</v>
      </c>
      <c r="G911" s="116" t="s">
        <v>149</v>
      </c>
      <c r="H911" s="91" t="s">
        <v>619</v>
      </c>
      <c r="I911" s="161" t="s">
        <v>626</v>
      </c>
      <c r="J911" s="115">
        <v>511.02</v>
      </c>
      <c r="K911" s="178"/>
      <c r="L911" s="131">
        <v>1050000</v>
      </c>
      <c r="M911" s="117"/>
      <c r="N911" s="117"/>
      <c r="O911" s="91" t="s">
        <v>621</v>
      </c>
      <c r="P911" s="100" t="str">
        <f t="shared" si="72"/>
        <v>Biaya Loading UnLoading</v>
      </c>
      <c r="Q911" s="91"/>
      <c r="S911" s="112"/>
      <c r="T911" s="112"/>
      <c r="U911" s="113"/>
      <c r="V911" s="113"/>
      <c r="X911" s="102"/>
    </row>
    <row r="912" spans="1:24" s="101" customFormat="1" hidden="1" x14ac:dyDescent="0.25">
      <c r="A912" s="60" t="str">
        <f t="shared" si="70"/>
        <v>7511,02</v>
      </c>
      <c r="B912" s="60">
        <f>COUNTIF($J$7:J912,J912)</f>
        <v>7</v>
      </c>
      <c r="C912" s="60" t="str">
        <f t="shared" si="71"/>
        <v>0</v>
      </c>
      <c r="D912" s="60">
        <f>COUNTIF($K$7:K912,K912)</f>
        <v>0</v>
      </c>
      <c r="E912" s="91"/>
      <c r="F912" s="193">
        <v>44572</v>
      </c>
      <c r="G912" s="116" t="s">
        <v>149</v>
      </c>
      <c r="H912" s="91" t="s">
        <v>619</v>
      </c>
      <c r="I912" s="126" t="s">
        <v>627</v>
      </c>
      <c r="J912" s="115">
        <v>511.02</v>
      </c>
      <c r="K912" s="178"/>
      <c r="L912" s="194">
        <v>50000</v>
      </c>
      <c r="M912" s="117"/>
      <c r="N912" s="117"/>
      <c r="O912" s="91" t="s">
        <v>621</v>
      </c>
      <c r="P912" s="100" t="str">
        <f t="shared" si="72"/>
        <v>Biaya Loading UnLoading</v>
      </c>
      <c r="Q912" s="91"/>
      <c r="S912" s="112"/>
      <c r="T912" s="112"/>
      <c r="U912" s="113"/>
      <c r="V912" s="113"/>
      <c r="X912" s="102"/>
    </row>
    <row r="913" spans="1:24" s="101" customFormat="1" hidden="1" x14ac:dyDescent="0.25">
      <c r="A913" s="60" t="str">
        <f t="shared" si="70"/>
        <v>8511,02</v>
      </c>
      <c r="B913" s="60">
        <f>COUNTIF($J$7:J913,J913)</f>
        <v>8</v>
      </c>
      <c r="C913" s="60" t="str">
        <f t="shared" si="71"/>
        <v>0</v>
      </c>
      <c r="D913" s="60">
        <f>COUNTIF($K$7:K913,K913)</f>
        <v>0</v>
      </c>
      <c r="E913" s="91"/>
      <c r="F913" s="193">
        <v>44572</v>
      </c>
      <c r="G913" s="116" t="s">
        <v>149</v>
      </c>
      <c r="H913" s="91" t="s">
        <v>619</v>
      </c>
      <c r="I913" s="161" t="s">
        <v>628</v>
      </c>
      <c r="J913" s="115">
        <v>511.02</v>
      </c>
      <c r="K913" s="178"/>
      <c r="L913" s="131">
        <v>50000</v>
      </c>
      <c r="M913" s="117"/>
      <c r="N913" s="117"/>
      <c r="O913" s="91" t="s">
        <v>621</v>
      </c>
      <c r="P913" s="100" t="str">
        <f t="shared" si="72"/>
        <v>Biaya Loading UnLoading</v>
      </c>
      <c r="Q913" s="91"/>
      <c r="S913" s="112"/>
      <c r="T913" s="112"/>
      <c r="U913" s="113"/>
      <c r="V913" s="113"/>
      <c r="X913" s="102"/>
    </row>
    <row r="914" spans="1:24" s="101" customFormat="1" hidden="1" x14ac:dyDescent="0.25">
      <c r="A914" s="60" t="str">
        <f t="shared" si="70"/>
        <v>19119</v>
      </c>
      <c r="B914" s="60">
        <f>COUNTIF($J$7:J914,J914)</f>
        <v>19</v>
      </c>
      <c r="C914" s="60" t="str">
        <f t="shared" si="71"/>
        <v>7119,01</v>
      </c>
      <c r="D914" s="60">
        <f>COUNTIF($K$7:K914,K914)</f>
        <v>7</v>
      </c>
      <c r="E914" s="91"/>
      <c r="F914" s="193">
        <v>44572</v>
      </c>
      <c r="G914" s="116" t="s">
        <v>149</v>
      </c>
      <c r="H914" s="91" t="s">
        <v>619</v>
      </c>
      <c r="I914" s="126" t="s">
        <v>629</v>
      </c>
      <c r="J914" s="129">
        <v>119</v>
      </c>
      <c r="K914" s="108">
        <v>119.01</v>
      </c>
      <c r="L914" s="97"/>
      <c r="M914" s="187">
        <v>2300000</v>
      </c>
      <c r="N914" s="187"/>
      <c r="O914" s="111">
        <f>M914-SUM(L906:L913)</f>
        <v>-80000</v>
      </c>
      <c r="P914" s="100" t="str">
        <f t="shared" si="72"/>
        <v>Uang Muka Biaya Pengiriman dan Perjalanan Dinas Marketing</v>
      </c>
      <c r="Q914" s="91"/>
      <c r="S914" s="112"/>
      <c r="T914" s="112"/>
      <c r="U914" s="113"/>
      <c r="V914" s="113"/>
      <c r="X914" s="102"/>
    </row>
    <row r="915" spans="1:24" s="101" customFormat="1" hidden="1" x14ac:dyDescent="0.25">
      <c r="A915" s="60" t="str">
        <f t="shared" si="70"/>
        <v>6511,04</v>
      </c>
      <c r="B915" s="60">
        <f>COUNTIF($J$7:J915,J915)</f>
        <v>6</v>
      </c>
      <c r="C915" s="60" t="str">
        <f t="shared" si="71"/>
        <v>0</v>
      </c>
      <c r="D915" s="60">
        <f>COUNTIF($K$7:K915,K915)</f>
        <v>0</v>
      </c>
      <c r="E915" s="91"/>
      <c r="F915" s="193">
        <v>44572</v>
      </c>
      <c r="G915" s="116" t="s">
        <v>149</v>
      </c>
      <c r="H915" s="91" t="s">
        <v>619</v>
      </c>
      <c r="I915" s="110" t="s">
        <v>630</v>
      </c>
      <c r="J915" s="115">
        <v>511.04</v>
      </c>
      <c r="K915" s="178"/>
      <c r="L915" s="196">
        <v>210000</v>
      </c>
      <c r="M915" s="117"/>
      <c r="N915" s="117"/>
      <c r="O915" s="91" t="s">
        <v>621</v>
      </c>
      <c r="P915" s="100" t="str">
        <f t="shared" si="72"/>
        <v>Biaya pengiriman Via Online (Gojek,Grab), Kuli</v>
      </c>
      <c r="Q915" s="91"/>
      <c r="S915" s="112"/>
      <c r="T915" s="112"/>
      <c r="U915" s="113"/>
      <c r="V915" s="113"/>
      <c r="X915" s="102"/>
    </row>
    <row r="916" spans="1:24" s="101" customFormat="1" hidden="1" x14ac:dyDescent="0.25">
      <c r="A916" s="60" t="str">
        <f t="shared" si="70"/>
        <v>14511,03</v>
      </c>
      <c r="B916" s="60">
        <f>COUNTIF($J$7:J916,J916)</f>
        <v>14</v>
      </c>
      <c r="C916" s="60" t="str">
        <f t="shared" si="71"/>
        <v>0</v>
      </c>
      <c r="D916" s="60">
        <f>COUNTIF($K$7:K916,K916)</f>
        <v>0</v>
      </c>
      <c r="E916" s="91"/>
      <c r="F916" s="193">
        <v>44572</v>
      </c>
      <c r="G916" s="116" t="s">
        <v>149</v>
      </c>
      <c r="H916" s="91" t="s">
        <v>619</v>
      </c>
      <c r="I916" s="161" t="s">
        <v>631</v>
      </c>
      <c r="J916" s="123">
        <v>511.03</v>
      </c>
      <c r="K916" s="178"/>
      <c r="L916" s="197">
        <v>176000</v>
      </c>
      <c r="M916" s="117"/>
      <c r="N916" s="117"/>
      <c r="O916" s="91" t="s">
        <v>621</v>
      </c>
      <c r="P916" s="100" t="str">
        <f t="shared" si="72"/>
        <v>Biaya Pengiriman Barang Ekspedisi</v>
      </c>
      <c r="Q916" s="91"/>
      <c r="S916" s="112"/>
      <c r="T916" s="112"/>
      <c r="U916" s="113"/>
      <c r="V916" s="113"/>
      <c r="X916" s="102"/>
    </row>
    <row r="917" spans="1:24" s="101" customFormat="1" hidden="1" x14ac:dyDescent="0.25">
      <c r="A917" s="60" t="str">
        <f t="shared" si="70"/>
        <v>5511,05</v>
      </c>
      <c r="B917" s="60">
        <f>COUNTIF($J$7:J917,J917)</f>
        <v>5</v>
      </c>
      <c r="C917" s="60" t="str">
        <f t="shared" si="71"/>
        <v>0</v>
      </c>
      <c r="D917" s="60">
        <f>COUNTIF($K$7:K917,K917)</f>
        <v>0</v>
      </c>
      <c r="E917" s="91"/>
      <c r="F917" s="193">
        <v>44572</v>
      </c>
      <c r="G917" s="116" t="s">
        <v>149</v>
      </c>
      <c r="H917" s="91" t="s">
        <v>619</v>
      </c>
      <c r="I917" s="126" t="s">
        <v>632</v>
      </c>
      <c r="J917" s="115">
        <v>511.05</v>
      </c>
      <c r="K917" s="178"/>
      <c r="L917" s="198">
        <v>4000</v>
      </c>
      <c r="M917" s="117"/>
      <c r="N917" s="117"/>
      <c r="O917" s="91" t="s">
        <v>621</v>
      </c>
      <c r="P917" s="100" t="str">
        <f t="shared" si="72"/>
        <v>Biaya Transport Pengiriman Bensin, Parkir, Tol</v>
      </c>
      <c r="Q917" s="91"/>
      <c r="S917" s="112"/>
      <c r="T917" s="112"/>
      <c r="U917" s="113"/>
      <c r="V917" s="113"/>
      <c r="X917" s="102"/>
    </row>
    <row r="918" spans="1:24" s="101" customFormat="1" hidden="1" x14ac:dyDescent="0.25">
      <c r="A918" s="60" t="str">
        <f t="shared" si="70"/>
        <v>6511,05</v>
      </c>
      <c r="B918" s="60">
        <f>COUNTIF($J$7:J918,J918)</f>
        <v>6</v>
      </c>
      <c r="C918" s="60" t="str">
        <f t="shared" si="71"/>
        <v>0</v>
      </c>
      <c r="D918" s="60">
        <f>COUNTIF($K$7:K918,K918)</f>
        <v>0</v>
      </c>
      <c r="E918" s="91"/>
      <c r="F918" s="193">
        <v>44572</v>
      </c>
      <c r="G918" s="116" t="s">
        <v>149</v>
      </c>
      <c r="H918" s="91" t="s">
        <v>619</v>
      </c>
      <c r="I918" s="126" t="s">
        <v>633</v>
      </c>
      <c r="J918" s="115">
        <v>511.05</v>
      </c>
      <c r="K918" s="178"/>
      <c r="L918" s="198">
        <v>8000</v>
      </c>
      <c r="M918" s="117"/>
      <c r="N918" s="117"/>
      <c r="O918" s="91" t="s">
        <v>621</v>
      </c>
      <c r="P918" s="100" t="str">
        <f t="shared" si="72"/>
        <v>Biaya Transport Pengiriman Bensin, Parkir, Tol</v>
      </c>
      <c r="Q918" s="91"/>
      <c r="S918" s="112"/>
      <c r="T918" s="112"/>
      <c r="U918" s="113"/>
      <c r="V918" s="113"/>
      <c r="X918" s="102"/>
    </row>
    <row r="919" spans="1:24" s="101" customFormat="1" hidden="1" x14ac:dyDescent="0.25">
      <c r="A919" s="60" t="str">
        <f t="shared" si="70"/>
        <v>7511,04</v>
      </c>
      <c r="B919" s="60">
        <f>COUNTIF($J$7:J919,J919)</f>
        <v>7</v>
      </c>
      <c r="C919" s="60" t="str">
        <f t="shared" si="71"/>
        <v>0</v>
      </c>
      <c r="D919" s="60">
        <f>COUNTIF($K$7:K919,K919)</f>
        <v>0</v>
      </c>
      <c r="E919" s="91"/>
      <c r="F919" s="193">
        <v>44572</v>
      </c>
      <c r="G919" s="116" t="s">
        <v>149</v>
      </c>
      <c r="H919" s="91" t="s">
        <v>619</v>
      </c>
      <c r="I919" s="126" t="s">
        <v>634</v>
      </c>
      <c r="J919" s="123">
        <v>511.04</v>
      </c>
      <c r="K919" s="178"/>
      <c r="L919" s="198">
        <v>10000</v>
      </c>
      <c r="M919" s="117"/>
      <c r="N919" s="117"/>
      <c r="O919" s="91" t="s">
        <v>621</v>
      </c>
      <c r="P919" s="100" t="str">
        <f t="shared" si="72"/>
        <v>Biaya pengiriman Via Online (Gojek,Grab), Kuli</v>
      </c>
      <c r="Q919" s="91"/>
      <c r="S919" s="112"/>
      <c r="T919" s="112"/>
      <c r="U919" s="113"/>
      <c r="V919" s="113"/>
      <c r="X919" s="102"/>
    </row>
    <row r="920" spans="1:24" s="101" customFormat="1" hidden="1" x14ac:dyDescent="0.25">
      <c r="A920" s="60" t="str">
        <f t="shared" si="70"/>
        <v>15511,03</v>
      </c>
      <c r="B920" s="60">
        <f>COUNTIF($J$7:J920,J920)</f>
        <v>15</v>
      </c>
      <c r="C920" s="60" t="str">
        <f t="shared" si="71"/>
        <v>0</v>
      </c>
      <c r="D920" s="60">
        <f>COUNTIF($K$7:K920,K920)</f>
        <v>0</v>
      </c>
      <c r="E920" s="91"/>
      <c r="F920" s="193">
        <v>44572</v>
      </c>
      <c r="G920" s="116" t="s">
        <v>149</v>
      </c>
      <c r="H920" s="91" t="s">
        <v>619</v>
      </c>
      <c r="I920" s="161" t="s">
        <v>635</v>
      </c>
      <c r="J920" s="123">
        <v>511.03</v>
      </c>
      <c r="K920" s="178"/>
      <c r="L920" s="197">
        <v>97000</v>
      </c>
      <c r="M920" s="165"/>
      <c r="N920" s="165"/>
      <c r="O920" s="91" t="s">
        <v>621</v>
      </c>
      <c r="P920" s="100" t="str">
        <f t="shared" si="72"/>
        <v>Biaya Pengiriman Barang Ekspedisi</v>
      </c>
      <c r="Q920" s="91"/>
      <c r="S920" s="112"/>
      <c r="T920" s="112"/>
      <c r="X920" s="102"/>
    </row>
    <row r="921" spans="1:24" s="101" customFormat="1" hidden="1" x14ac:dyDescent="0.25">
      <c r="A921" s="60" t="str">
        <f t="shared" si="70"/>
        <v>7511,05</v>
      </c>
      <c r="B921" s="60">
        <f>COUNTIF($J$7:J921,J921)</f>
        <v>7</v>
      </c>
      <c r="C921" s="60" t="str">
        <f t="shared" si="71"/>
        <v>0</v>
      </c>
      <c r="D921" s="60">
        <f>COUNTIF($K$7:K921,K921)</f>
        <v>0</v>
      </c>
      <c r="E921" s="91"/>
      <c r="F921" s="193">
        <v>44572</v>
      </c>
      <c r="G921" s="116" t="s">
        <v>149</v>
      </c>
      <c r="H921" s="91" t="s">
        <v>619</v>
      </c>
      <c r="I921" s="126" t="s">
        <v>636</v>
      </c>
      <c r="J921" s="115">
        <v>511.05</v>
      </c>
      <c r="K921" s="178"/>
      <c r="L921" s="198">
        <v>20000</v>
      </c>
      <c r="M921" s="165"/>
      <c r="N921" s="165"/>
      <c r="O921" s="91" t="s">
        <v>621</v>
      </c>
      <c r="P921" s="100" t="str">
        <f t="shared" si="72"/>
        <v>Biaya Transport Pengiriman Bensin, Parkir, Tol</v>
      </c>
      <c r="Q921" s="91"/>
      <c r="S921" s="112"/>
      <c r="T921" s="112"/>
      <c r="X921" s="102"/>
    </row>
    <row r="922" spans="1:24" s="101" customFormat="1" hidden="1" x14ac:dyDescent="0.25">
      <c r="A922" s="60" t="str">
        <f t="shared" si="70"/>
        <v>8511,04</v>
      </c>
      <c r="B922" s="60">
        <f>COUNTIF($J$7:J922,J922)</f>
        <v>8</v>
      </c>
      <c r="C922" s="60" t="str">
        <f t="shared" si="71"/>
        <v>0</v>
      </c>
      <c r="D922" s="60">
        <f>COUNTIF($K$7:K922,K922)</f>
        <v>0</v>
      </c>
      <c r="E922" s="91"/>
      <c r="F922" s="193">
        <v>44572</v>
      </c>
      <c r="G922" s="116" t="s">
        <v>149</v>
      </c>
      <c r="H922" s="91" t="s">
        <v>619</v>
      </c>
      <c r="I922" s="161" t="s">
        <v>637</v>
      </c>
      <c r="J922" s="115">
        <v>511.04</v>
      </c>
      <c r="K922" s="178"/>
      <c r="L922" s="197">
        <v>210000</v>
      </c>
      <c r="M922" s="165"/>
      <c r="N922" s="165"/>
      <c r="O922" s="91" t="s">
        <v>621</v>
      </c>
      <c r="P922" s="100" t="str">
        <f t="shared" si="72"/>
        <v>Biaya pengiriman Via Online (Gojek,Grab), Kuli</v>
      </c>
      <c r="Q922" s="91"/>
      <c r="S922" s="112"/>
      <c r="T922" s="112"/>
      <c r="X922" s="102"/>
    </row>
    <row r="923" spans="1:24" s="101" customFormat="1" hidden="1" x14ac:dyDescent="0.25">
      <c r="A923" s="60" t="str">
        <f t="shared" si="70"/>
        <v>16511,03</v>
      </c>
      <c r="B923" s="60">
        <f>COUNTIF($J$7:J923,J923)</f>
        <v>16</v>
      </c>
      <c r="C923" s="60" t="str">
        <f t="shared" si="71"/>
        <v>0</v>
      </c>
      <c r="D923" s="60">
        <f>COUNTIF($K$7:K923,K923)</f>
        <v>0</v>
      </c>
      <c r="E923" s="91"/>
      <c r="F923" s="193">
        <v>44572</v>
      </c>
      <c r="G923" s="116" t="s">
        <v>149</v>
      </c>
      <c r="H923" s="91" t="s">
        <v>619</v>
      </c>
      <c r="I923" s="161" t="s">
        <v>638</v>
      </c>
      <c r="J923" s="123">
        <v>511.03</v>
      </c>
      <c r="K923" s="178"/>
      <c r="L923" s="197">
        <v>212000</v>
      </c>
      <c r="M923" s="165"/>
      <c r="N923" s="165"/>
      <c r="O923" s="91" t="s">
        <v>621</v>
      </c>
      <c r="P923" s="100" t="str">
        <f t="shared" si="72"/>
        <v>Biaya Pengiriman Barang Ekspedisi</v>
      </c>
      <c r="Q923" s="91"/>
      <c r="S923" s="112"/>
      <c r="T923" s="112"/>
      <c r="X923" s="102"/>
    </row>
    <row r="924" spans="1:24" s="101" customFormat="1" hidden="1" x14ac:dyDescent="0.25">
      <c r="A924" s="60" t="str">
        <f t="shared" si="70"/>
        <v>8511,05</v>
      </c>
      <c r="B924" s="60">
        <f>COUNTIF($J$7:J924,J924)</f>
        <v>8</v>
      </c>
      <c r="C924" s="60" t="str">
        <f t="shared" si="71"/>
        <v>0</v>
      </c>
      <c r="D924" s="60">
        <f>COUNTIF($K$7:K924,K924)</f>
        <v>0</v>
      </c>
      <c r="E924" s="91"/>
      <c r="F924" s="193">
        <v>44572</v>
      </c>
      <c r="G924" s="116" t="s">
        <v>149</v>
      </c>
      <c r="H924" s="91" t="s">
        <v>619</v>
      </c>
      <c r="I924" s="161" t="s">
        <v>632</v>
      </c>
      <c r="J924" s="115">
        <v>511.05</v>
      </c>
      <c r="K924" s="178"/>
      <c r="L924" s="197">
        <v>4000</v>
      </c>
      <c r="M924" s="165"/>
      <c r="N924" s="165"/>
      <c r="O924" s="91" t="s">
        <v>621</v>
      </c>
      <c r="P924" s="100" t="str">
        <f t="shared" si="72"/>
        <v>Biaya Transport Pengiriman Bensin, Parkir, Tol</v>
      </c>
      <c r="Q924" s="91"/>
      <c r="S924" s="112"/>
      <c r="T924" s="112"/>
      <c r="X924" s="102"/>
    </row>
    <row r="925" spans="1:24" s="101" customFormat="1" hidden="1" x14ac:dyDescent="0.25">
      <c r="A925" s="60" t="str">
        <f t="shared" si="70"/>
        <v>9511,05</v>
      </c>
      <c r="B925" s="60">
        <f>COUNTIF($J$7:J925,J925)</f>
        <v>9</v>
      </c>
      <c r="C925" s="60" t="str">
        <f t="shared" si="71"/>
        <v>0</v>
      </c>
      <c r="D925" s="60">
        <f>COUNTIF($K$7:K925,K925)</f>
        <v>0</v>
      </c>
      <c r="E925" s="91"/>
      <c r="F925" s="193">
        <v>44572</v>
      </c>
      <c r="G925" s="116" t="s">
        <v>149</v>
      </c>
      <c r="H925" s="91" t="s">
        <v>619</v>
      </c>
      <c r="I925" s="161" t="s">
        <v>633</v>
      </c>
      <c r="J925" s="115">
        <v>511.05</v>
      </c>
      <c r="K925" s="178"/>
      <c r="L925" s="197">
        <v>8000</v>
      </c>
      <c r="M925" s="165"/>
      <c r="N925" s="165"/>
      <c r="O925" s="91" t="s">
        <v>621</v>
      </c>
      <c r="P925" s="100" t="str">
        <f t="shared" si="72"/>
        <v>Biaya Transport Pengiriman Bensin, Parkir, Tol</v>
      </c>
      <c r="Q925" s="91"/>
      <c r="S925" s="112"/>
      <c r="T925" s="112"/>
      <c r="X925" s="102"/>
    </row>
    <row r="926" spans="1:24" s="101" customFormat="1" hidden="1" x14ac:dyDescent="0.25">
      <c r="A926" s="60" t="str">
        <f t="shared" si="70"/>
        <v>10511,05</v>
      </c>
      <c r="B926" s="60">
        <f>COUNTIF($J$7:J926,J926)</f>
        <v>10</v>
      </c>
      <c r="C926" s="60" t="str">
        <f t="shared" si="71"/>
        <v>0</v>
      </c>
      <c r="D926" s="60">
        <f>COUNTIF($K$7:K926,K926)</f>
        <v>0</v>
      </c>
      <c r="E926" s="91"/>
      <c r="F926" s="193">
        <v>44572</v>
      </c>
      <c r="G926" s="116" t="s">
        <v>149</v>
      </c>
      <c r="H926" s="91" t="s">
        <v>619</v>
      </c>
      <c r="I926" s="161" t="s">
        <v>632</v>
      </c>
      <c r="J926" s="115">
        <v>511.05</v>
      </c>
      <c r="K926" s="178"/>
      <c r="L926" s="197">
        <v>4000</v>
      </c>
      <c r="M926" s="165"/>
      <c r="N926" s="165"/>
      <c r="O926" s="91" t="s">
        <v>621</v>
      </c>
      <c r="P926" s="100" t="str">
        <f t="shared" si="72"/>
        <v>Biaya Transport Pengiriman Bensin, Parkir, Tol</v>
      </c>
      <c r="Q926" s="91"/>
      <c r="S926" s="112"/>
      <c r="T926" s="112"/>
      <c r="X926" s="102"/>
    </row>
    <row r="927" spans="1:24" s="101" customFormat="1" hidden="1" x14ac:dyDescent="0.25">
      <c r="A927" s="60" t="str">
        <f t="shared" si="70"/>
        <v>11511,05</v>
      </c>
      <c r="B927" s="60">
        <f>COUNTIF($J$7:J927,J927)</f>
        <v>11</v>
      </c>
      <c r="C927" s="60" t="str">
        <f t="shared" si="71"/>
        <v>0</v>
      </c>
      <c r="D927" s="60">
        <f>COUNTIF($K$7:K927,K927)</f>
        <v>0</v>
      </c>
      <c r="E927" s="91"/>
      <c r="F927" s="193">
        <v>44572</v>
      </c>
      <c r="G927" s="116" t="s">
        <v>149</v>
      </c>
      <c r="H927" s="91" t="s">
        <v>619</v>
      </c>
      <c r="I927" s="161" t="s">
        <v>636</v>
      </c>
      <c r="J927" s="115">
        <v>511.05</v>
      </c>
      <c r="K927" s="178"/>
      <c r="L927" s="197">
        <v>20000</v>
      </c>
      <c r="M927" s="165"/>
      <c r="N927" s="165"/>
      <c r="O927" s="91" t="s">
        <v>621</v>
      </c>
      <c r="P927" s="100" t="str">
        <f t="shared" si="72"/>
        <v>Biaya Transport Pengiriman Bensin, Parkir, Tol</v>
      </c>
      <c r="Q927" s="91"/>
      <c r="S927" s="112"/>
      <c r="T927" s="112"/>
      <c r="X927" s="102"/>
    </row>
    <row r="928" spans="1:24" s="101" customFormat="1" hidden="1" x14ac:dyDescent="0.25">
      <c r="A928" s="60" t="str">
        <f t="shared" si="70"/>
        <v>12511,05</v>
      </c>
      <c r="B928" s="60">
        <f>COUNTIF($J$7:J928,J928)</f>
        <v>12</v>
      </c>
      <c r="C928" s="60" t="str">
        <f t="shared" si="71"/>
        <v>0</v>
      </c>
      <c r="D928" s="60">
        <f>COUNTIF($K$7:K928,K928)</f>
        <v>0</v>
      </c>
      <c r="E928" s="91"/>
      <c r="F928" s="193">
        <v>44572</v>
      </c>
      <c r="G928" s="116" t="s">
        <v>149</v>
      </c>
      <c r="H928" s="91" t="s">
        <v>619</v>
      </c>
      <c r="I928" s="161" t="s">
        <v>636</v>
      </c>
      <c r="J928" s="115">
        <v>511.05</v>
      </c>
      <c r="K928" s="178"/>
      <c r="L928" s="197">
        <v>20000</v>
      </c>
      <c r="M928" s="165"/>
      <c r="N928" s="165"/>
      <c r="O928" s="91" t="s">
        <v>621</v>
      </c>
      <c r="P928" s="100" t="str">
        <f t="shared" si="72"/>
        <v>Biaya Transport Pengiriman Bensin, Parkir, Tol</v>
      </c>
      <c r="Q928" s="91"/>
      <c r="S928" s="112"/>
      <c r="T928" s="112"/>
      <c r="X928" s="102"/>
    </row>
    <row r="929" spans="1:24" s="101" customFormat="1" hidden="1" x14ac:dyDescent="0.25">
      <c r="A929" s="60" t="str">
        <f t="shared" si="70"/>
        <v>17511,03</v>
      </c>
      <c r="B929" s="60">
        <f>COUNTIF($J$7:J929,J929)</f>
        <v>17</v>
      </c>
      <c r="C929" s="60" t="str">
        <f t="shared" si="71"/>
        <v>0</v>
      </c>
      <c r="D929" s="60">
        <f>COUNTIF($K$7:K929,K929)</f>
        <v>0</v>
      </c>
      <c r="E929" s="91"/>
      <c r="F929" s="193">
        <v>44572</v>
      </c>
      <c r="G929" s="116" t="s">
        <v>149</v>
      </c>
      <c r="H929" s="91" t="s">
        <v>619</v>
      </c>
      <c r="I929" s="161" t="s">
        <v>639</v>
      </c>
      <c r="J929" s="123">
        <v>511.03</v>
      </c>
      <c r="K929" s="178"/>
      <c r="L929" s="197">
        <v>344000</v>
      </c>
      <c r="M929" s="165"/>
      <c r="N929" s="165"/>
      <c r="O929" s="91" t="s">
        <v>621</v>
      </c>
      <c r="P929" s="100" t="str">
        <f t="shared" si="72"/>
        <v>Biaya Pengiriman Barang Ekspedisi</v>
      </c>
      <c r="Q929" s="91"/>
      <c r="S929" s="112"/>
      <c r="T929" s="112"/>
      <c r="X929" s="102"/>
    </row>
    <row r="930" spans="1:24" s="101" customFormat="1" hidden="1" x14ac:dyDescent="0.25">
      <c r="A930" s="60" t="str">
        <f t="shared" si="70"/>
        <v>12610,1</v>
      </c>
      <c r="B930" s="60">
        <f>COUNTIF($J$7:J930,J930)</f>
        <v>12</v>
      </c>
      <c r="C930" s="60" t="str">
        <f t="shared" si="71"/>
        <v>0</v>
      </c>
      <c r="D930" s="60">
        <f>COUNTIF($K$7:K930,K930)</f>
        <v>0</v>
      </c>
      <c r="E930" s="91"/>
      <c r="F930" s="193">
        <v>44572</v>
      </c>
      <c r="G930" s="116" t="s">
        <v>149</v>
      </c>
      <c r="H930" s="91" t="s">
        <v>619</v>
      </c>
      <c r="I930" s="161" t="s">
        <v>640</v>
      </c>
      <c r="J930" s="123">
        <v>610.1</v>
      </c>
      <c r="K930" s="178"/>
      <c r="L930" s="197">
        <v>36000</v>
      </c>
      <c r="M930" s="165"/>
      <c r="N930" s="165"/>
      <c r="O930" s="91" t="s">
        <v>621</v>
      </c>
      <c r="P930" s="100" t="str">
        <f t="shared" si="72"/>
        <v>Biaya Rumah Tangga Kantor</v>
      </c>
      <c r="Q930" s="91"/>
      <c r="S930" s="112"/>
      <c r="T930" s="112"/>
      <c r="X930" s="102"/>
    </row>
    <row r="931" spans="1:24" s="101" customFormat="1" hidden="1" x14ac:dyDescent="0.25">
      <c r="A931" s="60" t="str">
        <f t="shared" si="70"/>
        <v>9511,04</v>
      </c>
      <c r="B931" s="60">
        <f>COUNTIF($J$7:J931,J931)</f>
        <v>9</v>
      </c>
      <c r="C931" s="60" t="str">
        <f t="shared" si="71"/>
        <v>0</v>
      </c>
      <c r="D931" s="60">
        <f>COUNTIF($K$7:K931,K931)</f>
        <v>0</v>
      </c>
      <c r="E931" s="91"/>
      <c r="F931" s="193">
        <v>44572</v>
      </c>
      <c r="G931" s="116" t="s">
        <v>149</v>
      </c>
      <c r="H931" s="91" t="s">
        <v>619</v>
      </c>
      <c r="I931" s="126" t="s">
        <v>641</v>
      </c>
      <c r="J931" s="123">
        <v>511.04</v>
      </c>
      <c r="K931" s="178"/>
      <c r="L931" s="198">
        <v>47000</v>
      </c>
      <c r="M931" s="165"/>
      <c r="N931" s="165"/>
      <c r="O931" s="91" t="s">
        <v>621</v>
      </c>
      <c r="P931" s="100" t="str">
        <f t="shared" si="72"/>
        <v>Biaya pengiriman Via Online (Gojek,Grab), Kuli</v>
      </c>
      <c r="Q931" s="91"/>
      <c r="S931" s="112"/>
      <c r="T931" s="112"/>
      <c r="X931" s="102"/>
    </row>
    <row r="932" spans="1:24" s="101" customFormat="1" hidden="1" x14ac:dyDescent="0.25">
      <c r="A932" s="60" t="str">
        <f t="shared" si="70"/>
        <v>18511,03</v>
      </c>
      <c r="B932" s="60">
        <f>COUNTIF($J$7:J932,J932)</f>
        <v>18</v>
      </c>
      <c r="C932" s="60" t="str">
        <f t="shared" si="71"/>
        <v>0</v>
      </c>
      <c r="D932" s="60">
        <f>COUNTIF($K$7:K932,K932)</f>
        <v>0</v>
      </c>
      <c r="E932" s="91"/>
      <c r="F932" s="193">
        <v>44572</v>
      </c>
      <c r="G932" s="116" t="s">
        <v>149</v>
      </c>
      <c r="H932" s="91" t="s">
        <v>619</v>
      </c>
      <c r="I932" s="126" t="s">
        <v>642</v>
      </c>
      <c r="J932" s="123">
        <v>511.03</v>
      </c>
      <c r="K932" s="178"/>
      <c r="L932" s="198">
        <v>97000</v>
      </c>
      <c r="M932" s="165"/>
      <c r="N932" s="165"/>
      <c r="O932" s="91" t="s">
        <v>621</v>
      </c>
      <c r="P932" s="100" t="str">
        <f t="shared" si="72"/>
        <v>Biaya Pengiriman Barang Ekspedisi</v>
      </c>
      <c r="Q932" s="91"/>
      <c r="S932" s="112"/>
      <c r="T932" s="112"/>
      <c r="X932" s="102"/>
    </row>
    <row r="933" spans="1:24" s="101" customFormat="1" hidden="1" x14ac:dyDescent="0.25">
      <c r="A933" s="60" t="str">
        <f t="shared" si="70"/>
        <v>13511,05</v>
      </c>
      <c r="B933" s="60">
        <f>COUNTIF($J$7:J933,J933)</f>
        <v>13</v>
      </c>
      <c r="C933" s="60" t="str">
        <f t="shared" si="71"/>
        <v>0</v>
      </c>
      <c r="D933" s="60">
        <f>COUNTIF($K$7:K933,K933)</f>
        <v>0</v>
      </c>
      <c r="E933" s="91"/>
      <c r="F933" s="193">
        <v>44572</v>
      </c>
      <c r="G933" s="116" t="s">
        <v>149</v>
      </c>
      <c r="H933" s="91" t="s">
        <v>619</v>
      </c>
      <c r="I933" s="126" t="s">
        <v>636</v>
      </c>
      <c r="J933" s="115">
        <v>511.05</v>
      </c>
      <c r="K933" s="178"/>
      <c r="L933" s="198">
        <v>20000</v>
      </c>
      <c r="M933" s="165"/>
      <c r="N933" s="165"/>
      <c r="O933" s="91" t="s">
        <v>621</v>
      </c>
      <c r="P933" s="100" t="str">
        <f t="shared" si="72"/>
        <v>Biaya Transport Pengiriman Bensin, Parkir, Tol</v>
      </c>
      <c r="Q933" s="91"/>
      <c r="S933" s="112"/>
      <c r="T933" s="112"/>
      <c r="X933" s="102"/>
    </row>
    <row r="934" spans="1:24" s="101" customFormat="1" hidden="1" x14ac:dyDescent="0.25">
      <c r="A934" s="60" t="str">
        <f t="shared" si="70"/>
        <v>14511,05</v>
      </c>
      <c r="B934" s="60">
        <f>COUNTIF($J$7:J934,J934)</f>
        <v>14</v>
      </c>
      <c r="C934" s="60" t="str">
        <f t="shared" si="71"/>
        <v>0</v>
      </c>
      <c r="D934" s="60">
        <f>COUNTIF($K$7:K934,K934)</f>
        <v>0</v>
      </c>
      <c r="E934" s="91"/>
      <c r="F934" s="193">
        <v>44572</v>
      </c>
      <c r="G934" s="116" t="s">
        <v>149</v>
      </c>
      <c r="H934" s="91" t="s">
        <v>619</v>
      </c>
      <c r="I934" s="126" t="s">
        <v>636</v>
      </c>
      <c r="J934" s="115">
        <v>511.05</v>
      </c>
      <c r="K934" s="178"/>
      <c r="L934" s="198">
        <v>18000</v>
      </c>
      <c r="M934" s="165"/>
      <c r="N934" s="165"/>
      <c r="O934" s="91" t="s">
        <v>621</v>
      </c>
      <c r="P934" s="100" t="str">
        <f t="shared" si="72"/>
        <v>Biaya Transport Pengiriman Bensin, Parkir, Tol</v>
      </c>
      <c r="Q934" s="91"/>
      <c r="S934" s="112"/>
      <c r="T934" s="112"/>
      <c r="X934" s="102"/>
    </row>
    <row r="935" spans="1:24" s="101" customFormat="1" hidden="1" x14ac:dyDescent="0.25">
      <c r="A935" s="60" t="str">
        <f t="shared" si="70"/>
        <v>15511,05</v>
      </c>
      <c r="B935" s="60">
        <f>COUNTIF($J$7:J935,J935)</f>
        <v>15</v>
      </c>
      <c r="C935" s="60" t="str">
        <f t="shared" si="71"/>
        <v>0</v>
      </c>
      <c r="D935" s="60">
        <f>COUNTIF($K$7:K935,K935)</f>
        <v>0</v>
      </c>
      <c r="E935" s="91"/>
      <c r="F935" s="193">
        <v>44572</v>
      </c>
      <c r="G935" s="116" t="s">
        <v>149</v>
      </c>
      <c r="H935" s="91" t="s">
        <v>619</v>
      </c>
      <c r="I935" s="126" t="s">
        <v>633</v>
      </c>
      <c r="J935" s="115">
        <v>511.05</v>
      </c>
      <c r="K935" s="178"/>
      <c r="L935" s="198">
        <v>8000</v>
      </c>
      <c r="M935" s="165"/>
      <c r="N935" s="165"/>
      <c r="O935" s="91" t="s">
        <v>621</v>
      </c>
      <c r="P935" s="100" t="str">
        <f t="shared" si="72"/>
        <v>Biaya Transport Pengiriman Bensin, Parkir, Tol</v>
      </c>
      <c r="Q935" s="91"/>
      <c r="S935" s="112"/>
      <c r="T935" s="112"/>
      <c r="X935" s="102"/>
    </row>
    <row r="936" spans="1:24" s="101" customFormat="1" hidden="1" x14ac:dyDescent="0.25">
      <c r="A936" s="60" t="str">
        <f t="shared" si="70"/>
        <v>13610,1</v>
      </c>
      <c r="B936" s="60">
        <f>COUNTIF($J$7:J936,J936)</f>
        <v>13</v>
      </c>
      <c r="C936" s="60" t="str">
        <f t="shared" si="71"/>
        <v>0</v>
      </c>
      <c r="D936" s="60">
        <f>COUNTIF($K$7:K936,K936)</f>
        <v>0</v>
      </c>
      <c r="E936" s="91"/>
      <c r="F936" s="193">
        <v>44572</v>
      </c>
      <c r="G936" s="116" t="s">
        <v>149</v>
      </c>
      <c r="H936" s="91" t="s">
        <v>619</v>
      </c>
      <c r="I936" s="110" t="s">
        <v>640</v>
      </c>
      <c r="J936" s="123">
        <v>610.1</v>
      </c>
      <c r="K936" s="178"/>
      <c r="L936" s="196">
        <v>66000</v>
      </c>
      <c r="M936" s="165"/>
      <c r="N936" s="165"/>
      <c r="O936" s="91" t="s">
        <v>621</v>
      </c>
      <c r="P936" s="100" t="str">
        <f t="shared" si="72"/>
        <v>Biaya Rumah Tangga Kantor</v>
      </c>
      <c r="Q936" s="91"/>
      <c r="S936" s="112"/>
      <c r="T936" s="112"/>
      <c r="X936" s="102"/>
    </row>
    <row r="937" spans="1:24" s="101" customFormat="1" hidden="1" x14ac:dyDescent="0.25">
      <c r="A937" s="60" t="str">
        <f t="shared" si="70"/>
        <v>10511,04</v>
      </c>
      <c r="B937" s="60">
        <f>COUNTIF($J$7:J937,J937)</f>
        <v>10</v>
      </c>
      <c r="C937" s="60" t="str">
        <f t="shared" si="71"/>
        <v>0</v>
      </c>
      <c r="D937" s="60">
        <f>COUNTIF($K$7:K937,K937)</f>
        <v>0</v>
      </c>
      <c r="E937" s="91"/>
      <c r="F937" s="193">
        <v>44572</v>
      </c>
      <c r="G937" s="116" t="s">
        <v>149</v>
      </c>
      <c r="H937" s="91" t="s">
        <v>619</v>
      </c>
      <c r="I937" s="126" t="s">
        <v>637</v>
      </c>
      <c r="J937" s="115">
        <v>511.04</v>
      </c>
      <c r="K937" s="178"/>
      <c r="L937" s="198">
        <v>375000</v>
      </c>
      <c r="M937" s="165"/>
      <c r="N937" s="165"/>
      <c r="O937" s="91" t="s">
        <v>621</v>
      </c>
      <c r="P937" s="100" t="str">
        <f t="shared" si="72"/>
        <v>Biaya pengiriman Via Online (Gojek,Grab), Kuli</v>
      </c>
      <c r="Q937" s="91"/>
      <c r="S937" s="112"/>
      <c r="T937" s="112"/>
      <c r="X937" s="102"/>
    </row>
    <row r="938" spans="1:24" s="101" customFormat="1" hidden="1" x14ac:dyDescent="0.25">
      <c r="A938" s="60" t="str">
        <f t="shared" si="70"/>
        <v>11511,04</v>
      </c>
      <c r="B938" s="60">
        <f>COUNTIF($J$7:J938,J938)</f>
        <v>11</v>
      </c>
      <c r="C938" s="60" t="str">
        <f t="shared" si="71"/>
        <v>0</v>
      </c>
      <c r="D938" s="60">
        <f>COUNTIF($K$7:K938,K938)</f>
        <v>0</v>
      </c>
      <c r="E938" s="91"/>
      <c r="F938" s="193">
        <v>44572</v>
      </c>
      <c r="G938" s="116" t="s">
        <v>149</v>
      </c>
      <c r="H938" s="91" t="s">
        <v>619</v>
      </c>
      <c r="I938" s="126" t="s">
        <v>643</v>
      </c>
      <c r="J938" s="123">
        <v>511.04</v>
      </c>
      <c r="K938" s="178"/>
      <c r="L938" s="198">
        <v>87000</v>
      </c>
      <c r="M938" s="165"/>
      <c r="N938" s="165"/>
      <c r="O938" s="91" t="s">
        <v>621</v>
      </c>
      <c r="P938" s="100" t="str">
        <f t="shared" si="72"/>
        <v>Biaya pengiriman Via Online (Gojek,Grab), Kuli</v>
      </c>
      <c r="Q938" s="91"/>
      <c r="S938" s="112"/>
      <c r="T938" s="112"/>
      <c r="X938" s="102"/>
    </row>
    <row r="939" spans="1:24" s="101" customFormat="1" hidden="1" x14ac:dyDescent="0.25">
      <c r="A939" s="60" t="str">
        <f t="shared" si="70"/>
        <v>16511,05</v>
      </c>
      <c r="B939" s="60">
        <f>COUNTIF($J$7:J939,J939)</f>
        <v>16</v>
      </c>
      <c r="C939" s="60" t="str">
        <f t="shared" si="71"/>
        <v>0</v>
      </c>
      <c r="D939" s="60">
        <f>COUNTIF($K$7:K939,K939)</f>
        <v>0</v>
      </c>
      <c r="E939" s="91"/>
      <c r="F939" s="193">
        <v>44572</v>
      </c>
      <c r="G939" s="116" t="s">
        <v>149</v>
      </c>
      <c r="H939" s="91" t="s">
        <v>619</v>
      </c>
      <c r="I939" s="126" t="s">
        <v>644</v>
      </c>
      <c r="J939" s="115">
        <v>511.05</v>
      </c>
      <c r="K939" s="178"/>
      <c r="L939" s="198">
        <v>16000</v>
      </c>
      <c r="M939" s="165"/>
      <c r="N939" s="165"/>
      <c r="O939" s="91" t="s">
        <v>621</v>
      </c>
      <c r="P939" s="100" t="str">
        <f t="shared" si="72"/>
        <v>Biaya Transport Pengiriman Bensin, Parkir, Tol</v>
      </c>
      <c r="Q939" s="91"/>
      <c r="S939" s="112"/>
      <c r="T939" s="112"/>
      <c r="X939" s="102"/>
    </row>
    <row r="940" spans="1:24" s="101" customFormat="1" hidden="1" x14ac:dyDescent="0.25">
      <c r="A940" s="60" t="str">
        <f t="shared" si="70"/>
        <v>17511,05</v>
      </c>
      <c r="B940" s="60">
        <f>COUNTIF($J$7:J940,J940)</f>
        <v>17</v>
      </c>
      <c r="C940" s="60" t="str">
        <f t="shared" si="71"/>
        <v>0</v>
      </c>
      <c r="D940" s="60">
        <f>COUNTIF($K$7:K940,K940)</f>
        <v>0</v>
      </c>
      <c r="E940" s="91"/>
      <c r="F940" s="193">
        <v>44572</v>
      </c>
      <c r="G940" s="116" t="s">
        <v>149</v>
      </c>
      <c r="H940" s="91" t="s">
        <v>619</v>
      </c>
      <c r="I940" s="126" t="s">
        <v>633</v>
      </c>
      <c r="J940" s="115">
        <v>511.05</v>
      </c>
      <c r="K940" s="178"/>
      <c r="L940" s="198">
        <v>8000</v>
      </c>
      <c r="M940" s="165"/>
      <c r="N940" s="165"/>
      <c r="O940" s="91" t="s">
        <v>621</v>
      </c>
      <c r="P940" s="100" t="str">
        <f t="shared" si="72"/>
        <v>Biaya Transport Pengiriman Bensin, Parkir, Tol</v>
      </c>
      <c r="Q940" s="91"/>
      <c r="S940" s="112"/>
      <c r="T940" s="112"/>
      <c r="X940" s="102"/>
    </row>
    <row r="941" spans="1:24" s="101" customFormat="1" hidden="1" x14ac:dyDescent="0.25">
      <c r="A941" s="60" t="str">
        <f t="shared" si="70"/>
        <v>20119</v>
      </c>
      <c r="B941" s="60">
        <f>COUNTIF($J$7:J941,J941)</f>
        <v>20</v>
      </c>
      <c r="C941" s="60" t="str">
        <f t="shared" si="71"/>
        <v>6119,02</v>
      </c>
      <c r="D941" s="60">
        <f>COUNTIF($K$7:K941,K941)</f>
        <v>6</v>
      </c>
      <c r="E941" s="91"/>
      <c r="F941" s="193">
        <v>44572</v>
      </c>
      <c r="G941" s="116" t="s">
        <v>149</v>
      </c>
      <c r="H941" s="91" t="s">
        <v>645</v>
      </c>
      <c r="I941" s="125" t="s">
        <v>646</v>
      </c>
      <c r="J941" s="129">
        <v>119</v>
      </c>
      <c r="K941" s="108">
        <v>119.02</v>
      </c>
      <c r="L941" s="130"/>
      <c r="M941" s="165">
        <v>2000000</v>
      </c>
      <c r="N941" s="165"/>
      <c r="O941" s="188">
        <f>M941-SUM(L915:L940)</f>
        <v>-125000</v>
      </c>
      <c r="P941" s="100" t="str">
        <f t="shared" si="72"/>
        <v>Uang Muka Biaya Pengiriman dan Perjalanan Dinas Marketing</v>
      </c>
      <c r="Q941" s="91"/>
      <c r="S941" s="112"/>
      <c r="T941" s="112"/>
      <c r="X941" s="102"/>
    </row>
    <row r="942" spans="1:24" s="101" customFormat="1" hidden="1" x14ac:dyDescent="0.25">
      <c r="A942" s="60" t="str">
        <f t="shared" si="70"/>
        <v>12511,04</v>
      </c>
      <c r="B942" s="60">
        <f>COUNTIF($J$7:J942,J942)</f>
        <v>12</v>
      </c>
      <c r="C942" s="60" t="str">
        <f t="shared" si="71"/>
        <v>0</v>
      </c>
      <c r="D942" s="60">
        <f>COUNTIF($K$7:K942,K942)</f>
        <v>0</v>
      </c>
      <c r="E942" s="91"/>
      <c r="F942" s="199">
        <v>44587</v>
      </c>
      <c r="G942" s="116" t="s">
        <v>149</v>
      </c>
      <c r="H942" s="91" t="s">
        <v>645</v>
      </c>
      <c r="I942" s="161" t="s">
        <v>647</v>
      </c>
      <c r="J942" s="123">
        <v>511.04</v>
      </c>
      <c r="K942" s="178"/>
      <c r="L942" s="200">
        <v>221000</v>
      </c>
      <c r="M942" s="165"/>
      <c r="N942" s="165"/>
      <c r="O942" s="91"/>
      <c r="P942" s="100" t="str">
        <f t="shared" si="72"/>
        <v>Biaya pengiriman Via Online (Gojek,Grab), Kuli</v>
      </c>
      <c r="Q942" s="91"/>
      <c r="S942" s="112"/>
      <c r="T942" s="112"/>
      <c r="X942" s="102"/>
    </row>
    <row r="943" spans="1:24" s="101" customFormat="1" hidden="1" x14ac:dyDescent="0.25">
      <c r="A943" s="60" t="str">
        <f t="shared" si="70"/>
        <v>13511,04</v>
      </c>
      <c r="B943" s="60">
        <f>COUNTIF($J$7:J943,J943)</f>
        <v>13</v>
      </c>
      <c r="C943" s="60" t="str">
        <f t="shared" si="71"/>
        <v>0</v>
      </c>
      <c r="D943" s="60">
        <f>COUNTIF($K$7:K943,K943)</f>
        <v>0</v>
      </c>
      <c r="E943" s="91"/>
      <c r="F943" s="199">
        <v>44587</v>
      </c>
      <c r="G943" s="116" t="s">
        <v>149</v>
      </c>
      <c r="H943" s="91" t="s">
        <v>645</v>
      </c>
      <c r="I943" s="161" t="s">
        <v>647</v>
      </c>
      <c r="J943" s="123">
        <v>511.04</v>
      </c>
      <c r="K943" s="178"/>
      <c r="L943" s="200">
        <v>221000</v>
      </c>
      <c r="M943" s="165"/>
      <c r="N943" s="165"/>
      <c r="O943" s="91"/>
      <c r="P943" s="100" t="str">
        <f t="shared" si="72"/>
        <v>Biaya pengiriman Via Online (Gojek,Grab), Kuli</v>
      </c>
      <c r="Q943" s="91"/>
      <c r="S943" s="112"/>
      <c r="T943" s="112"/>
      <c r="X943" s="102"/>
    </row>
    <row r="944" spans="1:24" s="101" customFormat="1" hidden="1" x14ac:dyDescent="0.25">
      <c r="A944" s="60" t="str">
        <f t="shared" si="70"/>
        <v>18511,05</v>
      </c>
      <c r="B944" s="60">
        <f>COUNTIF($J$7:J944,J944)</f>
        <v>18</v>
      </c>
      <c r="C944" s="60" t="str">
        <f t="shared" si="71"/>
        <v>0</v>
      </c>
      <c r="D944" s="60">
        <f>COUNTIF($K$7:K944,K944)</f>
        <v>0</v>
      </c>
      <c r="E944" s="91"/>
      <c r="F944" s="199">
        <v>44587</v>
      </c>
      <c r="G944" s="116" t="s">
        <v>149</v>
      </c>
      <c r="H944" s="91" t="s">
        <v>645</v>
      </c>
      <c r="I944" s="161" t="s">
        <v>648</v>
      </c>
      <c r="J944" s="115">
        <v>511.05</v>
      </c>
      <c r="K944" s="178"/>
      <c r="L944" s="200">
        <v>7000</v>
      </c>
      <c r="M944" s="165"/>
      <c r="N944" s="165"/>
      <c r="O944" s="91"/>
      <c r="P944" s="100" t="str">
        <f t="shared" si="72"/>
        <v>Biaya Transport Pengiriman Bensin, Parkir, Tol</v>
      </c>
      <c r="Q944" s="91"/>
      <c r="S944" s="112"/>
      <c r="T944" s="112"/>
      <c r="X944" s="102"/>
    </row>
    <row r="945" spans="1:24" s="101" customFormat="1" hidden="1" x14ac:dyDescent="0.25">
      <c r="A945" s="60" t="str">
        <f t="shared" si="70"/>
        <v>19511,05</v>
      </c>
      <c r="B945" s="60">
        <f>COUNTIF($J$7:J945,J945)</f>
        <v>19</v>
      </c>
      <c r="C945" s="60" t="str">
        <f t="shared" si="71"/>
        <v>0</v>
      </c>
      <c r="D945" s="60">
        <f>COUNTIF($K$7:K945,K945)</f>
        <v>0</v>
      </c>
      <c r="E945" s="91"/>
      <c r="F945" s="199">
        <v>44587</v>
      </c>
      <c r="G945" s="116" t="s">
        <v>149</v>
      </c>
      <c r="H945" s="91" t="s">
        <v>645</v>
      </c>
      <c r="I945" s="161" t="s">
        <v>649</v>
      </c>
      <c r="J945" s="115">
        <v>511.05</v>
      </c>
      <c r="K945" s="178"/>
      <c r="L945" s="200">
        <v>8000</v>
      </c>
      <c r="M945" s="165"/>
      <c r="N945" s="165"/>
      <c r="O945" s="91"/>
      <c r="P945" s="100" t="str">
        <f t="shared" si="72"/>
        <v>Biaya Transport Pengiriman Bensin, Parkir, Tol</v>
      </c>
      <c r="Q945" s="91"/>
      <c r="S945" s="112"/>
      <c r="T945" s="112"/>
      <c r="X945" s="102"/>
    </row>
    <row r="946" spans="1:24" s="101" customFormat="1" hidden="1" x14ac:dyDescent="0.25">
      <c r="A946" s="60" t="str">
        <f t="shared" si="70"/>
        <v>20511,05</v>
      </c>
      <c r="B946" s="60">
        <f>COUNTIF($J$7:J946,J946)</f>
        <v>20</v>
      </c>
      <c r="C946" s="60" t="str">
        <f t="shared" si="71"/>
        <v>0</v>
      </c>
      <c r="D946" s="60">
        <f>COUNTIF($K$7:K946,K946)</f>
        <v>0</v>
      </c>
      <c r="E946" s="91"/>
      <c r="F946" s="199">
        <v>44587</v>
      </c>
      <c r="G946" s="116" t="s">
        <v>149</v>
      </c>
      <c r="H946" s="91" t="s">
        <v>645</v>
      </c>
      <c r="I946" s="161" t="s">
        <v>650</v>
      </c>
      <c r="J946" s="115">
        <v>511.05</v>
      </c>
      <c r="K946" s="178"/>
      <c r="L946" s="200">
        <v>5500</v>
      </c>
      <c r="M946" s="165"/>
      <c r="N946" s="165"/>
      <c r="O946" s="91"/>
      <c r="P946" s="100" t="str">
        <f t="shared" si="72"/>
        <v>Biaya Transport Pengiriman Bensin, Parkir, Tol</v>
      </c>
      <c r="Q946" s="91"/>
      <c r="S946" s="112"/>
      <c r="T946" s="112"/>
      <c r="X946" s="102"/>
    </row>
    <row r="947" spans="1:24" s="101" customFormat="1" hidden="1" x14ac:dyDescent="0.25">
      <c r="A947" s="60" t="str">
        <f t="shared" si="70"/>
        <v>21511,05</v>
      </c>
      <c r="B947" s="60">
        <f>COUNTIF($J$7:J947,J947)</f>
        <v>21</v>
      </c>
      <c r="C947" s="60" t="str">
        <f t="shared" si="71"/>
        <v>0</v>
      </c>
      <c r="D947" s="60">
        <f>COUNTIF($K$7:K947,K947)</f>
        <v>0</v>
      </c>
      <c r="E947" s="91"/>
      <c r="F947" s="199">
        <v>44587</v>
      </c>
      <c r="G947" s="116" t="s">
        <v>149</v>
      </c>
      <c r="H947" s="91" t="s">
        <v>645</v>
      </c>
      <c r="I947" s="161" t="s">
        <v>651</v>
      </c>
      <c r="J947" s="115">
        <v>511.05</v>
      </c>
      <c r="K947" s="178"/>
      <c r="L947" s="200">
        <v>10000</v>
      </c>
      <c r="M947" s="165"/>
      <c r="N947" s="165"/>
      <c r="O947" s="91"/>
      <c r="P947" s="100" t="str">
        <f t="shared" si="72"/>
        <v>Biaya Transport Pengiriman Bensin, Parkir, Tol</v>
      </c>
      <c r="Q947" s="91"/>
      <c r="S947" s="112"/>
      <c r="T947" s="112"/>
      <c r="X947" s="102"/>
    </row>
    <row r="948" spans="1:24" s="101" customFormat="1" hidden="1" x14ac:dyDescent="0.25">
      <c r="A948" s="60" t="str">
        <f t="shared" si="70"/>
        <v>22511,05</v>
      </c>
      <c r="B948" s="60">
        <f>COUNTIF($J$7:J948,J948)</f>
        <v>22</v>
      </c>
      <c r="C948" s="60" t="str">
        <f t="shared" si="71"/>
        <v>0</v>
      </c>
      <c r="D948" s="60">
        <f>COUNTIF($K$7:K948,K948)</f>
        <v>0</v>
      </c>
      <c r="E948" s="91"/>
      <c r="F948" s="199">
        <v>44587</v>
      </c>
      <c r="G948" s="116" t="s">
        <v>149</v>
      </c>
      <c r="H948" s="91" t="s">
        <v>645</v>
      </c>
      <c r="I948" s="161" t="s">
        <v>652</v>
      </c>
      <c r="J948" s="115">
        <v>511.05</v>
      </c>
      <c r="K948" s="178"/>
      <c r="L948" s="200">
        <v>8000</v>
      </c>
      <c r="M948" s="165"/>
      <c r="N948" s="165"/>
      <c r="O948" s="91"/>
      <c r="P948" s="100" t="str">
        <f t="shared" si="72"/>
        <v>Biaya Transport Pengiriman Bensin, Parkir, Tol</v>
      </c>
      <c r="Q948" s="91"/>
      <c r="S948" s="112"/>
      <c r="T948" s="112"/>
      <c r="X948" s="102"/>
    </row>
    <row r="949" spans="1:24" s="101" customFormat="1" hidden="1" x14ac:dyDescent="0.25">
      <c r="A949" s="60" t="str">
        <f t="shared" si="70"/>
        <v>23511,05</v>
      </c>
      <c r="B949" s="60">
        <f>COUNTIF($J$7:J949,J949)</f>
        <v>23</v>
      </c>
      <c r="C949" s="60" t="str">
        <f t="shared" si="71"/>
        <v>0</v>
      </c>
      <c r="D949" s="60">
        <f>COUNTIF($K$7:K949,K949)</f>
        <v>0</v>
      </c>
      <c r="E949" s="91"/>
      <c r="F949" s="199">
        <v>44587</v>
      </c>
      <c r="G949" s="116" t="s">
        <v>149</v>
      </c>
      <c r="H949" s="91" t="s">
        <v>645</v>
      </c>
      <c r="I949" s="161" t="s">
        <v>653</v>
      </c>
      <c r="J949" s="115">
        <v>511.05</v>
      </c>
      <c r="K949" s="178"/>
      <c r="L949" s="200">
        <v>10000</v>
      </c>
      <c r="M949" s="165"/>
      <c r="N949" s="165"/>
      <c r="O949" s="91"/>
      <c r="P949" s="100" t="str">
        <f t="shared" si="72"/>
        <v>Biaya Transport Pengiriman Bensin, Parkir, Tol</v>
      </c>
      <c r="Q949" s="91"/>
      <c r="S949" s="112"/>
      <c r="T949" s="112"/>
      <c r="X949" s="102"/>
    </row>
    <row r="950" spans="1:24" s="101" customFormat="1" hidden="1" x14ac:dyDescent="0.25">
      <c r="A950" s="60" t="str">
        <f t="shared" si="70"/>
        <v>24511,05</v>
      </c>
      <c r="B950" s="60">
        <f>COUNTIF($J$7:J950,J950)</f>
        <v>24</v>
      </c>
      <c r="C950" s="60" t="str">
        <f t="shared" si="71"/>
        <v>0</v>
      </c>
      <c r="D950" s="60">
        <f>COUNTIF($K$7:K950,K950)</f>
        <v>0</v>
      </c>
      <c r="E950" s="91"/>
      <c r="F950" s="199">
        <v>44587</v>
      </c>
      <c r="G950" s="116" t="s">
        <v>149</v>
      </c>
      <c r="H950" s="91" t="s">
        <v>645</v>
      </c>
      <c r="I950" s="161" t="s">
        <v>654</v>
      </c>
      <c r="J950" s="115">
        <v>511.05</v>
      </c>
      <c r="K950" s="178"/>
      <c r="L950" s="200">
        <v>3000</v>
      </c>
      <c r="M950" s="165"/>
      <c r="N950" s="165"/>
      <c r="O950" s="91"/>
      <c r="P950" s="100" t="str">
        <f t="shared" si="72"/>
        <v>Biaya Transport Pengiriman Bensin, Parkir, Tol</v>
      </c>
      <c r="Q950" s="91"/>
      <c r="S950" s="112"/>
      <c r="T950" s="112"/>
      <c r="X950" s="102"/>
    </row>
    <row r="951" spans="1:24" s="101" customFormat="1" hidden="1" x14ac:dyDescent="0.25">
      <c r="A951" s="60" t="str">
        <f t="shared" si="70"/>
        <v>25511,05</v>
      </c>
      <c r="B951" s="60">
        <f>COUNTIF($J$7:J951,J951)</f>
        <v>25</v>
      </c>
      <c r="C951" s="60" t="str">
        <f t="shared" si="71"/>
        <v>0</v>
      </c>
      <c r="D951" s="60">
        <f>COUNTIF($K$7:K951,K951)</f>
        <v>0</v>
      </c>
      <c r="E951" s="91"/>
      <c r="F951" s="199">
        <v>44587</v>
      </c>
      <c r="G951" s="116" t="s">
        <v>149</v>
      </c>
      <c r="H951" s="91" t="s">
        <v>645</v>
      </c>
      <c r="I951" s="161" t="s">
        <v>655</v>
      </c>
      <c r="J951" s="115">
        <v>511.05</v>
      </c>
      <c r="K951" s="178"/>
      <c r="L951" s="200">
        <v>7000</v>
      </c>
      <c r="M951" s="165"/>
      <c r="N951" s="165"/>
      <c r="O951" s="91"/>
      <c r="P951" s="100" t="str">
        <f t="shared" si="72"/>
        <v>Biaya Transport Pengiriman Bensin, Parkir, Tol</v>
      </c>
      <c r="Q951" s="91"/>
      <c r="S951" s="112"/>
      <c r="T951" s="112"/>
      <c r="X951" s="102"/>
    </row>
    <row r="952" spans="1:24" s="101" customFormat="1" hidden="1" x14ac:dyDescent="0.25">
      <c r="A952" s="60" t="str">
        <f t="shared" si="70"/>
        <v>14511,04</v>
      </c>
      <c r="B952" s="60">
        <f>COUNTIF($J$7:J952,J952)</f>
        <v>14</v>
      </c>
      <c r="C952" s="60" t="str">
        <f t="shared" si="71"/>
        <v>0</v>
      </c>
      <c r="D952" s="60">
        <f>COUNTIF($K$7:K952,K952)</f>
        <v>0</v>
      </c>
      <c r="E952" s="91"/>
      <c r="F952" s="199">
        <v>44587</v>
      </c>
      <c r="G952" s="116" t="s">
        <v>149</v>
      </c>
      <c r="H952" s="91" t="s">
        <v>645</v>
      </c>
      <c r="I952" s="126" t="s">
        <v>656</v>
      </c>
      <c r="J952" s="123">
        <v>511.04</v>
      </c>
      <c r="K952" s="178"/>
      <c r="L952" s="198">
        <v>141000</v>
      </c>
      <c r="M952" s="165"/>
      <c r="N952" s="165"/>
      <c r="O952" s="91"/>
      <c r="P952" s="100" t="str">
        <f t="shared" si="72"/>
        <v>Biaya pengiriman Via Online (Gojek,Grab), Kuli</v>
      </c>
      <c r="Q952" s="91"/>
      <c r="S952" s="112"/>
      <c r="T952" s="112"/>
      <c r="X952" s="102"/>
    </row>
    <row r="953" spans="1:24" s="101" customFormat="1" hidden="1" x14ac:dyDescent="0.25">
      <c r="A953" s="60" t="str">
        <f t="shared" si="70"/>
        <v>15511,04</v>
      </c>
      <c r="B953" s="60">
        <f>COUNTIF($J$7:J953,J953)</f>
        <v>15</v>
      </c>
      <c r="C953" s="60" t="str">
        <f t="shared" si="71"/>
        <v>0</v>
      </c>
      <c r="D953" s="60">
        <f>COUNTIF($K$7:K953,K953)</f>
        <v>0</v>
      </c>
      <c r="E953" s="91"/>
      <c r="F953" s="199">
        <v>44587</v>
      </c>
      <c r="G953" s="116" t="s">
        <v>149</v>
      </c>
      <c r="H953" s="91" t="s">
        <v>645</v>
      </c>
      <c r="I953" s="126" t="s">
        <v>657</v>
      </c>
      <c r="J953" s="123">
        <v>511.04</v>
      </c>
      <c r="K953" s="178"/>
      <c r="L953" s="198">
        <v>87000</v>
      </c>
      <c r="M953" s="165"/>
      <c r="N953" s="165"/>
      <c r="O953" s="91"/>
      <c r="P953" s="100" t="str">
        <f t="shared" si="72"/>
        <v>Biaya pengiriman Via Online (Gojek,Grab), Kuli</v>
      </c>
      <c r="Q953" s="91"/>
      <c r="S953" s="112"/>
      <c r="T953" s="112"/>
      <c r="X953" s="102"/>
    </row>
    <row r="954" spans="1:24" s="101" customFormat="1" ht="30" hidden="1" x14ac:dyDescent="0.25">
      <c r="A954" s="60" t="str">
        <f t="shared" si="70"/>
        <v>26511,05</v>
      </c>
      <c r="B954" s="60">
        <f>COUNTIF($J$7:J954,J954)</f>
        <v>26</v>
      </c>
      <c r="C954" s="60" t="str">
        <f t="shared" si="71"/>
        <v>0</v>
      </c>
      <c r="D954" s="60">
        <f>COUNTIF($K$7:K954,K954)</f>
        <v>0</v>
      </c>
      <c r="E954" s="91"/>
      <c r="F954" s="199">
        <v>44587</v>
      </c>
      <c r="G954" s="116" t="s">
        <v>149</v>
      </c>
      <c r="H954" s="91" t="s">
        <v>645</v>
      </c>
      <c r="I954" s="126" t="s">
        <v>658</v>
      </c>
      <c r="J954" s="115">
        <v>511.05</v>
      </c>
      <c r="K954" s="178"/>
      <c r="L954" s="198">
        <v>8000</v>
      </c>
      <c r="M954" s="165"/>
      <c r="N954" s="165"/>
      <c r="O954" s="91"/>
      <c r="P954" s="100" t="str">
        <f t="shared" si="72"/>
        <v>Biaya Transport Pengiriman Bensin, Parkir, Tol</v>
      </c>
      <c r="Q954" s="91"/>
      <c r="S954" s="112"/>
      <c r="T954" s="112"/>
      <c r="X954" s="102"/>
    </row>
    <row r="955" spans="1:24" s="101" customFormat="1" ht="30" hidden="1" x14ac:dyDescent="0.25">
      <c r="A955" s="60" t="str">
        <f t="shared" si="70"/>
        <v>27511,05</v>
      </c>
      <c r="B955" s="60">
        <f>COUNTIF($J$7:J955,J955)</f>
        <v>27</v>
      </c>
      <c r="C955" s="60" t="str">
        <f t="shared" si="71"/>
        <v>0</v>
      </c>
      <c r="D955" s="60">
        <f>COUNTIF($K$7:K955,K955)</f>
        <v>0</v>
      </c>
      <c r="E955" s="91"/>
      <c r="F955" s="199">
        <v>44587</v>
      </c>
      <c r="G955" s="116" t="s">
        <v>149</v>
      </c>
      <c r="H955" s="91" t="s">
        <v>645</v>
      </c>
      <c r="I955" s="126" t="s">
        <v>659</v>
      </c>
      <c r="J955" s="115">
        <v>511.05</v>
      </c>
      <c r="K955" s="178"/>
      <c r="L955" s="198">
        <v>16000</v>
      </c>
      <c r="M955" s="165"/>
      <c r="N955" s="165"/>
      <c r="O955" s="91"/>
      <c r="P955" s="100" t="str">
        <f t="shared" si="72"/>
        <v>Biaya Transport Pengiriman Bensin, Parkir, Tol</v>
      </c>
      <c r="Q955" s="91"/>
      <c r="S955" s="112"/>
      <c r="T955" s="112"/>
      <c r="X955" s="102"/>
    </row>
    <row r="956" spans="1:24" s="101" customFormat="1" hidden="1" x14ac:dyDescent="0.25">
      <c r="A956" s="60" t="str">
        <f t="shared" si="70"/>
        <v>16511,04</v>
      </c>
      <c r="B956" s="60">
        <f>COUNTIF($J$7:J956,J956)</f>
        <v>16</v>
      </c>
      <c r="C956" s="60" t="str">
        <f t="shared" si="71"/>
        <v>0</v>
      </c>
      <c r="D956" s="60">
        <f>COUNTIF($K$7:K956,K956)</f>
        <v>0</v>
      </c>
      <c r="E956" s="91"/>
      <c r="F956" s="199">
        <v>44587</v>
      </c>
      <c r="G956" s="116" t="s">
        <v>149</v>
      </c>
      <c r="H956" s="91" t="s">
        <v>645</v>
      </c>
      <c r="I956" s="110" t="s">
        <v>660</v>
      </c>
      <c r="J956" s="123">
        <v>511.04</v>
      </c>
      <c r="K956" s="178"/>
      <c r="L956" s="196">
        <v>233000</v>
      </c>
      <c r="M956" s="165"/>
      <c r="N956" s="165"/>
      <c r="O956" s="91"/>
      <c r="P956" s="100" t="str">
        <f t="shared" si="72"/>
        <v>Biaya pengiriman Via Online (Gojek,Grab), Kuli</v>
      </c>
      <c r="Q956" s="91"/>
      <c r="S956" s="112"/>
      <c r="T956" s="112"/>
      <c r="X956" s="102"/>
    </row>
    <row r="957" spans="1:24" s="101" customFormat="1" hidden="1" x14ac:dyDescent="0.25">
      <c r="A957" s="60" t="str">
        <f t="shared" si="70"/>
        <v>17511,04</v>
      </c>
      <c r="B957" s="60">
        <f>COUNTIF($J$7:J957,J957)</f>
        <v>17</v>
      </c>
      <c r="C957" s="60" t="str">
        <f t="shared" si="71"/>
        <v>0</v>
      </c>
      <c r="D957" s="60">
        <f>COUNTIF($K$7:K957,K957)</f>
        <v>0</v>
      </c>
      <c r="E957" s="91"/>
      <c r="F957" s="199">
        <v>44587</v>
      </c>
      <c r="G957" s="116" t="s">
        <v>149</v>
      </c>
      <c r="H957" s="91" t="s">
        <v>645</v>
      </c>
      <c r="I957" s="110" t="s">
        <v>661</v>
      </c>
      <c r="J957" s="123">
        <v>511.04</v>
      </c>
      <c r="K957" s="178"/>
      <c r="L957" s="196">
        <v>201000</v>
      </c>
      <c r="M957" s="165"/>
      <c r="N957" s="165"/>
      <c r="O957" s="91"/>
      <c r="P957" s="100" t="str">
        <f t="shared" si="72"/>
        <v>Biaya pengiriman Via Online (Gojek,Grab), Kuli</v>
      </c>
      <c r="Q957" s="91"/>
      <c r="S957" s="112"/>
      <c r="T957" s="112"/>
      <c r="X957" s="102"/>
    </row>
    <row r="958" spans="1:24" s="101" customFormat="1" hidden="1" x14ac:dyDescent="0.25">
      <c r="A958" s="60" t="str">
        <f t="shared" si="70"/>
        <v>28511,05</v>
      </c>
      <c r="B958" s="60">
        <f>COUNTIF($J$7:J958,J958)</f>
        <v>28</v>
      </c>
      <c r="C958" s="60" t="str">
        <f t="shared" si="71"/>
        <v>0</v>
      </c>
      <c r="D958" s="60">
        <f>COUNTIF($K$7:K958,K958)</f>
        <v>0</v>
      </c>
      <c r="E958" s="91"/>
      <c r="F958" s="199">
        <v>44587</v>
      </c>
      <c r="G958" s="116" t="s">
        <v>149</v>
      </c>
      <c r="H958" s="91" t="s">
        <v>645</v>
      </c>
      <c r="I958" s="110" t="s">
        <v>662</v>
      </c>
      <c r="J958" s="115">
        <v>511.05</v>
      </c>
      <c r="K958" s="178"/>
      <c r="L958" s="196">
        <v>5500</v>
      </c>
      <c r="M958" s="165"/>
      <c r="N958" s="165"/>
      <c r="O958" s="91"/>
      <c r="P958" s="100" t="str">
        <f t="shared" si="72"/>
        <v>Biaya Transport Pengiriman Bensin, Parkir, Tol</v>
      </c>
      <c r="Q958" s="91"/>
      <c r="S958" s="112"/>
      <c r="T958" s="112"/>
      <c r="X958" s="102"/>
    </row>
    <row r="959" spans="1:24" s="101" customFormat="1" hidden="1" x14ac:dyDescent="0.25">
      <c r="A959" s="60" t="str">
        <f t="shared" si="70"/>
        <v>29511,05</v>
      </c>
      <c r="B959" s="60">
        <f>COUNTIF($J$7:J959,J959)</f>
        <v>29</v>
      </c>
      <c r="C959" s="60" t="str">
        <f t="shared" si="71"/>
        <v>0</v>
      </c>
      <c r="D959" s="60">
        <f>COUNTIF($K$7:K959,K959)</f>
        <v>0</v>
      </c>
      <c r="E959" s="91"/>
      <c r="F959" s="199">
        <v>44587</v>
      </c>
      <c r="G959" s="116" t="s">
        <v>149</v>
      </c>
      <c r="H959" s="91" t="s">
        <v>645</v>
      </c>
      <c r="I959" s="110" t="s">
        <v>662</v>
      </c>
      <c r="J959" s="115">
        <v>511.05</v>
      </c>
      <c r="K959" s="178"/>
      <c r="L959" s="196">
        <v>5500</v>
      </c>
      <c r="M959" s="165"/>
      <c r="N959" s="165"/>
      <c r="O959" s="91"/>
      <c r="P959" s="100" t="str">
        <f t="shared" si="72"/>
        <v>Biaya Transport Pengiriman Bensin, Parkir, Tol</v>
      </c>
      <c r="Q959" s="91"/>
      <c r="S959" s="112"/>
      <c r="T959" s="112"/>
      <c r="X959" s="102"/>
    </row>
    <row r="960" spans="1:24" s="101" customFormat="1" hidden="1" x14ac:dyDescent="0.25">
      <c r="A960" s="60" t="str">
        <f t="shared" si="70"/>
        <v>30511,05</v>
      </c>
      <c r="B960" s="60">
        <f>COUNTIF($J$7:J960,J960)</f>
        <v>30</v>
      </c>
      <c r="C960" s="60" t="str">
        <f t="shared" si="71"/>
        <v>0</v>
      </c>
      <c r="D960" s="60">
        <f>COUNTIF($K$7:K960,K960)</f>
        <v>0</v>
      </c>
      <c r="E960" s="91"/>
      <c r="F960" s="199">
        <v>44587</v>
      </c>
      <c r="G960" s="116" t="s">
        <v>149</v>
      </c>
      <c r="H960" s="91" t="s">
        <v>645</v>
      </c>
      <c r="I960" s="110" t="s">
        <v>663</v>
      </c>
      <c r="J960" s="115">
        <v>511.05</v>
      </c>
      <c r="K960" s="178"/>
      <c r="L960" s="196">
        <v>3000</v>
      </c>
      <c r="M960" s="165"/>
      <c r="N960" s="165"/>
      <c r="O960" s="91"/>
      <c r="P960" s="100" t="str">
        <f t="shared" si="72"/>
        <v>Biaya Transport Pengiriman Bensin, Parkir, Tol</v>
      </c>
      <c r="Q960" s="91"/>
      <c r="S960" s="112"/>
      <c r="T960" s="112"/>
      <c r="X960" s="102"/>
    </row>
    <row r="961" spans="1:24" s="101" customFormat="1" hidden="1" x14ac:dyDescent="0.25">
      <c r="A961" s="60" t="str">
        <f t="shared" si="70"/>
        <v>31511,05</v>
      </c>
      <c r="B961" s="60">
        <f>COUNTIF($J$7:J961,J961)</f>
        <v>31</v>
      </c>
      <c r="C961" s="60" t="str">
        <f t="shared" si="71"/>
        <v>0</v>
      </c>
      <c r="D961" s="60">
        <f>COUNTIF($K$7:K961,K961)</f>
        <v>0</v>
      </c>
      <c r="E961" s="91"/>
      <c r="F961" s="199">
        <v>44587</v>
      </c>
      <c r="G961" s="116" t="s">
        <v>149</v>
      </c>
      <c r="H961" s="91" t="s">
        <v>645</v>
      </c>
      <c r="I961" s="110" t="s">
        <v>664</v>
      </c>
      <c r="J961" s="115">
        <v>511.05</v>
      </c>
      <c r="K961" s="178"/>
      <c r="L961" s="196">
        <v>7000</v>
      </c>
      <c r="M961" s="165"/>
      <c r="N961" s="165"/>
      <c r="O961" s="91"/>
      <c r="P961" s="100" t="str">
        <f t="shared" si="72"/>
        <v>Biaya Transport Pengiriman Bensin, Parkir, Tol</v>
      </c>
      <c r="Q961" s="91"/>
      <c r="S961" s="112"/>
      <c r="T961" s="112"/>
      <c r="X961" s="102"/>
    </row>
    <row r="962" spans="1:24" s="101" customFormat="1" hidden="1" x14ac:dyDescent="0.25">
      <c r="A962" s="60" t="str">
        <f t="shared" si="70"/>
        <v>32511,05</v>
      </c>
      <c r="B962" s="60">
        <f>COUNTIF($J$7:J962,J962)</f>
        <v>32</v>
      </c>
      <c r="C962" s="60" t="str">
        <f t="shared" si="71"/>
        <v>0</v>
      </c>
      <c r="D962" s="60">
        <f>COUNTIF($K$7:K962,K962)</f>
        <v>0</v>
      </c>
      <c r="E962" s="91"/>
      <c r="F962" s="199">
        <v>44587</v>
      </c>
      <c r="G962" s="116" t="s">
        <v>149</v>
      </c>
      <c r="H962" s="91" t="s">
        <v>645</v>
      </c>
      <c r="I962" s="110" t="s">
        <v>665</v>
      </c>
      <c r="J962" s="115">
        <v>511.05</v>
      </c>
      <c r="K962" s="178"/>
      <c r="L962" s="196">
        <v>7000</v>
      </c>
      <c r="M962" s="165"/>
      <c r="N962" s="165"/>
      <c r="O962" s="91"/>
      <c r="P962" s="100" t="str">
        <f t="shared" si="72"/>
        <v>Biaya Transport Pengiriman Bensin, Parkir, Tol</v>
      </c>
      <c r="Q962" s="91"/>
      <c r="S962" s="112"/>
      <c r="T962" s="112"/>
      <c r="X962" s="102"/>
    </row>
    <row r="963" spans="1:24" s="101" customFormat="1" hidden="1" x14ac:dyDescent="0.25">
      <c r="A963" s="60" t="str">
        <f t="shared" si="70"/>
        <v>33511,05</v>
      </c>
      <c r="B963" s="60">
        <f>COUNTIF($J$7:J963,J963)</f>
        <v>33</v>
      </c>
      <c r="C963" s="60" t="str">
        <f t="shared" si="71"/>
        <v>0</v>
      </c>
      <c r="D963" s="60">
        <f>COUNTIF($K$7:K963,K963)</f>
        <v>0</v>
      </c>
      <c r="E963" s="91"/>
      <c r="F963" s="199">
        <v>44587</v>
      </c>
      <c r="G963" s="116" t="s">
        <v>149</v>
      </c>
      <c r="H963" s="91" t="s">
        <v>645</v>
      </c>
      <c r="I963" s="110" t="s">
        <v>666</v>
      </c>
      <c r="J963" s="115">
        <v>511.05</v>
      </c>
      <c r="K963" s="178"/>
      <c r="L963" s="196">
        <v>8000</v>
      </c>
      <c r="M963" s="165"/>
      <c r="N963" s="165"/>
      <c r="O963" s="91"/>
      <c r="P963" s="100" t="str">
        <f t="shared" si="72"/>
        <v>Biaya Transport Pengiriman Bensin, Parkir, Tol</v>
      </c>
      <c r="Q963" s="91"/>
      <c r="S963" s="112"/>
      <c r="T963" s="112"/>
      <c r="X963" s="102"/>
    </row>
    <row r="964" spans="1:24" s="101" customFormat="1" hidden="1" x14ac:dyDescent="0.25">
      <c r="A964" s="60" t="str">
        <f t="shared" si="70"/>
        <v>34511,05</v>
      </c>
      <c r="B964" s="60">
        <f>COUNTIF($J$7:J964,J964)</f>
        <v>34</v>
      </c>
      <c r="C964" s="60" t="str">
        <f t="shared" si="71"/>
        <v>0</v>
      </c>
      <c r="D964" s="60">
        <f>COUNTIF($K$7:K964,K964)</f>
        <v>0</v>
      </c>
      <c r="E964" s="91"/>
      <c r="F964" s="199">
        <v>44587</v>
      </c>
      <c r="G964" s="116" t="s">
        <v>149</v>
      </c>
      <c r="H964" s="91" t="s">
        <v>645</v>
      </c>
      <c r="I964" s="110" t="s">
        <v>667</v>
      </c>
      <c r="J964" s="115">
        <v>511.05</v>
      </c>
      <c r="K964" s="178"/>
      <c r="L964" s="196">
        <v>10000</v>
      </c>
      <c r="M964" s="165"/>
      <c r="N964" s="165"/>
      <c r="O964" s="91"/>
      <c r="P964" s="100" t="str">
        <f t="shared" si="72"/>
        <v>Biaya Transport Pengiriman Bensin, Parkir, Tol</v>
      </c>
      <c r="Q964" s="91"/>
      <c r="S964" s="112"/>
      <c r="T964" s="112"/>
      <c r="X964" s="102"/>
    </row>
    <row r="965" spans="1:24" s="101" customFormat="1" hidden="1" x14ac:dyDescent="0.25">
      <c r="A965" s="60" t="str">
        <f t="shared" si="70"/>
        <v>2511,01</v>
      </c>
      <c r="B965" s="60">
        <f>COUNTIF($J$7:J965,J965)</f>
        <v>2</v>
      </c>
      <c r="C965" s="60" t="str">
        <f t="shared" si="71"/>
        <v>0</v>
      </c>
      <c r="D965" s="60">
        <f>COUNTIF($K$7:K965,K965)</f>
        <v>0</v>
      </c>
      <c r="E965" s="91"/>
      <c r="F965" s="199">
        <v>44587</v>
      </c>
      <c r="G965" s="116" t="s">
        <v>149</v>
      </c>
      <c r="H965" s="91" t="s">
        <v>645</v>
      </c>
      <c r="I965" s="126" t="s">
        <v>668</v>
      </c>
      <c r="J965" s="123">
        <v>511.01</v>
      </c>
      <c r="K965" s="178"/>
      <c r="L965" s="198">
        <v>81000</v>
      </c>
      <c r="M965" s="165"/>
      <c r="N965" s="165"/>
      <c r="O965" s="91"/>
      <c r="P965" s="100" t="str">
        <f t="shared" si="72"/>
        <v>Biaya Packing</v>
      </c>
      <c r="Q965" s="91"/>
      <c r="S965" s="112"/>
      <c r="T965" s="112"/>
      <c r="X965" s="102"/>
    </row>
    <row r="966" spans="1:24" s="101" customFormat="1" hidden="1" x14ac:dyDescent="0.25">
      <c r="A966" s="60" t="str">
        <f t="shared" si="70"/>
        <v>19511,03</v>
      </c>
      <c r="B966" s="60">
        <f>COUNTIF($J$7:J966,J966)</f>
        <v>19</v>
      </c>
      <c r="C966" s="60" t="str">
        <f t="shared" si="71"/>
        <v>0</v>
      </c>
      <c r="D966" s="60">
        <f>COUNTIF($K$7:K966,K966)</f>
        <v>0</v>
      </c>
      <c r="E966" s="91"/>
      <c r="F966" s="199">
        <v>44587</v>
      </c>
      <c r="G966" s="116" t="s">
        <v>149</v>
      </c>
      <c r="H966" s="91" t="s">
        <v>645</v>
      </c>
      <c r="I966" s="161" t="s">
        <v>669</v>
      </c>
      <c r="J966" s="115">
        <v>511.03</v>
      </c>
      <c r="K966" s="178"/>
      <c r="L966" s="201">
        <v>66000</v>
      </c>
      <c r="M966" s="165"/>
      <c r="N966" s="165"/>
      <c r="O966" s="91"/>
      <c r="P966" s="100" t="str">
        <f t="shared" si="72"/>
        <v>Biaya Pengiriman Barang Ekspedisi</v>
      </c>
      <c r="Q966" s="91"/>
      <c r="S966" s="112"/>
      <c r="T966" s="112"/>
      <c r="X966" s="102"/>
    </row>
    <row r="967" spans="1:24" s="101" customFormat="1" hidden="1" x14ac:dyDescent="0.25">
      <c r="A967" s="60" t="str">
        <f t="shared" ref="A967:A1030" si="73">B967&amp;J967</f>
        <v>8610,09</v>
      </c>
      <c r="B967" s="60">
        <f>COUNTIF($J$7:J967,J967)</f>
        <v>8</v>
      </c>
      <c r="C967" s="60" t="str">
        <f t="shared" ref="C967:C1030" si="74">D967&amp;K967</f>
        <v>0</v>
      </c>
      <c r="D967" s="60">
        <f>COUNTIF($K$7:K967,K967)</f>
        <v>0</v>
      </c>
      <c r="E967" s="91"/>
      <c r="F967" s="199">
        <v>44587</v>
      </c>
      <c r="G967" s="116" t="s">
        <v>149</v>
      </c>
      <c r="H967" s="91" t="s">
        <v>645</v>
      </c>
      <c r="I967" s="161" t="s">
        <v>670</v>
      </c>
      <c r="J967" s="123">
        <v>610.09</v>
      </c>
      <c r="K967" s="178"/>
      <c r="L967" s="201">
        <v>170000</v>
      </c>
      <c r="M967" s="165"/>
      <c r="N967" s="165"/>
      <c r="O967" s="91"/>
      <c r="P967" s="100" t="str">
        <f t="shared" ref="P967:P1030" si="75">IF(J967=0,"-",+VLOOKUP(J967,DAF_AKUN,2,FALSE))</f>
        <v>Biaya ATK &amp; Perlengkapan Kantor</v>
      </c>
      <c r="Q967" s="91"/>
      <c r="S967" s="112"/>
      <c r="T967" s="112"/>
      <c r="X967" s="102"/>
    </row>
    <row r="968" spans="1:24" s="101" customFormat="1" hidden="1" x14ac:dyDescent="0.25">
      <c r="A968" s="60" t="str">
        <f t="shared" si="73"/>
        <v>18511,04</v>
      </c>
      <c r="B968" s="60">
        <f>COUNTIF($J$7:J968,J968)</f>
        <v>18</v>
      </c>
      <c r="C968" s="60" t="str">
        <f t="shared" si="74"/>
        <v>0</v>
      </c>
      <c r="D968" s="60">
        <f>COUNTIF($K$7:K968,K968)</f>
        <v>0</v>
      </c>
      <c r="E968" s="91"/>
      <c r="F968" s="199">
        <v>44587</v>
      </c>
      <c r="G968" s="116" t="s">
        <v>149</v>
      </c>
      <c r="H968" s="91" t="s">
        <v>645</v>
      </c>
      <c r="I968" s="161" t="s">
        <v>671</v>
      </c>
      <c r="J968" s="115">
        <v>511.04</v>
      </c>
      <c r="K968" s="178"/>
      <c r="L968" s="200">
        <v>210000</v>
      </c>
      <c r="M968" s="165"/>
      <c r="N968" s="165"/>
      <c r="O968" s="91"/>
      <c r="P968" s="100" t="str">
        <f t="shared" si="75"/>
        <v>Biaya pengiriman Via Online (Gojek,Grab), Kuli</v>
      </c>
      <c r="Q968" s="91"/>
      <c r="S968" s="112"/>
      <c r="T968" s="112"/>
      <c r="X968" s="102"/>
    </row>
    <row r="969" spans="1:24" s="101" customFormat="1" hidden="1" x14ac:dyDescent="0.25">
      <c r="A969" s="60" t="str">
        <f t="shared" si="73"/>
        <v>35511,05</v>
      </c>
      <c r="B969" s="60">
        <f>COUNTIF($J$7:J969,J969)</f>
        <v>35</v>
      </c>
      <c r="C969" s="60" t="str">
        <f t="shared" si="74"/>
        <v>0</v>
      </c>
      <c r="D969" s="60">
        <f>COUNTIF($K$7:K969,K969)</f>
        <v>0</v>
      </c>
      <c r="E969" s="91"/>
      <c r="F969" s="199">
        <v>44587</v>
      </c>
      <c r="G969" s="116" t="s">
        <v>149</v>
      </c>
      <c r="H969" s="91" t="s">
        <v>645</v>
      </c>
      <c r="I969" s="161" t="s">
        <v>672</v>
      </c>
      <c r="J969" s="115">
        <v>511.05</v>
      </c>
      <c r="K969" s="178"/>
      <c r="L969" s="201">
        <v>8000</v>
      </c>
      <c r="M969" s="165"/>
      <c r="N969" s="165"/>
      <c r="O969" s="91"/>
      <c r="P969" s="100" t="str">
        <f t="shared" si="75"/>
        <v>Biaya Transport Pengiriman Bensin, Parkir, Tol</v>
      </c>
      <c r="Q969" s="91"/>
      <c r="S969" s="112"/>
      <c r="T969" s="112"/>
      <c r="X969" s="102"/>
    </row>
    <row r="970" spans="1:24" s="101" customFormat="1" hidden="1" x14ac:dyDescent="0.25">
      <c r="A970" s="60" t="str">
        <f t="shared" si="73"/>
        <v>21119</v>
      </c>
      <c r="B970" s="60">
        <f>COUNTIF($J$7:J970,J970)</f>
        <v>21</v>
      </c>
      <c r="C970" s="60" t="str">
        <f t="shared" si="74"/>
        <v>8119,01</v>
      </c>
      <c r="D970" s="60">
        <f>COUNTIF($K$7:K970,K970)</f>
        <v>8</v>
      </c>
      <c r="E970" s="91"/>
      <c r="F970" s="199">
        <v>44587</v>
      </c>
      <c r="G970" s="116" t="s">
        <v>149</v>
      </c>
      <c r="H970" s="91" t="s">
        <v>619</v>
      </c>
      <c r="I970" s="125" t="s">
        <v>673</v>
      </c>
      <c r="J970" s="129">
        <v>119</v>
      </c>
      <c r="K970" s="108">
        <v>119.01</v>
      </c>
      <c r="L970" s="130"/>
      <c r="M970" s="165">
        <v>2000000</v>
      </c>
      <c r="N970" s="165"/>
      <c r="O970" s="188">
        <f>M970-SUM(L942:L969)</f>
        <v>232500</v>
      </c>
      <c r="P970" s="100" t="str">
        <f t="shared" si="75"/>
        <v>Uang Muka Biaya Pengiriman dan Perjalanan Dinas Marketing</v>
      </c>
      <c r="Q970" s="91"/>
      <c r="S970" s="112"/>
      <c r="T970" s="112"/>
      <c r="X970" s="102"/>
    </row>
    <row r="971" spans="1:24" s="101" customFormat="1" hidden="1" x14ac:dyDescent="0.25">
      <c r="A971" s="60" t="str">
        <f t="shared" si="73"/>
        <v>19511,04</v>
      </c>
      <c r="B971" s="60">
        <f>COUNTIF($J$7:J971,J971)</f>
        <v>19</v>
      </c>
      <c r="C971" s="60" t="str">
        <f t="shared" si="74"/>
        <v>0</v>
      </c>
      <c r="D971" s="60">
        <f>COUNTIF($K$7:K971,K971)</f>
        <v>0</v>
      </c>
      <c r="E971" s="91"/>
      <c r="F971" s="199">
        <v>44585</v>
      </c>
      <c r="G971" s="116" t="s">
        <v>149</v>
      </c>
      <c r="H971" s="91" t="s">
        <v>619</v>
      </c>
      <c r="I971" s="161" t="s">
        <v>674</v>
      </c>
      <c r="J971" s="115">
        <v>511.04</v>
      </c>
      <c r="K971" s="178"/>
      <c r="L971" s="197">
        <v>191000</v>
      </c>
      <c r="M971" s="165"/>
      <c r="N971" s="165"/>
      <c r="O971" s="130" t="s">
        <v>675</v>
      </c>
      <c r="P971" s="100" t="str">
        <f t="shared" si="75"/>
        <v>Biaya pengiriman Via Online (Gojek,Grab), Kuli</v>
      </c>
      <c r="Q971" s="91"/>
      <c r="S971" s="112"/>
      <c r="T971" s="112"/>
      <c r="X971" s="102"/>
    </row>
    <row r="972" spans="1:24" s="101" customFormat="1" hidden="1" x14ac:dyDescent="0.25">
      <c r="A972" s="60" t="str">
        <f t="shared" si="73"/>
        <v>20511,04</v>
      </c>
      <c r="B972" s="60">
        <f>COUNTIF($J$7:J972,J972)</f>
        <v>20</v>
      </c>
      <c r="C972" s="60" t="str">
        <f t="shared" si="74"/>
        <v>0</v>
      </c>
      <c r="D972" s="60">
        <f>COUNTIF($K$7:K972,K972)</f>
        <v>0</v>
      </c>
      <c r="E972" s="91"/>
      <c r="F972" s="199">
        <v>44585</v>
      </c>
      <c r="G972" s="116" t="s">
        <v>149</v>
      </c>
      <c r="H972" s="91" t="s">
        <v>619</v>
      </c>
      <c r="I972" s="161" t="s">
        <v>676</v>
      </c>
      <c r="J972" s="115">
        <v>511.04</v>
      </c>
      <c r="K972" s="178"/>
      <c r="L972" s="197">
        <v>245000</v>
      </c>
      <c r="M972" s="165"/>
      <c r="N972" s="165"/>
      <c r="O972" s="130" t="s">
        <v>675</v>
      </c>
      <c r="P972" s="100" t="str">
        <f t="shared" si="75"/>
        <v>Biaya pengiriman Via Online (Gojek,Grab), Kuli</v>
      </c>
      <c r="Q972" s="91"/>
      <c r="S972" s="112"/>
      <c r="T972" s="112"/>
      <c r="X972" s="102"/>
    </row>
    <row r="973" spans="1:24" s="101" customFormat="1" hidden="1" x14ac:dyDescent="0.25">
      <c r="A973" s="60" t="str">
        <f t="shared" si="73"/>
        <v>36511,05</v>
      </c>
      <c r="B973" s="60">
        <f>COUNTIF($J$7:J973,J973)</f>
        <v>36</v>
      </c>
      <c r="C973" s="60" t="str">
        <f t="shared" si="74"/>
        <v>0</v>
      </c>
      <c r="D973" s="60">
        <f>COUNTIF($K$7:K973,K973)</f>
        <v>0</v>
      </c>
      <c r="E973" s="91"/>
      <c r="F973" s="199">
        <v>44585</v>
      </c>
      <c r="G973" s="116" t="s">
        <v>149</v>
      </c>
      <c r="H973" s="91" t="s">
        <v>619</v>
      </c>
      <c r="I973" s="161" t="s">
        <v>677</v>
      </c>
      <c r="J973" s="115">
        <v>511.05</v>
      </c>
      <c r="K973" s="178"/>
      <c r="L973" s="197">
        <v>8000</v>
      </c>
      <c r="M973" s="165"/>
      <c r="N973" s="165"/>
      <c r="O973" s="130" t="s">
        <v>675</v>
      </c>
      <c r="P973" s="100" t="str">
        <f t="shared" si="75"/>
        <v>Biaya Transport Pengiriman Bensin, Parkir, Tol</v>
      </c>
      <c r="Q973" s="91"/>
      <c r="S973" s="112"/>
      <c r="T973" s="112"/>
      <c r="X973" s="102"/>
    </row>
    <row r="974" spans="1:24" s="101" customFormat="1" hidden="1" x14ac:dyDescent="0.25">
      <c r="A974" s="60" t="str">
        <f t="shared" si="73"/>
        <v>37511,05</v>
      </c>
      <c r="B974" s="60">
        <f>COUNTIF($J$7:J974,J974)</f>
        <v>37</v>
      </c>
      <c r="C974" s="60" t="str">
        <f t="shared" si="74"/>
        <v>0</v>
      </c>
      <c r="D974" s="60">
        <f>COUNTIF($K$7:K974,K974)</f>
        <v>0</v>
      </c>
      <c r="E974" s="91"/>
      <c r="F974" s="199">
        <v>44585</v>
      </c>
      <c r="G974" s="116" t="s">
        <v>149</v>
      </c>
      <c r="H974" s="91" t="s">
        <v>619</v>
      </c>
      <c r="I974" s="161" t="s">
        <v>678</v>
      </c>
      <c r="J974" s="115">
        <v>511.05</v>
      </c>
      <c r="K974" s="178"/>
      <c r="L974" s="197">
        <v>5000</v>
      </c>
      <c r="M974" s="165"/>
      <c r="N974" s="165"/>
      <c r="O974" s="130" t="s">
        <v>675</v>
      </c>
      <c r="P974" s="100" t="str">
        <f t="shared" si="75"/>
        <v>Biaya Transport Pengiriman Bensin, Parkir, Tol</v>
      </c>
      <c r="Q974" s="91"/>
      <c r="S974" s="112"/>
      <c r="T974" s="112"/>
      <c r="X974" s="102"/>
    </row>
    <row r="975" spans="1:24" s="101" customFormat="1" hidden="1" x14ac:dyDescent="0.25">
      <c r="A975" s="60" t="str">
        <f t="shared" si="73"/>
        <v>21511,04</v>
      </c>
      <c r="B975" s="60">
        <f>COUNTIF($J$7:J975,J975)</f>
        <v>21</v>
      </c>
      <c r="C975" s="60" t="str">
        <f t="shared" si="74"/>
        <v>0</v>
      </c>
      <c r="D975" s="60">
        <f>COUNTIF($K$7:K975,K975)</f>
        <v>0</v>
      </c>
      <c r="E975" s="91"/>
      <c r="F975" s="199">
        <v>44585</v>
      </c>
      <c r="G975" s="116" t="s">
        <v>149</v>
      </c>
      <c r="H975" s="91" t="s">
        <v>619</v>
      </c>
      <c r="I975" s="161" t="s">
        <v>679</v>
      </c>
      <c r="J975" s="123">
        <v>511.04</v>
      </c>
      <c r="K975" s="178"/>
      <c r="L975" s="197">
        <v>5000</v>
      </c>
      <c r="M975" s="165"/>
      <c r="N975" s="165"/>
      <c r="O975" s="130" t="s">
        <v>675</v>
      </c>
      <c r="P975" s="100" t="str">
        <f t="shared" si="75"/>
        <v>Biaya pengiriman Via Online (Gojek,Grab), Kuli</v>
      </c>
      <c r="Q975" s="91"/>
      <c r="S975" s="112"/>
      <c r="T975" s="112"/>
      <c r="X975" s="102"/>
    </row>
    <row r="976" spans="1:24" s="101" customFormat="1" hidden="1" x14ac:dyDescent="0.25">
      <c r="A976" s="60" t="str">
        <f t="shared" si="73"/>
        <v>38511,05</v>
      </c>
      <c r="B976" s="60">
        <f>COUNTIF($J$7:J976,J976)</f>
        <v>38</v>
      </c>
      <c r="C976" s="60" t="str">
        <f t="shared" si="74"/>
        <v>0</v>
      </c>
      <c r="D976" s="60">
        <f>COUNTIF($K$7:K976,K976)</f>
        <v>0</v>
      </c>
      <c r="E976" s="91"/>
      <c r="F976" s="199">
        <v>44585</v>
      </c>
      <c r="G976" s="116" t="s">
        <v>149</v>
      </c>
      <c r="H976" s="91" t="s">
        <v>619</v>
      </c>
      <c r="I976" s="161" t="s">
        <v>680</v>
      </c>
      <c r="J976" s="115">
        <v>511.05</v>
      </c>
      <c r="K976" s="178"/>
      <c r="L976" s="197">
        <v>4000</v>
      </c>
      <c r="M976" s="165"/>
      <c r="N976" s="165"/>
      <c r="O976" s="130" t="s">
        <v>675</v>
      </c>
      <c r="P976" s="100" t="str">
        <f t="shared" si="75"/>
        <v>Biaya Transport Pengiriman Bensin, Parkir, Tol</v>
      </c>
      <c r="Q976" s="91"/>
      <c r="S976" s="112"/>
      <c r="T976" s="112"/>
      <c r="X976" s="102"/>
    </row>
    <row r="977" spans="1:24" s="101" customFormat="1" hidden="1" x14ac:dyDescent="0.25">
      <c r="A977" s="60" t="str">
        <f t="shared" si="73"/>
        <v>39511,05</v>
      </c>
      <c r="B977" s="60">
        <f>COUNTIF($J$7:J977,J977)</f>
        <v>39</v>
      </c>
      <c r="C977" s="60" t="str">
        <f t="shared" si="74"/>
        <v>0</v>
      </c>
      <c r="D977" s="60">
        <f>COUNTIF($K$7:K977,K977)</f>
        <v>0</v>
      </c>
      <c r="E977" s="91"/>
      <c r="F977" s="199">
        <v>44585</v>
      </c>
      <c r="G977" s="116" t="s">
        <v>149</v>
      </c>
      <c r="H977" s="91" t="s">
        <v>619</v>
      </c>
      <c r="I977" s="161" t="s">
        <v>681</v>
      </c>
      <c r="J977" s="115">
        <v>511.05</v>
      </c>
      <c r="K977" s="178"/>
      <c r="L977" s="197">
        <v>10000</v>
      </c>
      <c r="M977" s="165"/>
      <c r="N977" s="165"/>
      <c r="O977" s="130" t="s">
        <v>675</v>
      </c>
      <c r="P977" s="100" t="str">
        <f t="shared" si="75"/>
        <v>Biaya Transport Pengiriman Bensin, Parkir, Tol</v>
      </c>
      <c r="Q977" s="91"/>
      <c r="S977" s="112"/>
      <c r="T977" s="112"/>
      <c r="X977" s="102"/>
    </row>
    <row r="978" spans="1:24" s="101" customFormat="1" ht="30" hidden="1" x14ac:dyDescent="0.25">
      <c r="A978" s="60" t="str">
        <f t="shared" si="73"/>
        <v>20511,03</v>
      </c>
      <c r="B978" s="60">
        <f>COUNTIF($J$7:J978,J978)</f>
        <v>20</v>
      </c>
      <c r="C978" s="60" t="str">
        <f t="shared" si="74"/>
        <v>0</v>
      </c>
      <c r="D978" s="60">
        <f>COUNTIF($K$7:K978,K978)</f>
        <v>0</v>
      </c>
      <c r="E978" s="91"/>
      <c r="F978" s="199">
        <v>44585</v>
      </c>
      <c r="G978" s="116" t="s">
        <v>149</v>
      </c>
      <c r="H978" s="91" t="s">
        <v>619</v>
      </c>
      <c r="I978" s="126" t="s">
        <v>682</v>
      </c>
      <c r="J978" s="115">
        <v>511.03</v>
      </c>
      <c r="K978" s="178"/>
      <c r="L978" s="198">
        <v>25000</v>
      </c>
      <c r="M978" s="165"/>
      <c r="N978" s="165"/>
      <c r="O978" s="130" t="s">
        <v>675</v>
      </c>
      <c r="P978" s="100" t="str">
        <f t="shared" si="75"/>
        <v>Biaya Pengiriman Barang Ekspedisi</v>
      </c>
      <c r="Q978" s="91"/>
      <c r="S978" s="112"/>
      <c r="T978" s="112"/>
      <c r="X978" s="102"/>
    </row>
    <row r="979" spans="1:24" s="101" customFormat="1" ht="30" hidden="1" x14ac:dyDescent="0.25">
      <c r="A979" s="60" t="str">
        <f t="shared" si="73"/>
        <v>21511,03</v>
      </c>
      <c r="B979" s="60">
        <f>COUNTIF($J$7:J979,J979)</f>
        <v>21</v>
      </c>
      <c r="C979" s="60" t="str">
        <f t="shared" si="74"/>
        <v>0</v>
      </c>
      <c r="D979" s="60">
        <f>COUNTIF($K$7:K979,K979)</f>
        <v>0</v>
      </c>
      <c r="E979" s="91"/>
      <c r="F979" s="199">
        <v>44585</v>
      </c>
      <c r="G979" s="116" t="s">
        <v>149</v>
      </c>
      <c r="H979" s="91" t="s">
        <v>619</v>
      </c>
      <c r="I979" s="126" t="s">
        <v>683</v>
      </c>
      <c r="J979" s="123">
        <v>511.03</v>
      </c>
      <c r="K979" s="178"/>
      <c r="L979" s="198">
        <v>404000</v>
      </c>
      <c r="M979" s="165"/>
      <c r="N979" s="165"/>
      <c r="O979" s="130" t="s">
        <v>675</v>
      </c>
      <c r="P979" s="100" t="str">
        <f t="shared" si="75"/>
        <v>Biaya Pengiriman Barang Ekspedisi</v>
      </c>
      <c r="Q979" s="91"/>
      <c r="S979" s="112"/>
      <c r="T979" s="112"/>
      <c r="X979" s="102"/>
    </row>
    <row r="980" spans="1:24" s="101" customFormat="1" hidden="1" x14ac:dyDescent="0.25">
      <c r="A980" s="60" t="str">
        <f t="shared" si="73"/>
        <v>22511,04</v>
      </c>
      <c r="B980" s="60">
        <f>COUNTIF($J$7:J980,J980)</f>
        <v>22</v>
      </c>
      <c r="C980" s="60" t="str">
        <f t="shared" si="74"/>
        <v>0</v>
      </c>
      <c r="D980" s="60">
        <f>COUNTIF($K$7:K980,K980)</f>
        <v>0</v>
      </c>
      <c r="E980" s="91"/>
      <c r="F980" s="199">
        <v>44585</v>
      </c>
      <c r="G980" s="116" t="s">
        <v>149</v>
      </c>
      <c r="H980" s="91" t="s">
        <v>619</v>
      </c>
      <c r="I980" s="161" t="s">
        <v>684</v>
      </c>
      <c r="J980" s="115">
        <v>511.04</v>
      </c>
      <c r="K980" s="178"/>
      <c r="L980" s="197">
        <v>210000</v>
      </c>
      <c r="M980" s="165"/>
      <c r="N980" s="165"/>
      <c r="O980" s="130" t="s">
        <v>675</v>
      </c>
      <c r="P980" s="100" t="str">
        <f t="shared" si="75"/>
        <v>Biaya pengiriman Via Online (Gojek,Grab), Kuli</v>
      </c>
      <c r="Q980" s="91"/>
      <c r="S980" s="112"/>
      <c r="T980" s="112"/>
      <c r="X980" s="102"/>
    </row>
    <row r="981" spans="1:24" s="101" customFormat="1" hidden="1" x14ac:dyDescent="0.25">
      <c r="A981" s="60" t="str">
        <f t="shared" si="73"/>
        <v>40511,05</v>
      </c>
      <c r="B981" s="60">
        <f>COUNTIF($J$7:J981,J981)</f>
        <v>40</v>
      </c>
      <c r="C981" s="60" t="str">
        <f t="shared" si="74"/>
        <v>0</v>
      </c>
      <c r="D981" s="60">
        <f>COUNTIF($K$7:K981,K981)</f>
        <v>0</v>
      </c>
      <c r="E981" s="91"/>
      <c r="F981" s="199">
        <v>44585</v>
      </c>
      <c r="G981" s="116" t="s">
        <v>149</v>
      </c>
      <c r="H981" s="91" t="s">
        <v>619</v>
      </c>
      <c r="I981" s="161" t="s">
        <v>685</v>
      </c>
      <c r="J981" s="115">
        <v>511.05</v>
      </c>
      <c r="K981" s="178"/>
      <c r="L981" s="197">
        <v>20000</v>
      </c>
      <c r="M981" s="165"/>
      <c r="N981" s="165"/>
      <c r="O981" s="130" t="s">
        <v>675</v>
      </c>
      <c r="P981" s="100" t="str">
        <f t="shared" si="75"/>
        <v>Biaya Transport Pengiriman Bensin, Parkir, Tol</v>
      </c>
      <c r="Q981" s="91"/>
      <c r="S981" s="112"/>
      <c r="T981" s="112"/>
      <c r="X981" s="102"/>
    </row>
    <row r="982" spans="1:24" s="101" customFormat="1" hidden="1" x14ac:dyDescent="0.25">
      <c r="A982" s="60" t="str">
        <f t="shared" si="73"/>
        <v>41511,05</v>
      </c>
      <c r="B982" s="60">
        <f>COUNTIF($J$7:J982,J982)</f>
        <v>41</v>
      </c>
      <c r="C982" s="60" t="str">
        <f t="shared" si="74"/>
        <v>0</v>
      </c>
      <c r="D982" s="60">
        <f>COUNTIF($K$7:K982,K982)</f>
        <v>0</v>
      </c>
      <c r="E982" s="91"/>
      <c r="F982" s="199">
        <v>44585</v>
      </c>
      <c r="G982" s="116" t="s">
        <v>149</v>
      </c>
      <c r="H982" s="91" t="s">
        <v>619</v>
      </c>
      <c r="I982" s="161" t="s">
        <v>686</v>
      </c>
      <c r="J982" s="115">
        <v>511.05</v>
      </c>
      <c r="K982" s="178"/>
      <c r="L982" s="197">
        <v>8000</v>
      </c>
      <c r="M982" s="165"/>
      <c r="N982" s="165"/>
      <c r="O982" s="130" t="s">
        <v>675</v>
      </c>
      <c r="P982" s="100" t="str">
        <f t="shared" si="75"/>
        <v>Biaya Transport Pengiriman Bensin, Parkir, Tol</v>
      </c>
      <c r="Q982" s="91"/>
      <c r="S982" s="112"/>
      <c r="T982" s="112"/>
      <c r="X982" s="102"/>
    </row>
    <row r="983" spans="1:24" s="101" customFormat="1" hidden="1" x14ac:dyDescent="0.25">
      <c r="A983" s="60" t="str">
        <f t="shared" si="73"/>
        <v>42511,05</v>
      </c>
      <c r="B983" s="60">
        <f>COUNTIF($J$7:J983,J983)</f>
        <v>42</v>
      </c>
      <c r="C983" s="60" t="str">
        <f t="shared" si="74"/>
        <v>0</v>
      </c>
      <c r="D983" s="60">
        <f>COUNTIF($K$7:K983,K983)</f>
        <v>0</v>
      </c>
      <c r="E983" s="91"/>
      <c r="F983" s="199">
        <v>44585</v>
      </c>
      <c r="G983" s="116" t="s">
        <v>149</v>
      </c>
      <c r="H983" s="91" t="s">
        <v>619</v>
      </c>
      <c r="I983" s="161" t="s">
        <v>687</v>
      </c>
      <c r="J983" s="115">
        <v>511.05</v>
      </c>
      <c r="K983" s="178"/>
      <c r="L983" s="197">
        <v>4000</v>
      </c>
      <c r="M983" s="165"/>
      <c r="N983" s="165"/>
      <c r="O983" s="130" t="s">
        <v>675</v>
      </c>
      <c r="P983" s="100" t="str">
        <f t="shared" si="75"/>
        <v>Biaya Transport Pengiriman Bensin, Parkir, Tol</v>
      </c>
      <c r="Q983" s="91"/>
      <c r="S983" s="112"/>
      <c r="T983" s="112"/>
      <c r="X983" s="102"/>
    </row>
    <row r="984" spans="1:24" s="101" customFormat="1" hidden="1" x14ac:dyDescent="0.25">
      <c r="A984" s="60" t="str">
        <f t="shared" si="73"/>
        <v>22511,03</v>
      </c>
      <c r="B984" s="60">
        <f>COUNTIF($J$7:J984,J984)</f>
        <v>22</v>
      </c>
      <c r="C984" s="60" t="str">
        <f t="shared" si="74"/>
        <v>0</v>
      </c>
      <c r="D984" s="60">
        <f>COUNTIF($K$7:K984,K984)</f>
        <v>0</v>
      </c>
      <c r="E984" s="91"/>
      <c r="F984" s="199">
        <v>44585</v>
      </c>
      <c r="G984" s="116" t="s">
        <v>149</v>
      </c>
      <c r="H984" s="91" t="s">
        <v>619</v>
      </c>
      <c r="I984" s="161" t="s">
        <v>688</v>
      </c>
      <c r="J984" s="123">
        <v>511.03</v>
      </c>
      <c r="K984" s="178"/>
      <c r="L984" s="197">
        <v>236000</v>
      </c>
      <c r="M984" s="165"/>
      <c r="N984" s="165"/>
      <c r="O984" s="130" t="s">
        <v>675</v>
      </c>
      <c r="P984" s="100" t="str">
        <f t="shared" si="75"/>
        <v>Biaya Pengiriman Barang Ekspedisi</v>
      </c>
      <c r="Q984" s="91"/>
      <c r="S984" s="112"/>
      <c r="T984" s="112"/>
      <c r="X984" s="102"/>
    </row>
    <row r="985" spans="1:24" s="101" customFormat="1" hidden="1" x14ac:dyDescent="0.25">
      <c r="A985" s="60" t="str">
        <f t="shared" si="73"/>
        <v>23511,04</v>
      </c>
      <c r="B985" s="60">
        <f>COUNTIF($J$7:J985,J985)</f>
        <v>23</v>
      </c>
      <c r="C985" s="60" t="str">
        <f t="shared" si="74"/>
        <v>0</v>
      </c>
      <c r="D985" s="60">
        <f>COUNTIF($K$7:K985,K985)</f>
        <v>0</v>
      </c>
      <c r="E985" s="91"/>
      <c r="F985" s="199">
        <v>44585</v>
      </c>
      <c r="G985" s="116" t="s">
        <v>149</v>
      </c>
      <c r="H985" s="91" t="s">
        <v>619</v>
      </c>
      <c r="I985" s="161" t="s">
        <v>689</v>
      </c>
      <c r="J985" s="123">
        <v>511.04</v>
      </c>
      <c r="K985" s="178"/>
      <c r="L985" s="197">
        <v>141000</v>
      </c>
      <c r="M985" s="165"/>
      <c r="N985" s="165"/>
      <c r="O985" s="130" t="s">
        <v>675</v>
      </c>
      <c r="P985" s="100" t="str">
        <f t="shared" si="75"/>
        <v>Biaya pengiriman Via Online (Gojek,Grab), Kuli</v>
      </c>
      <c r="Q985" s="91"/>
      <c r="S985" s="112"/>
      <c r="T985" s="112"/>
      <c r="X985" s="102"/>
    </row>
    <row r="986" spans="1:24" s="101" customFormat="1" hidden="1" x14ac:dyDescent="0.25">
      <c r="A986" s="60" t="str">
        <f t="shared" si="73"/>
        <v>24511,04</v>
      </c>
      <c r="B986" s="60">
        <f>COUNTIF($J$7:J986,J986)</f>
        <v>24</v>
      </c>
      <c r="C986" s="60" t="str">
        <f t="shared" si="74"/>
        <v>0</v>
      </c>
      <c r="D986" s="60">
        <f>COUNTIF($K$7:K986,K986)</f>
        <v>0</v>
      </c>
      <c r="E986" s="91"/>
      <c r="F986" s="199">
        <v>44585</v>
      </c>
      <c r="G986" s="116" t="s">
        <v>149</v>
      </c>
      <c r="H986" s="91" t="s">
        <v>619</v>
      </c>
      <c r="I986" s="161" t="s">
        <v>690</v>
      </c>
      <c r="J986" s="123">
        <v>511.04</v>
      </c>
      <c r="K986" s="178"/>
      <c r="L986" s="197">
        <v>91000</v>
      </c>
      <c r="M986" s="165"/>
      <c r="N986" s="165"/>
      <c r="O986" s="130" t="s">
        <v>675</v>
      </c>
      <c r="P986" s="100" t="str">
        <f t="shared" si="75"/>
        <v>Biaya pengiriman Via Online (Gojek,Grab), Kuli</v>
      </c>
      <c r="Q986" s="91"/>
      <c r="S986" s="112"/>
      <c r="T986" s="112"/>
      <c r="X986" s="102"/>
    </row>
    <row r="987" spans="1:24" s="101" customFormat="1" hidden="1" x14ac:dyDescent="0.25">
      <c r="A987" s="60" t="str">
        <f t="shared" si="73"/>
        <v>43511,05</v>
      </c>
      <c r="B987" s="60">
        <f>COUNTIF($J$7:J987,J987)</f>
        <v>43</v>
      </c>
      <c r="C987" s="60" t="str">
        <f t="shared" si="74"/>
        <v>0</v>
      </c>
      <c r="D987" s="60">
        <f>COUNTIF($K$7:K987,K987)</f>
        <v>0</v>
      </c>
      <c r="E987" s="91"/>
      <c r="F987" s="199">
        <v>44585</v>
      </c>
      <c r="G987" s="116" t="s">
        <v>149</v>
      </c>
      <c r="H987" s="91" t="s">
        <v>619</v>
      </c>
      <c r="I987" s="161" t="s">
        <v>691</v>
      </c>
      <c r="J987" s="115">
        <v>511.05</v>
      </c>
      <c r="K987" s="178"/>
      <c r="L987" s="197">
        <v>8000</v>
      </c>
      <c r="M987" s="165"/>
      <c r="N987" s="165"/>
      <c r="O987" s="130" t="s">
        <v>675</v>
      </c>
      <c r="P987" s="100" t="str">
        <f t="shared" si="75"/>
        <v>Biaya Transport Pengiriman Bensin, Parkir, Tol</v>
      </c>
      <c r="Q987" s="91"/>
      <c r="S987" s="112"/>
      <c r="T987" s="112"/>
      <c r="X987" s="102"/>
    </row>
    <row r="988" spans="1:24" s="101" customFormat="1" hidden="1" x14ac:dyDescent="0.25">
      <c r="A988" s="60" t="str">
        <f t="shared" si="73"/>
        <v>44511,05</v>
      </c>
      <c r="B988" s="60">
        <f>COUNTIF($J$7:J988,J988)</f>
        <v>44</v>
      </c>
      <c r="C988" s="60" t="str">
        <f t="shared" si="74"/>
        <v>0</v>
      </c>
      <c r="D988" s="60">
        <f>COUNTIF($K$7:K988,K988)</f>
        <v>0</v>
      </c>
      <c r="E988" s="91"/>
      <c r="F988" s="199">
        <v>44585</v>
      </c>
      <c r="G988" s="116" t="s">
        <v>149</v>
      </c>
      <c r="H988" s="91" t="s">
        <v>619</v>
      </c>
      <c r="I988" s="161" t="s">
        <v>692</v>
      </c>
      <c r="J988" s="115">
        <v>511.05</v>
      </c>
      <c r="K988" s="178"/>
      <c r="L988" s="197">
        <v>2000</v>
      </c>
      <c r="M988" s="165"/>
      <c r="N988" s="165"/>
      <c r="O988" s="130" t="s">
        <v>675</v>
      </c>
      <c r="P988" s="100" t="str">
        <f t="shared" si="75"/>
        <v>Biaya Transport Pengiriman Bensin, Parkir, Tol</v>
      </c>
      <c r="Q988" s="91"/>
      <c r="S988" s="112"/>
      <c r="T988" s="112"/>
      <c r="X988" s="102"/>
    </row>
    <row r="989" spans="1:24" s="101" customFormat="1" hidden="1" x14ac:dyDescent="0.25">
      <c r="A989" s="60" t="str">
        <f t="shared" si="73"/>
        <v>45511,05</v>
      </c>
      <c r="B989" s="60">
        <f>COUNTIF($J$7:J989,J989)</f>
        <v>45</v>
      </c>
      <c r="C989" s="60" t="str">
        <f t="shared" si="74"/>
        <v>0</v>
      </c>
      <c r="D989" s="60">
        <f>COUNTIF($K$7:K989,K989)</f>
        <v>0</v>
      </c>
      <c r="E989" s="91"/>
      <c r="F989" s="199">
        <v>44585</v>
      </c>
      <c r="G989" s="116" t="s">
        <v>149</v>
      </c>
      <c r="H989" s="91" t="s">
        <v>619</v>
      </c>
      <c r="I989" s="161" t="s">
        <v>693</v>
      </c>
      <c r="J989" s="115">
        <v>511.05</v>
      </c>
      <c r="K989" s="178"/>
      <c r="L989" s="197">
        <v>16000</v>
      </c>
      <c r="M989" s="165"/>
      <c r="N989" s="165"/>
      <c r="O989" s="130" t="s">
        <v>675</v>
      </c>
      <c r="P989" s="100" t="str">
        <f t="shared" si="75"/>
        <v>Biaya Transport Pengiriman Bensin, Parkir, Tol</v>
      </c>
      <c r="Q989" s="91"/>
      <c r="S989" s="112"/>
      <c r="T989" s="112"/>
      <c r="X989" s="102"/>
    </row>
    <row r="990" spans="1:24" s="101" customFormat="1" hidden="1" x14ac:dyDescent="0.25">
      <c r="A990" s="60" t="str">
        <f t="shared" si="73"/>
        <v>46511,05</v>
      </c>
      <c r="B990" s="60">
        <f>COUNTIF($J$7:J990,J990)</f>
        <v>46</v>
      </c>
      <c r="C990" s="60" t="str">
        <f t="shared" si="74"/>
        <v>0</v>
      </c>
      <c r="D990" s="60">
        <f>COUNTIF($K$7:K990,K990)</f>
        <v>0</v>
      </c>
      <c r="E990" s="91"/>
      <c r="F990" s="199">
        <v>44585</v>
      </c>
      <c r="G990" s="116" t="s">
        <v>149</v>
      </c>
      <c r="H990" s="91" t="s">
        <v>619</v>
      </c>
      <c r="I990" s="161" t="s">
        <v>685</v>
      </c>
      <c r="J990" s="115">
        <v>511.05</v>
      </c>
      <c r="K990" s="178"/>
      <c r="L990" s="197">
        <v>20000</v>
      </c>
      <c r="M990" s="165"/>
      <c r="N990" s="165"/>
      <c r="O990" s="130" t="s">
        <v>675</v>
      </c>
      <c r="P990" s="100" t="str">
        <f t="shared" si="75"/>
        <v>Biaya Transport Pengiriman Bensin, Parkir, Tol</v>
      </c>
      <c r="Q990" s="91"/>
      <c r="S990" s="112"/>
      <c r="T990" s="112"/>
      <c r="X990" s="102"/>
    </row>
    <row r="991" spans="1:24" s="101" customFormat="1" hidden="1" x14ac:dyDescent="0.25">
      <c r="A991" s="60" t="str">
        <f t="shared" si="73"/>
        <v>14610,1</v>
      </c>
      <c r="B991" s="60">
        <f>COUNTIF($J$7:J991,J991)</f>
        <v>14</v>
      </c>
      <c r="C991" s="60" t="str">
        <f t="shared" si="74"/>
        <v>0</v>
      </c>
      <c r="D991" s="60">
        <f>COUNTIF($K$7:K991,K991)</f>
        <v>0</v>
      </c>
      <c r="E991" s="91"/>
      <c r="F991" s="199">
        <v>44585</v>
      </c>
      <c r="G991" s="116" t="s">
        <v>149</v>
      </c>
      <c r="H991" s="91" t="s">
        <v>619</v>
      </c>
      <c r="I991" s="161" t="s">
        <v>694</v>
      </c>
      <c r="J991" s="123">
        <v>610.1</v>
      </c>
      <c r="K991" s="178"/>
      <c r="L991" s="197">
        <v>36000</v>
      </c>
      <c r="M991" s="165"/>
      <c r="N991" s="165"/>
      <c r="O991" s="130" t="s">
        <v>675</v>
      </c>
      <c r="P991" s="100" t="str">
        <f t="shared" si="75"/>
        <v>Biaya Rumah Tangga Kantor</v>
      </c>
      <c r="Q991" s="91"/>
      <c r="S991" s="112"/>
      <c r="T991" s="112"/>
      <c r="X991" s="102"/>
    </row>
    <row r="992" spans="1:24" s="101" customFormat="1" hidden="1" x14ac:dyDescent="0.25">
      <c r="A992" s="60" t="str">
        <f t="shared" si="73"/>
        <v>25511,04</v>
      </c>
      <c r="B992" s="60">
        <f>COUNTIF($J$7:J992,J992)</f>
        <v>25</v>
      </c>
      <c r="C992" s="60" t="str">
        <f t="shared" si="74"/>
        <v>0</v>
      </c>
      <c r="D992" s="60">
        <f>COUNTIF($K$7:K992,K992)</f>
        <v>0</v>
      </c>
      <c r="E992" s="91"/>
      <c r="F992" s="199">
        <v>44585</v>
      </c>
      <c r="G992" s="116" t="s">
        <v>149</v>
      </c>
      <c r="H992" s="91" t="s">
        <v>619</v>
      </c>
      <c r="I992" s="161" t="s">
        <v>695</v>
      </c>
      <c r="J992" s="123">
        <v>511.04</v>
      </c>
      <c r="K992" s="178"/>
      <c r="L992" s="197">
        <v>59000</v>
      </c>
      <c r="M992" s="165"/>
      <c r="N992" s="165"/>
      <c r="O992" s="130" t="s">
        <v>675</v>
      </c>
      <c r="P992" s="100" t="str">
        <f t="shared" si="75"/>
        <v>Biaya pengiriman Via Online (Gojek,Grab), Kuli</v>
      </c>
      <c r="Q992" s="91"/>
      <c r="S992" s="112"/>
      <c r="T992" s="112"/>
      <c r="X992" s="102"/>
    </row>
    <row r="993" spans="1:24" s="101" customFormat="1" hidden="1" x14ac:dyDescent="0.25">
      <c r="A993" s="60" t="str">
        <f t="shared" si="73"/>
        <v>47511,05</v>
      </c>
      <c r="B993" s="60">
        <f>COUNTIF($J$7:J993,J993)</f>
        <v>47</v>
      </c>
      <c r="C993" s="60" t="str">
        <f t="shared" si="74"/>
        <v>0</v>
      </c>
      <c r="D993" s="60">
        <f>COUNTIF($K$7:K993,K993)</f>
        <v>0</v>
      </c>
      <c r="E993" s="91"/>
      <c r="F993" s="199">
        <v>44585</v>
      </c>
      <c r="G993" s="116" t="s">
        <v>149</v>
      </c>
      <c r="H993" s="91" t="s">
        <v>619</v>
      </c>
      <c r="I993" s="161" t="s">
        <v>696</v>
      </c>
      <c r="J993" s="115">
        <v>511.05</v>
      </c>
      <c r="K993" s="178"/>
      <c r="L993" s="197">
        <v>20000</v>
      </c>
      <c r="M993" s="165"/>
      <c r="N993" s="165"/>
      <c r="O993" s="130" t="s">
        <v>675</v>
      </c>
      <c r="P993" s="100" t="str">
        <f t="shared" si="75"/>
        <v>Biaya Transport Pengiriman Bensin, Parkir, Tol</v>
      </c>
      <c r="Q993" s="91"/>
      <c r="S993" s="112"/>
      <c r="T993" s="112"/>
      <c r="X993" s="102"/>
    </row>
    <row r="994" spans="1:24" s="101" customFormat="1" hidden="1" x14ac:dyDescent="0.25">
      <c r="A994" s="60" t="str">
        <f t="shared" si="73"/>
        <v>48511,05</v>
      </c>
      <c r="B994" s="60">
        <f>COUNTIF($J$7:J994,J994)</f>
        <v>48</v>
      </c>
      <c r="C994" s="60" t="str">
        <f t="shared" si="74"/>
        <v>0</v>
      </c>
      <c r="D994" s="60">
        <f>COUNTIF($K$7:K994,K994)</f>
        <v>0</v>
      </c>
      <c r="E994" s="91"/>
      <c r="F994" s="199">
        <v>44585</v>
      </c>
      <c r="G994" s="116" t="s">
        <v>149</v>
      </c>
      <c r="H994" s="91" t="s">
        <v>619</v>
      </c>
      <c r="I994" s="161" t="s">
        <v>697</v>
      </c>
      <c r="J994" s="115">
        <v>511.05</v>
      </c>
      <c r="K994" s="178"/>
      <c r="L994" s="197">
        <v>8000</v>
      </c>
      <c r="M994" s="165"/>
      <c r="N994" s="165"/>
      <c r="O994" s="130" t="s">
        <v>675</v>
      </c>
      <c r="P994" s="100" t="str">
        <f t="shared" si="75"/>
        <v>Biaya Transport Pengiriman Bensin, Parkir, Tol</v>
      </c>
      <c r="Q994" s="91"/>
      <c r="S994" s="112"/>
      <c r="T994" s="112"/>
      <c r="X994" s="102"/>
    </row>
    <row r="995" spans="1:24" s="101" customFormat="1" ht="19.899999999999999" hidden="1" customHeight="1" x14ac:dyDescent="0.25">
      <c r="A995" s="60" t="str">
        <f t="shared" si="73"/>
        <v>22119</v>
      </c>
      <c r="B995" s="60">
        <f>COUNTIF($J$7:J995,J995)</f>
        <v>22</v>
      </c>
      <c r="C995" s="60" t="str">
        <f t="shared" si="74"/>
        <v>7119,02</v>
      </c>
      <c r="D995" s="60">
        <f>COUNTIF($K$7:K995,K995)</f>
        <v>7</v>
      </c>
      <c r="E995" s="91"/>
      <c r="F995" s="199">
        <v>44585</v>
      </c>
      <c r="G995" s="116" t="s">
        <v>149</v>
      </c>
      <c r="H995" s="91" t="s">
        <v>645</v>
      </c>
      <c r="I995" s="125" t="s">
        <v>698</v>
      </c>
      <c r="J995" s="129">
        <v>119</v>
      </c>
      <c r="K995" s="108">
        <v>119.02</v>
      </c>
      <c r="L995" s="130"/>
      <c r="M995" s="165">
        <v>2000000</v>
      </c>
      <c r="N995" s="165"/>
      <c r="O995" s="188">
        <f>M995-SUM(L971:L994)</f>
        <v>224000</v>
      </c>
      <c r="P995" s="100" t="str">
        <f t="shared" si="75"/>
        <v>Uang Muka Biaya Pengiriman dan Perjalanan Dinas Marketing</v>
      </c>
      <c r="Q995" s="91"/>
      <c r="S995" s="112"/>
      <c r="T995" s="112"/>
      <c r="X995" s="102"/>
    </row>
    <row r="996" spans="1:24" s="101" customFormat="1" hidden="1" x14ac:dyDescent="0.25">
      <c r="A996" s="60" t="str">
        <f t="shared" si="73"/>
        <v>26511,04</v>
      </c>
      <c r="B996" s="60">
        <f>COUNTIF($J$7:J996,J996)</f>
        <v>26</v>
      </c>
      <c r="C996" s="60" t="str">
        <f t="shared" si="74"/>
        <v>0</v>
      </c>
      <c r="D996" s="60">
        <f>COUNTIF($K$7:K996,K996)</f>
        <v>0</v>
      </c>
      <c r="E996" s="91"/>
      <c r="F996" s="199">
        <v>44581</v>
      </c>
      <c r="G996" s="116" t="s">
        <v>149</v>
      </c>
      <c r="H996" s="91" t="s">
        <v>645</v>
      </c>
      <c r="I996" s="161" t="s">
        <v>699</v>
      </c>
      <c r="J996" s="115">
        <v>511.04</v>
      </c>
      <c r="K996" s="178"/>
      <c r="L996" s="197">
        <v>210000</v>
      </c>
      <c r="M996" s="165"/>
      <c r="N996" s="165"/>
      <c r="O996" s="91" t="s">
        <v>675</v>
      </c>
      <c r="P996" s="100" t="str">
        <f t="shared" si="75"/>
        <v>Biaya pengiriman Via Online (Gojek,Grab), Kuli</v>
      </c>
      <c r="Q996" s="91"/>
      <c r="S996" s="112"/>
      <c r="T996" s="112"/>
      <c r="X996" s="102"/>
    </row>
    <row r="997" spans="1:24" s="101" customFormat="1" hidden="1" x14ac:dyDescent="0.25">
      <c r="A997" s="60" t="str">
        <f t="shared" si="73"/>
        <v>27511,04</v>
      </c>
      <c r="B997" s="60">
        <f>COUNTIF($J$7:J997,J997)</f>
        <v>27</v>
      </c>
      <c r="C997" s="60" t="str">
        <f t="shared" si="74"/>
        <v>0</v>
      </c>
      <c r="D997" s="60">
        <f>COUNTIF($K$7:K997,K997)</f>
        <v>0</v>
      </c>
      <c r="E997" s="91"/>
      <c r="F997" s="199">
        <v>44581</v>
      </c>
      <c r="G997" s="116" t="s">
        <v>149</v>
      </c>
      <c r="H997" s="91" t="s">
        <v>645</v>
      </c>
      <c r="I997" s="161" t="s">
        <v>700</v>
      </c>
      <c r="J997" s="115">
        <v>511.04</v>
      </c>
      <c r="K997" s="178"/>
      <c r="L997" s="197">
        <v>262000</v>
      </c>
      <c r="M997" s="165"/>
      <c r="N997" s="165"/>
      <c r="O997" s="91" t="s">
        <v>675</v>
      </c>
      <c r="P997" s="100" t="str">
        <f t="shared" si="75"/>
        <v>Biaya pengiriman Via Online (Gojek,Grab), Kuli</v>
      </c>
      <c r="Q997" s="91"/>
      <c r="S997" s="112"/>
      <c r="T997" s="112"/>
      <c r="X997" s="102"/>
    </row>
    <row r="998" spans="1:24" s="101" customFormat="1" hidden="1" x14ac:dyDescent="0.25">
      <c r="A998" s="60" t="str">
        <f t="shared" si="73"/>
        <v>28511,04</v>
      </c>
      <c r="B998" s="60">
        <f>COUNTIF($J$7:J998,J998)</f>
        <v>28</v>
      </c>
      <c r="C998" s="60" t="str">
        <f t="shared" si="74"/>
        <v>0</v>
      </c>
      <c r="D998" s="60">
        <f>COUNTIF($K$7:K998,K998)</f>
        <v>0</v>
      </c>
      <c r="E998" s="91"/>
      <c r="F998" s="199">
        <v>44581</v>
      </c>
      <c r="G998" s="116" t="s">
        <v>149</v>
      </c>
      <c r="H998" s="91" t="s">
        <v>645</v>
      </c>
      <c r="I998" s="161" t="s">
        <v>701</v>
      </c>
      <c r="J998" s="123">
        <v>511.04</v>
      </c>
      <c r="K998" s="178"/>
      <c r="L998" s="197">
        <v>58000</v>
      </c>
      <c r="M998" s="165"/>
      <c r="N998" s="165"/>
      <c r="O998" s="91" t="s">
        <v>675</v>
      </c>
      <c r="P998" s="100" t="str">
        <f t="shared" si="75"/>
        <v>Biaya pengiriman Via Online (Gojek,Grab), Kuli</v>
      </c>
      <c r="Q998" s="91"/>
      <c r="S998" s="112"/>
      <c r="T998" s="112"/>
      <c r="X998" s="102"/>
    </row>
    <row r="999" spans="1:24" s="101" customFormat="1" hidden="1" x14ac:dyDescent="0.25">
      <c r="A999" s="60" t="str">
        <f t="shared" si="73"/>
        <v>49511,05</v>
      </c>
      <c r="B999" s="60">
        <f>COUNTIF($J$7:J999,J999)</f>
        <v>49</v>
      </c>
      <c r="C999" s="60" t="str">
        <f t="shared" si="74"/>
        <v>0</v>
      </c>
      <c r="D999" s="60">
        <f>COUNTIF($K$7:K999,K999)</f>
        <v>0</v>
      </c>
      <c r="E999" s="91"/>
      <c r="F999" s="199">
        <v>44581</v>
      </c>
      <c r="G999" s="116" t="s">
        <v>149</v>
      </c>
      <c r="H999" s="91" t="s">
        <v>645</v>
      </c>
      <c r="I999" s="161" t="s">
        <v>702</v>
      </c>
      <c r="J999" s="115">
        <v>511.05</v>
      </c>
      <c r="K999" s="178"/>
      <c r="L999" s="197">
        <v>3000</v>
      </c>
      <c r="M999" s="165"/>
      <c r="N999" s="165"/>
      <c r="O999" s="91" t="s">
        <v>675</v>
      </c>
      <c r="P999" s="100" t="str">
        <f t="shared" si="75"/>
        <v>Biaya Transport Pengiriman Bensin, Parkir, Tol</v>
      </c>
      <c r="Q999" s="91"/>
      <c r="S999" s="112"/>
      <c r="T999" s="112"/>
      <c r="X999" s="102"/>
    </row>
    <row r="1000" spans="1:24" s="101" customFormat="1" ht="30" hidden="1" x14ac:dyDescent="0.25">
      <c r="A1000" s="60" t="str">
        <f t="shared" si="73"/>
        <v>50511,05</v>
      </c>
      <c r="B1000" s="60">
        <f>COUNTIF($J$7:J1000,J1000)</f>
        <v>50</v>
      </c>
      <c r="C1000" s="60" t="str">
        <f t="shared" si="74"/>
        <v>0</v>
      </c>
      <c r="D1000" s="60">
        <f>COUNTIF($K$7:K1000,K1000)</f>
        <v>0</v>
      </c>
      <c r="E1000" s="91"/>
      <c r="F1000" s="199">
        <v>44581</v>
      </c>
      <c r="G1000" s="116" t="s">
        <v>149</v>
      </c>
      <c r="H1000" s="91" t="s">
        <v>645</v>
      </c>
      <c r="I1000" s="126" t="s">
        <v>703</v>
      </c>
      <c r="J1000" s="115">
        <v>511.05</v>
      </c>
      <c r="K1000" s="178"/>
      <c r="L1000" s="198">
        <v>8000</v>
      </c>
      <c r="M1000" s="165"/>
      <c r="N1000" s="165"/>
      <c r="O1000" s="91" t="s">
        <v>675</v>
      </c>
      <c r="P1000" s="100" t="str">
        <f t="shared" si="75"/>
        <v>Biaya Transport Pengiriman Bensin, Parkir, Tol</v>
      </c>
      <c r="Q1000" s="91"/>
      <c r="S1000" s="112"/>
      <c r="T1000" s="112"/>
      <c r="X1000" s="102"/>
    </row>
    <row r="1001" spans="1:24" s="101" customFormat="1" hidden="1" x14ac:dyDescent="0.25">
      <c r="A1001" s="60" t="str">
        <f t="shared" si="73"/>
        <v>51511,05</v>
      </c>
      <c r="B1001" s="60">
        <f>COUNTIF($J$7:J1001,J1001)</f>
        <v>51</v>
      </c>
      <c r="C1001" s="60" t="str">
        <f t="shared" si="74"/>
        <v>0</v>
      </c>
      <c r="D1001" s="60">
        <f>COUNTIF($K$7:K1001,K1001)</f>
        <v>0</v>
      </c>
      <c r="E1001" s="91"/>
      <c r="F1001" s="199">
        <v>44581</v>
      </c>
      <c r="G1001" s="116" t="s">
        <v>149</v>
      </c>
      <c r="H1001" s="91" t="s">
        <v>645</v>
      </c>
      <c r="I1001" s="161" t="s">
        <v>704</v>
      </c>
      <c r="J1001" s="115">
        <v>511.05</v>
      </c>
      <c r="K1001" s="178"/>
      <c r="L1001" s="197">
        <v>8000</v>
      </c>
      <c r="M1001" s="165"/>
      <c r="N1001" s="165"/>
      <c r="O1001" s="91" t="s">
        <v>675</v>
      </c>
      <c r="P1001" s="100" t="str">
        <f t="shared" si="75"/>
        <v>Biaya Transport Pengiriman Bensin, Parkir, Tol</v>
      </c>
      <c r="Q1001" s="91"/>
      <c r="S1001" s="112"/>
      <c r="T1001" s="112"/>
      <c r="X1001" s="102"/>
    </row>
    <row r="1002" spans="1:24" s="101" customFormat="1" hidden="1" x14ac:dyDescent="0.25">
      <c r="A1002" s="60" t="str">
        <f t="shared" si="73"/>
        <v>52511,05</v>
      </c>
      <c r="B1002" s="60">
        <f>COUNTIF($J$7:J1002,J1002)</f>
        <v>52</v>
      </c>
      <c r="C1002" s="60" t="str">
        <f t="shared" si="74"/>
        <v>0</v>
      </c>
      <c r="D1002" s="60">
        <f>COUNTIF($K$7:K1002,K1002)</f>
        <v>0</v>
      </c>
      <c r="E1002" s="91"/>
      <c r="F1002" s="199">
        <v>44581</v>
      </c>
      <c r="G1002" s="116" t="s">
        <v>149</v>
      </c>
      <c r="H1002" s="91" t="s">
        <v>645</v>
      </c>
      <c r="I1002" s="161" t="s">
        <v>705</v>
      </c>
      <c r="J1002" s="115">
        <v>511.05</v>
      </c>
      <c r="K1002" s="178"/>
      <c r="L1002" s="197">
        <v>8000</v>
      </c>
      <c r="M1002" s="165"/>
      <c r="N1002" s="165"/>
      <c r="O1002" s="91" t="s">
        <v>675</v>
      </c>
      <c r="P1002" s="100" t="str">
        <f t="shared" si="75"/>
        <v>Biaya Transport Pengiriman Bensin, Parkir, Tol</v>
      </c>
      <c r="Q1002" s="91"/>
      <c r="S1002" s="112"/>
      <c r="T1002" s="112"/>
      <c r="X1002" s="102"/>
    </row>
    <row r="1003" spans="1:24" s="101" customFormat="1" hidden="1" x14ac:dyDescent="0.25">
      <c r="A1003" s="60" t="str">
        <f t="shared" si="73"/>
        <v>53511,05</v>
      </c>
      <c r="B1003" s="60">
        <f>COUNTIF($J$7:J1003,J1003)</f>
        <v>53</v>
      </c>
      <c r="C1003" s="60" t="str">
        <f t="shared" si="74"/>
        <v>0</v>
      </c>
      <c r="D1003" s="60">
        <f>COUNTIF($K$7:K1003,K1003)</f>
        <v>0</v>
      </c>
      <c r="E1003" s="91"/>
      <c r="F1003" s="199">
        <v>44581</v>
      </c>
      <c r="G1003" s="116" t="s">
        <v>149</v>
      </c>
      <c r="H1003" s="91" t="s">
        <v>645</v>
      </c>
      <c r="I1003" s="161" t="s">
        <v>706</v>
      </c>
      <c r="J1003" s="115">
        <v>511.05</v>
      </c>
      <c r="K1003" s="178"/>
      <c r="L1003" s="197">
        <v>4000</v>
      </c>
      <c r="M1003" s="165"/>
      <c r="N1003" s="165"/>
      <c r="O1003" s="91" t="s">
        <v>675</v>
      </c>
      <c r="P1003" s="100" t="str">
        <f t="shared" si="75"/>
        <v>Biaya Transport Pengiriman Bensin, Parkir, Tol</v>
      </c>
      <c r="Q1003" s="91"/>
      <c r="S1003" s="112"/>
      <c r="T1003" s="112"/>
      <c r="X1003" s="102"/>
    </row>
    <row r="1004" spans="1:24" s="101" customFormat="1" hidden="1" x14ac:dyDescent="0.25">
      <c r="A1004" s="60" t="str">
        <f t="shared" si="73"/>
        <v>54511,05</v>
      </c>
      <c r="B1004" s="60">
        <f>COUNTIF($J$7:J1004,J1004)</f>
        <v>54</v>
      </c>
      <c r="C1004" s="60" t="str">
        <f t="shared" si="74"/>
        <v>0</v>
      </c>
      <c r="D1004" s="60">
        <f>COUNTIF($K$7:K1004,K1004)</f>
        <v>0</v>
      </c>
      <c r="E1004" s="91"/>
      <c r="F1004" s="199">
        <v>44581</v>
      </c>
      <c r="G1004" s="116" t="s">
        <v>149</v>
      </c>
      <c r="H1004" s="91" t="s">
        <v>645</v>
      </c>
      <c r="I1004" s="161" t="s">
        <v>707</v>
      </c>
      <c r="J1004" s="115">
        <v>511.05</v>
      </c>
      <c r="K1004" s="178"/>
      <c r="L1004" s="197">
        <v>8000</v>
      </c>
      <c r="M1004" s="165"/>
      <c r="N1004" s="165"/>
      <c r="O1004" s="91" t="s">
        <v>675</v>
      </c>
      <c r="P1004" s="100" t="str">
        <f t="shared" si="75"/>
        <v>Biaya Transport Pengiriman Bensin, Parkir, Tol</v>
      </c>
      <c r="Q1004" s="91"/>
      <c r="S1004" s="112"/>
      <c r="T1004" s="112"/>
      <c r="X1004" s="102"/>
    </row>
    <row r="1005" spans="1:24" s="101" customFormat="1" ht="30" hidden="1" x14ac:dyDescent="0.25">
      <c r="A1005" s="60" t="str">
        <f t="shared" si="73"/>
        <v>55511,05</v>
      </c>
      <c r="B1005" s="60">
        <f>COUNTIF($J$7:J1005,J1005)</f>
        <v>55</v>
      </c>
      <c r="C1005" s="60" t="str">
        <f t="shared" si="74"/>
        <v>0</v>
      </c>
      <c r="D1005" s="60">
        <f>COUNTIF($K$7:K1005,K1005)</f>
        <v>0</v>
      </c>
      <c r="E1005" s="91"/>
      <c r="F1005" s="199">
        <v>44581</v>
      </c>
      <c r="G1005" s="116" t="s">
        <v>149</v>
      </c>
      <c r="H1005" s="91" t="s">
        <v>645</v>
      </c>
      <c r="I1005" s="126" t="s">
        <v>708</v>
      </c>
      <c r="J1005" s="115">
        <v>511.05</v>
      </c>
      <c r="K1005" s="178"/>
      <c r="L1005" s="198">
        <v>4000</v>
      </c>
      <c r="M1005" s="165"/>
      <c r="N1005" s="165"/>
      <c r="O1005" s="91" t="s">
        <v>675</v>
      </c>
      <c r="P1005" s="100" t="str">
        <f t="shared" si="75"/>
        <v>Biaya Transport Pengiriman Bensin, Parkir, Tol</v>
      </c>
      <c r="Q1005" s="91"/>
      <c r="S1005" s="112"/>
      <c r="T1005" s="112"/>
      <c r="X1005" s="102"/>
    </row>
    <row r="1006" spans="1:24" s="101" customFormat="1" ht="30" hidden="1" x14ac:dyDescent="0.25">
      <c r="A1006" s="60" t="str">
        <f t="shared" si="73"/>
        <v>23511,03</v>
      </c>
      <c r="B1006" s="60">
        <f>COUNTIF($J$7:J1006,J1006)</f>
        <v>23</v>
      </c>
      <c r="C1006" s="60" t="str">
        <f t="shared" si="74"/>
        <v>0</v>
      </c>
      <c r="D1006" s="60">
        <f>COUNTIF($K$7:K1006,K1006)</f>
        <v>0</v>
      </c>
      <c r="E1006" s="91"/>
      <c r="F1006" s="199">
        <v>44581</v>
      </c>
      <c r="G1006" s="116" t="s">
        <v>149</v>
      </c>
      <c r="H1006" s="91" t="s">
        <v>645</v>
      </c>
      <c r="I1006" s="126" t="s">
        <v>709</v>
      </c>
      <c r="J1006" s="123">
        <v>511.03</v>
      </c>
      <c r="K1006" s="178"/>
      <c r="L1006" s="198">
        <v>210000</v>
      </c>
      <c r="M1006" s="165"/>
      <c r="N1006" s="165"/>
      <c r="O1006" s="91" t="s">
        <v>675</v>
      </c>
      <c r="P1006" s="100" t="str">
        <f t="shared" si="75"/>
        <v>Biaya Pengiriman Barang Ekspedisi</v>
      </c>
      <c r="Q1006" s="91"/>
      <c r="S1006" s="112"/>
      <c r="T1006" s="112"/>
      <c r="X1006" s="102"/>
    </row>
    <row r="1007" spans="1:24" s="101" customFormat="1" hidden="1" x14ac:dyDescent="0.25">
      <c r="A1007" s="60" t="str">
        <f t="shared" si="73"/>
        <v>24511,03</v>
      </c>
      <c r="B1007" s="60">
        <f>COUNTIF($J$7:J1007,J1007)</f>
        <v>24</v>
      </c>
      <c r="C1007" s="60" t="str">
        <f t="shared" si="74"/>
        <v>0</v>
      </c>
      <c r="D1007" s="60">
        <f>COUNTIF($K$7:K1007,K1007)</f>
        <v>0</v>
      </c>
      <c r="E1007" s="91"/>
      <c r="F1007" s="199">
        <v>44581</v>
      </c>
      <c r="G1007" s="116" t="s">
        <v>149</v>
      </c>
      <c r="H1007" s="91" t="s">
        <v>645</v>
      </c>
      <c r="I1007" s="161" t="s">
        <v>710</v>
      </c>
      <c r="J1007" s="123">
        <v>511.03</v>
      </c>
      <c r="K1007" s="178"/>
      <c r="L1007" s="197">
        <v>512000</v>
      </c>
      <c r="M1007" s="165"/>
      <c r="N1007" s="165"/>
      <c r="O1007" s="91" t="s">
        <v>675</v>
      </c>
      <c r="P1007" s="100" t="str">
        <f t="shared" si="75"/>
        <v>Biaya Pengiriman Barang Ekspedisi</v>
      </c>
      <c r="Q1007" s="91"/>
      <c r="S1007" s="112"/>
      <c r="T1007" s="112"/>
      <c r="X1007" s="102"/>
    </row>
    <row r="1008" spans="1:24" s="101" customFormat="1" ht="30" hidden="1" x14ac:dyDescent="0.25">
      <c r="A1008" s="60" t="str">
        <f t="shared" si="73"/>
        <v>25511,03</v>
      </c>
      <c r="B1008" s="60">
        <f>COUNTIF($J$7:J1008,J1008)</f>
        <v>25</v>
      </c>
      <c r="C1008" s="60" t="str">
        <f t="shared" si="74"/>
        <v>0</v>
      </c>
      <c r="D1008" s="60">
        <f>COUNTIF($K$7:K1008,K1008)</f>
        <v>0</v>
      </c>
      <c r="E1008" s="91"/>
      <c r="F1008" s="199">
        <v>44581</v>
      </c>
      <c r="G1008" s="116" t="s">
        <v>149</v>
      </c>
      <c r="H1008" s="91" t="s">
        <v>645</v>
      </c>
      <c r="I1008" s="126" t="s">
        <v>711</v>
      </c>
      <c r="J1008" s="115">
        <v>511.03</v>
      </c>
      <c r="K1008" s="178"/>
      <c r="L1008" s="198">
        <v>138000</v>
      </c>
      <c r="M1008" s="165"/>
      <c r="N1008" s="165"/>
      <c r="O1008" s="91" t="s">
        <v>675</v>
      </c>
      <c r="P1008" s="100" t="str">
        <f t="shared" si="75"/>
        <v>Biaya Pengiriman Barang Ekspedisi</v>
      </c>
      <c r="Q1008" s="91"/>
      <c r="S1008" s="112"/>
      <c r="T1008" s="112"/>
      <c r="X1008" s="102"/>
    </row>
    <row r="1009" spans="1:24" s="101" customFormat="1" ht="30" hidden="1" x14ac:dyDescent="0.25">
      <c r="A1009" s="60" t="str">
        <f t="shared" si="73"/>
        <v>29511,04</v>
      </c>
      <c r="B1009" s="60">
        <f>COUNTIF($J$7:J1009,J1009)</f>
        <v>29</v>
      </c>
      <c r="C1009" s="60" t="str">
        <f t="shared" si="74"/>
        <v>0</v>
      </c>
      <c r="D1009" s="60">
        <f>COUNTIF($K$7:K1009,K1009)</f>
        <v>0</v>
      </c>
      <c r="E1009" s="91"/>
      <c r="F1009" s="199">
        <v>44581</v>
      </c>
      <c r="G1009" s="116" t="s">
        <v>149</v>
      </c>
      <c r="H1009" s="91" t="s">
        <v>645</v>
      </c>
      <c r="I1009" s="126" t="s">
        <v>712</v>
      </c>
      <c r="J1009" s="115">
        <v>511.04</v>
      </c>
      <c r="K1009" s="178"/>
      <c r="L1009" s="198">
        <v>262000</v>
      </c>
      <c r="M1009" s="165"/>
      <c r="N1009" s="165"/>
      <c r="O1009" s="91" t="s">
        <v>675</v>
      </c>
      <c r="P1009" s="100" t="str">
        <f t="shared" si="75"/>
        <v>Biaya pengiriman Via Online (Gojek,Grab), Kuli</v>
      </c>
      <c r="Q1009" s="91"/>
      <c r="S1009" s="112"/>
      <c r="T1009" s="112"/>
      <c r="X1009" s="102"/>
    </row>
    <row r="1010" spans="1:24" s="101" customFormat="1" ht="30" hidden="1" x14ac:dyDescent="0.25">
      <c r="A1010" s="60" t="str">
        <f t="shared" si="73"/>
        <v>30511,04</v>
      </c>
      <c r="B1010" s="60">
        <f>COUNTIF($J$7:J1010,J1010)</f>
        <v>30</v>
      </c>
      <c r="C1010" s="60" t="str">
        <f t="shared" si="74"/>
        <v>0</v>
      </c>
      <c r="D1010" s="60">
        <f>COUNTIF($K$7:K1010,K1010)</f>
        <v>0</v>
      </c>
      <c r="E1010" s="91"/>
      <c r="F1010" s="199">
        <v>44581</v>
      </c>
      <c r="G1010" s="116" t="s">
        <v>149</v>
      </c>
      <c r="H1010" s="91" t="s">
        <v>645</v>
      </c>
      <c r="I1010" s="126" t="s">
        <v>713</v>
      </c>
      <c r="J1010" s="115">
        <v>511.04</v>
      </c>
      <c r="K1010" s="178"/>
      <c r="L1010" s="198">
        <v>210000</v>
      </c>
      <c r="M1010" s="165"/>
      <c r="N1010" s="165"/>
      <c r="O1010" s="91" t="s">
        <v>675</v>
      </c>
      <c r="P1010" s="100" t="str">
        <f t="shared" si="75"/>
        <v>Biaya pengiriman Via Online (Gojek,Grab), Kuli</v>
      </c>
      <c r="Q1010" s="91"/>
      <c r="S1010" s="112"/>
      <c r="T1010" s="112"/>
      <c r="X1010" s="102"/>
    </row>
    <row r="1011" spans="1:24" s="101" customFormat="1" ht="30" hidden="1" x14ac:dyDescent="0.25">
      <c r="A1011" s="60" t="str">
        <f t="shared" si="73"/>
        <v>31511,04</v>
      </c>
      <c r="B1011" s="60">
        <f>COUNTIF($J$7:J1011,J1011)</f>
        <v>31</v>
      </c>
      <c r="C1011" s="60" t="str">
        <f t="shared" si="74"/>
        <v>0</v>
      </c>
      <c r="D1011" s="60">
        <f>COUNTIF($K$7:K1011,K1011)</f>
        <v>0</v>
      </c>
      <c r="E1011" s="91"/>
      <c r="F1011" s="199">
        <v>44581</v>
      </c>
      <c r="G1011" s="116" t="s">
        <v>149</v>
      </c>
      <c r="H1011" s="91" t="s">
        <v>645</v>
      </c>
      <c r="I1011" s="126" t="s">
        <v>713</v>
      </c>
      <c r="J1011" s="115">
        <v>511.04</v>
      </c>
      <c r="K1011" s="178"/>
      <c r="L1011" s="198">
        <v>20000</v>
      </c>
      <c r="M1011" s="165"/>
      <c r="N1011" s="165"/>
      <c r="O1011" s="91" t="s">
        <v>675</v>
      </c>
      <c r="P1011" s="100" t="str">
        <f t="shared" si="75"/>
        <v>Biaya pengiriman Via Online (Gojek,Grab), Kuli</v>
      </c>
      <c r="Q1011" s="91"/>
      <c r="S1011" s="112"/>
      <c r="T1011" s="112"/>
      <c r="X1011" s="102"/>
    </row>
    <row r="1012" spans="1:24" s="101" customFormat="1" hidden="1" x14ac:dyDescent="0.25">
      <c r="A1012" s="60" t="str">
        <f t="shared" si="73"/>
        <v>23119</v>
      </c>
      <c r="B1012" s="60">
        <f>COUNTIF($J$7:J1012,J1012)</f>
        <v>23</v>
      </c>
      <c r="C1012" s="60" t="str">
        <f t="shared" si="74"/>
        <v>8119,02</v>
      </c>
      <c r="D1012" s="60">
        <f>COUNTIF($K$7:K1012,K1012)</f>
        <v>8</v>
      </c>
      <c r="E1012" s="91"/>
      <c r="F1012" s="199">
        <v>44581</v>
      </c>
      <c r="G1012" s="116" t="s">
        <v>149</v>
      </c>
      <c r="H1012" s="91" t="s">
        <v>645</v>
      </c>
      <c r="I1012" s="125" t="s">
        <v>714</v>
      </c>
      <c r="J1012" s="129">
        <v>119</v>
      </c>
      <c r="K1012" s="108">
        <v>119.02</v>
      </c>
      <c r="L1012" s="130"/>
      <c r="M1012" s="165">
        <v>1500000</v>
      </c>
      <c r="N1012" s="165"/>
      <c r="O1012" s="188">
        <f>M1012-SUM(L996:L1011)</f>
        <v>-425000</v>
      </c>
      <c r="P1012" s="100" t="str">
        <f t="shared" si="75"/>
        <v>Uang Muka Biaya Pengiriman dan Perjalanan Dinas Marketing</v>
      </c>
      <c r="Q1012" s="91"/>
      <c r="S1012" s="112"/>
      <c r="T1012" s="112"/>
      <c r="X1012" s="102"/>
    </row>
    <row r="1013" spans="1:24" s="101" customFormat="1" hidden="1" x14ac:dyDescent="0.25">
      <c r="A1013" s="60" t="str">
        <f t="shared" si="73"/>
        <v>32511,04</v>
      </c>
      <c r="B1013" s="60">
        <f>COUNTIF($J$7:J1013,J1013)</f>
        <v>32</v>
      </c>
      <c r="C1013" s="60" t="str">
        <f t="shared" si="74"/>
        <v>0</v>
      </c>
      <c r="D1013" s="60">
        <f>COUNTIF($K$7:K1013,K1013)</f>
        <v>0</v>
      </c>
      <c r="E1013" s="91"/>
      <c r="F1013" s="199">
        <v>44587</v>
      </c>
      <c r="G1013" s="116" t="s">
        <v>149</v>
      </c>
      <c r="H1013" s="91" t="s">
        <v>645</v>
      </c>
      <c r="I1013" s="161" t="s">
        <v>715</v>
      </c>
      <c r="J1013" s="123">
        <v>511.04</v>
      </c>
      <c r="K1013" s="178"/>
      <c r="L1013" s="197">
        <v>141000</v>
      </c>
      <c r="M1013" s="165"/>
      <c r="N1013" s="165"/>
      <c r="O1013" s="91"/>
      <c r="P1013" s="100" t="str">
        <f t="shared" si="75"/>
        <v>Biaya pengiriman Via Online (Gojek,Grab), Kuli</v>
      </c>
      <c r="Q1013" s="91"/>
      <c r="S1013" s="112"/>
      <c r="T1013" s="112"/>
      <c r="X1013" s="102"/>
    </row>
    <row r="1014" spans="1:24" s="101" customFormat="1" hidden="1" x14ac:dyDescent="0.25">
      <c r="A1014" s="60" t="str">
        <f t="shared" si="73"/>
        <v>33511,04</v>
      </c>
      <c r="B1014" s="60">
        <f>COUNTIF($J$7:J1014,J1014)</f>
        <v>33</v>
      </c>
      <c r="C1014" s="60" t="str">
        <f t="shared" si="74"/>
        <v>0</v>
      </c>
      <c r="D1014" s="60">
        <f>COUNTIF($K$7:K1014,K1014)</f>
        <v>0</v>
      </c>
      <c r="E1014" s="91"/>
      <c r="F1014" s="199">
        <v>44587</v>
      </c>
      <c r="G1014" s="116" t="s">
        <v>149</v>
      </c>
      <c r="H1014" s="91" t="s">
        <v>645</v>
      </c>
      <c r="I1014" s="161" t="s">
        <v>716</v>
      </c>
      <c r="J1014" s="123">
        <v>511.04</v>
      </c>
      <c r="K1014" s="178"/>
      <c r="L1014" s="197">
        <v>87000</v>
      </c>
      <c r="M1014" s="165"/>
      <c r="N1014" s="165"/>
      <c r="O1014" s="91"/>
      <c r="P1014" s="100" t="str">
        <f t="shared" si="75"/>
        <v>Biaya pengiriman Via Online (Gojek,Grab), Kuli</v>
      </c>
      <c r="Q1014" s="91"/>
      <c r="S1014" s="112"/>
      <c r="T1014" s="112"/>
      <c r="X1014" s="102"/>
    </row>
    <row r="1015" spans="1:24" s="101" customFormat="1" hidden="1" x14ac:dyDescent="0.25">
      <c r="A1015" s="60" t="str">
        <f t="shared" si="73"/>
        <v>56511,05</v>
      </c>
      <c r="B1015" s="60">
        <f>COUNTIF($J$7:J1015,J1015)</f>
        <v>56</v>
      </c>
      <c r="C1015" s="60" t="str">
        <f t="shared" si="74"/>
        <v>0</v>
      </c>
      <c r="D1015" s="60">
        <f>COUNTIF($K$7:K1015,K1015)</f>
        <v>0</v>
      </c>
      <c r="E1015" s="91"/>
      <c r="F1015" s="199">
        <v>44587</v>
      </c>
      <c r="G1015" s="116" t="s">
        <v>149</v>
      </c>
      <c r="H1015" s="91" t="s">
        <v>645</v>
      </c>
      <c r="I1015" s="161" t="s">
        <v>717</v>
      </c>
      <c r="J1015" s="115">
        <v>511.05</v>
      </c>
      <c r="K1015" s="178"/>
      <c r="L1015" s="197">
        <v>16000</v>
      </c>
      <c r="M1015" s="165"/>
      <c r="N1015" s="165"/>
      <c r="O1015" s="91"/>
      <c r="P1015" s="100" t="str">
        <f t="shared" si="75"/>
        <v>Biaya Transport Pengiriman Bensin, Parkir, Tol</v>
      </c>
      <c r="Q1015" s="91"/>
      <c r="S1015" s="112"/>
      <c r="T1015" s="112"/>
      <c r="X1015" s="102"/>
    </row>
    <row r="1016" spans="1:24" s="101" customFormat="1" hidden="1" x14ac:dyDescent="0.25">
      <c r="A1016" s="60" t="str">
        <f t="shared" si="73"/>
        <v>57511,05</v>
      </c>
      <c r="B1016" s="60">
        <f>COUNTIF($J$7:J1016,J1016)</f>
        <v>57</v>
      </c>
      <c r="C1016" s="60" t="str">
        <f t="shared" si="74"/>
        <v>0</v>
      </c>
      <c r="D1016" s="60">
        <f>COUNTIF($K$7:K1016,K1016)</f>
        <v>0</v>
      </c>
      <c r="E1016" s="91"/>
      <c r="F1016" s="199">
        <v>44587</v>
      </c>
      <c r="G1016" s="116" t="s">
        <v>149</v>
      </c>
      <c r="H1016" s="91" t="s">
        <v>645</v>
      </c>
      <c r="I1016" s="161" t="s">
        <v>718</v>
      </c>
      <c r="J1016" s="115">
        <v>511.05</v>
      </c>
      <c r="K1016" s="178"/>
      <c r="L1016" s="197">
        <v>8000</v>
      </c>
      <c r="M1016" s="165"/>
      <c r="N1016" s="165"/>
      <c r="O1016" s="91"/>
      <c r="P1016" s="100" t="str">
        <f t="shared" si="75"/>
        <v>Biaya Transport Pengiriman Bensin, Parkir, Tol</v>
      </c>
      <c r="Q1016" s="91"/>
      <c r="S1016" s="112"/>
      <c r="T1016" s="112"/>
      <c r="X1016" s="102"/>
    </row>
    <row r="1017" spans="1:24" s="101" customFormat="1" hidden="1" x14ac:dyDescent="0.25">
      <c r="A1017" s="60" t="str">
        <f t="shared" si="73"/>
        <v>34511,04</v>
      </c>
      <c r="B1017" s="60">
        <f>COUNTIF($J$7:J1017,J1017)</f>
        <v>34</v>
      </c>
      <c r="C1017" s="60" t="str">
        <f t="shared" si="74"/>
        <v>0</v>
      </c>
      <c r="D1017" s="60">
        <f>COUNTIF($K$7:K1017,K1017)</f>
        <v>0</v>
      </c>
      <c r="E1017" s="91"/>
      <c r="F1017" s="199">
        <v>44587</v>
      </c>
      <c r="G1017" s="116" t="s">
        <v>149</v>
      </c>
      <c r="H1017" s="91" t="s">
        <v>645</v>
      </c>
      <c r="I1017" s="126" t="s">
        <v>719</v>
      </c>
      <c r="J1017" s="115">
        <v>511.04</v>
      </c>
      <c r="K1017" s="178"/>
      <c r="L1017" s="198">
        <v>210000</v>
      </c>
      <c r="M1017" s="165"/>
      <c r="N1017" s="165"/>
      <c r="O1017" s="91"/>
      <c r="P1017" s="100" t="str">
        <f t="shared" si="75"/>
        <v>Biaya pengiriman Via Online (Gojek,Grab), Kuli</v>
      </c>
      <c r="Q1017" s="91"/>
      <c r="S1017" s="112"/>
      <c r="T1017" s="112"/>
      <c r="X1017" s="102"/>
    </row>
    <row r="1018" spans="1:24" s="101" customFormat="1" hidden="1" x14ac:dyDescent="0.25">
      <c r="A1018" s="60" t="str">
        <f t="shared" si="73"/>
        <v>35511,04</v>
      </c>
      <c r="B1018" s="60">
        <f>COUNTIF($J$7:J1018,J1018)</f>
        <v>35</v>
      </c>
      <c r="C1018" s="60" t="str">
        <f t="shared" si="74"/>
        <v>0</v>
      </c>
      <c r="D1018" s="60">
        <f>COUNTIF($K$7:K1018,K1018)</f>
        <v>0</v>
      </c>
      <c r="E1018" s="91"/>
      <c r="F1018" s="199">
        <v>44587</v>
      </c>
      <c r="G1018" s="116" t="s">
        <v>149</v>
      </c>
      <c r="H1018" s="91" t="s">
        <v>645</v>
      </c>
      <c r="I1018" s="126" t="s">
        <v>720</v>
      </c>
      <c r="J1018" s="123">
        <v>511.04</v>
      </c>
      <c r="K1018" s="178"/>
      <c r="L1018" s="198">
        <v>31000</v>
      </c>
      <c r="M1018" s="165"/>
      <c r="N1018" s="165"/>
      <c r="O1018" s="91"/>
      <c r="P1018" s="100" t="str">
        <f t="shared" si="75"/>
        <v>Biaya pengiriman Via Online (Gojek,Grab), Kuli</v>
      </c>
      <c r="Q1018" s="91"/>
      <c r="S1018" s="112"/>
      <c r="T1018" s="112"/>
      <c r="X1018" s="102"/>
    </row>
    <row r="1019" spans="1:24" s="101" customFormat="1" ht="30" hidden="1" x14ac:dyDescent="0.25">
      <c r="A1019" s="60" t="str">
        <f t="shared" si="73"/>
        <v>58511,05</v>
      </c>
      <c r="B1019" s="60">
        <f>COUNTIF($J$7:J1019,J1019)</f>
        <v>58</v>
      </c>
      <c r="C1019" s="60" t="str">
        <f t="shared" si="74"/>
        <v>0</v>
      </c>
      <c r="D1019" s="60">
        <f>COUNTIF($K$7:K1019,K1019)</f>
        <v>0</v>
      </c>
      <c r="E1019" s="91"/>
      <c r="F1019" s="199">
        <v>44587</v>
      </c>
      <c r="G1019" s="116" t="s">
        <v>149</v>
      </c>
      <c r="H1019" s="91" t="s">
        <v>645</v>
      </c>
      <c r="I1019" s="126" t="s">
        <v>721</v>
      </c>
      <c r="J1019" s="115">
        <v>511.05</v>
      </c>
      <c r="K1019" s="178"/>
      <c r="L1019" s="198">
        <v>8000</v>
      </c>
      <c r="M1019" s="165"/>
      <c r="N1019" s="165"/>
      <c r="O1019" s="91"/>
      <c r="P1019" s="100" t="str">
        <f t="shared" si="75"/>
        <v>Biaya Transport Pengiriman Bensin, Parkir, Tol</v>
      </c>
      <c r="Q1019" s="91"/>
      <c r="S1019" s="112"/>
      <c r="T1019" s="112"/>
      <c r="X1019" s="102"/>
    </row>
    <row r="1020" spans="1:24" s="101" customFormat="1" ht="30" hidden="1" x14ac:dyDescent="0.25">
      <c r="A1020" s="60" t="str">
        <f t="shared" si="73"/>
        <v>59511,05</v>
      </c>
      <c r="B1020" s="60">
        <f>COUNTIF($J$7:J1020,J1020)</f>
        <v>59</v>
      </c>
      <c r="C1020" s="60" t="str">
        <f t="shared" si="74"/>
        <v>0</v>
      </c>
      <c r="D1020" s="60">
        <f>COUNTIF($K$7:K1020,K1020)</f>
        <v>0</v>
      </c>
      <c r="E1020" s="91"/>
      <c r="F1020" s="199">
        <v>44587</v>
      </c>
      <c r="G1020" s="116" t="s">
        <v>149</v>
      </c>
      <c r="H1020" s="91" t="s">
        <v>645</v>
      </c>
      <c r="I1020" s="126" t="s">
        <v>721</v>
      </c>
      <c r="J1020" s="115">
        <v>511.05</v>
      </c>
      <c r="K1020" s="178"/>
      <c r="L1020" s="198">
        <v>8000</v>
      </c>
      <c r="M1020" s="165"/>
      <c r="N1020" s="165"/>
      <c r="O1020" s="91"/>
      <c r="P1020" s="100" t="str">
        <f t="shared" si="75"/>
        <v>Biaya Transport Pengiriman Bensin, Parkir, Tol</v>
      </c>
      <c r="Q1020" s="91"/>
      <c r="S1020" s="112"/>
      <c r="T1020" s="112"/>
      <c r="X1020" s="102"/>
    </row>
    <row r="1021" spans="1:24" s="101" customFormat="1" hidden="1" x14ac:dyDescent="0.25">
      <c r="A1021" s="60" t="str">
        <f t="shared" si="73"/>
        <v>15610,1</v>
      </c>
      <c r="B1021" s="60">
        <f>COUNTIF($J$7:J1021,J1021)</f>
        <v>15</v>
      </c>
      <c r="C1021" s="60" t="str">
        <f t="shared" si="74"/>
        <v>0</v>
      </c>
      <c r="D1021" s="60">
        <f>COUNTIF($K$7:K1021,K1021)</f>
        <v>0</v>
      </c>
      <c r="E1021" s="91"/>
      <c r="F1021" s="199">
        <v>44587</v>
      </c>
      <c r="G1021" s="116" t="s">
        <v>149</v>
      </c>
      <c r="H1021" s="91" t="s">
        <v>645</v>
      </c>
      <c r="I1021" s="110" t="s">
        <v>722</v>
      </c>
      <c r="J1021" s="117">
        <v>610.1</v>
      </c>
      <c r="K1021" s="178"/>
      <c r="L1021" s="196">
        <v>100000</v>
      </c>
      <c r="M1021" s="165"/>
      <c r="N1021" s="165"/>
      <c r="O1021" s="91"/>
      <c r="P1021" s="100" t="str">
        <f t="shared" si="75"/>
        <v>Biaya Rumah Tangga Kantor</v>
      </c>
      <c r="Q1021" s="91"/>
      <c r="S1021" s="112"/>
      <c r="T1021" s="112"/>
      <c r="X1021" s="102"/>
    </row>
    <row r="1022" spans="1:24" s="101" customFormat="1" hidden="1" x14ac:dyDescent="0.25">
      <c r="A1022" s="60" t="str">
        <f t="shared" si="73"/>
        <v>36511,04</v>
      </c>
      <c r="B1022" s="60">
        <f>COUNTIF($J$7:J1022,J1022)</f>
        <v>36</v>
      </c>
      <c r="C1022" s="60" t="str">
        <f t="shared" si="74"/>
        <v>0</v>
      </c>
      <c r="D1022" s="60">
        <f>COUNTIF($K$7:K1022,K1022)</f>
        <v>0</v>
      </c>
      <c r="E1022" s="91"/>
      <c r="F1022" s="199">
        <v>44587</v>
      </c>
      <c r="G1022" s="116" t="s">
        <v>149</v>
      </c>
      <c r="H1022" s="91" t="s">
        <v>645</v>
      </c>
      <c r="I1022" s="110" t="s">
        <v>723</v>
      </c>
      <c r="J1022" s="115">
        <v>511.04</v>
      </c>
      <c r="K1022" s="178"/>
      <c r="L1022" s="196">
        <v>490000</v>
      </c>
      <c r="M1022" s="165"/>
      <c r="N1022" s="165"/>
      <c r="O1022" s="91"/>
      <c r="P1022" s="100" t="str">
        <f t="shared" si="75"/>
        <v>Biaya pengiriman Via Online (Gojek,Grab), Kuli</v>
      </c>
      <c r="Q1022" s="91"/>
      <c r="S1022" s="112"/>
      <c r="T1022" s="112"/>
      <c r="X1022" s="102"/>
    </row>
    <row r="1023" spans="1:24" s="101" customFormat="1" hidden="1" x14ac:dyDescent="0.25">
      <c r="A1023" s="60" t="str">
        <f t="shared" si="73"/>
        <v>37511,04</v>
      </c>
      <c r="B1023" s="60">
        <f>COUNTIF($J$7:J1023,J1023)</f>
        <v>37</v>
      </c>
      <c r="C1023" s="60" t="str">
        <f t="shared" si="74"/>
        <v>0</v>
      </c>
      <c r="D1023" s="60">
        <f>COUNTIF($K$7:K1023,K1023)</f>
        <v>0</v>
      </c>
      <c r="E1023" s="91"/>
      <c r="F1023" s="199">
        <v>44587</v>
      </c>
      <c r="G1023" s="116" t="s">
        <v>149</v>
      </c>
      <c r="H1023" s="91" t="s">
        <v>645</v>
      </c>
      <c r="I1023" s="110" t="s">
        <v>724</v>
      </c>
      <c r="J1023" s="123">
        <v>511.04</v>
      </c>
      <c r="K1023" s="178"/>
      <c r="L1023" s="196">
        <v>198000</v>
      </c>
      <c r="M1023" s="165"/>
      <c r="N1023" s="165"/>
      <c r="O1023" s="91"/>
      <c r="P1023" s="100" t="str">
        <f t="shared" si="75"/>
        <v>Biaya pengiriman Via Online (Gojek,Grab), Kuli</v>
      </c>
      <c r="Q1023" s="91"/>
      <c r="S1023" s="112"/>
      <c r="T1023" s="112"/>
      <c r="X1023" s="102"/>
    </row>
    <row r="1024" spans="1:24" s="101" customFormat="1" hidden="1" x14ac:dyDescent="0.25">
      <c r="A1024" s="60" t="str">
        <f t="shared" si="73"/>
        <v>60511,05</v>
      </c>
      <c r="B1024" s="60">
        <f>COUNTIF($J$7:J1024,J1024)</f>
        <v>60</v>
      </c>
      <c r="C1024" s="60" t="str">
        <f t="shared" si="74"/>
        <v>0</v>
      </c>
      <c r="D1024" s="60">
        <f>COUNTIF($K$7:K1024,K1024)</f>
        <v>0</v>
      </c>
      <c r="E1024" s="91"/>
      <c r="F1024" s="199">
        <v>44587</v>
      </c>
      <c r="G1024" s="116" t="s">
        <v>149</v>
      </c>
      <c r="H1024" s="91" t="s">
        <v>645</v>
      </c>
      <c r="I1024" s="110" t="s">
        <v>725</v>
      </c>
      <c r="J1024" s="115">
        <v>511.05</v>
      </c>
      <c r="K1024" s="178"/>
      <c r="L1024" s="196">
        <v>8000</v>
      </c>
      <c r="M1024" s="165"/>
      <c r="N1024" s="165"/>
      <c r="O1024" s="91"/>
      <c r="P1024" s="100" t="str">
        <f t="shared" si="75"/>
        <v>Biaya Transport Pengiriman Bensin, Parkir, Tol</v>
      </c>
      <c r="Q1024" s="91"/>
      <c r="S1024" s="112"/>
      <c r="T1024" s="112"/>
      <c r="X1024" s="102"/>
    </row>
    <row r="1025" spans="1:24" s="101" customFormat="1" hidden="1" x14ac:dyDescent="0.25">
      <c r="A1025" s="60" t="str">
        <f t="shared" si="73"/>
        <v>61511,05</v>
      </c>
      <c r="B1025" s="60">
        <f>COUNTIF($J$7:J1025,J1025)</f>
        <v>61</v>
      </c>
      <c r="C1025" s="60" t="str">
        <f t="shared" si="74"/>
        <v>0</v>
      </c>
      <c r="D1025" s="60">
        <f>COUNTIF($K$7:K1025,K1025)</f>
        <v>0</v>
      </c>
      <c r="E1025" s="91"/>
      <c r="F1025" s="199">
        <v>44587</v>
      </c>
      <c r="G1025" s="116" t="s">
        <v>149</v>
      </c>
      <c r="H1025" s="91" t="s">
        <v>645</v>
      </c>
      <c r="I1025" s="110" t="s">
        <v>726</v>
      </c>
      <c r="J1025" s="115">
        <v>511.05</v>
      </c>
      <c r="K1025" s="178"/>
      <c r="L1025" s="196">
        <v>7000</v>
      </c>
      <c r="M1025" s="165"/>
      <c r="N1025" s="165"/>
      <c r="O1025" s="91"/>
      <c r="P1025" s="100" t="str">
        <f t="shared" si="75"/>
        <v>Biaya Transport Pengiriman Bensin, Parkir, Tol</v>
      </c>
      <c r="Q1025" s="91"/>
      <c r="S1025" s="112"/>
      <c r="T1025" s="112"/>
      <c r="X1025" s="102"/>
    </row>
    <row r="1026" spans="1:24" s="101" customFormat="1" hidden="1" x14ac:dyDescent="0.25">
      <c r="A1026" s="60" t="str">
        <f t="shared" si="73"/>
        <v>62511,05</v>
      </c>
      <c r="B1026" s="60">
        <f>COUNTIF($J$7:J1026,J1026)</f>
        <v>62</v>
      </c>
      <c r="C1026" s="60" t="str">
        <f t="shared" si="74"/>
        <v>0</v>
      </c>
      <c r="D1026" s="60">
        <f>COUNTIF($K$7:K1026,K1026)</f>
        <v>0</v>
      </c>
      <c r="E1026" s="91"/>
      <c r="F1026" s="199">
        <v>44587</v>
      </c>
      <c r="G1026" s="116" t="s">
        <v>149</v>
      </c>
      <c r="H1026" s="91" t="s">
        <v>645</v>
      </c>
      <c r="I1026" s="110" t="s">
        <v>727</v>
      </c>
      <c r="J1026" s="115">
        <v>511.05</v>
      </c>
      <c r="K1026" s="178"/>
      <c r="L1026" s="196">
        <v>5500</v>
      </c>
      <c r="M1026" s="165"/>
      <c r="N1026" s="165"/>
      <c r="O1026" s="91"/>
      <c r="P1026" s="100" t="str">
        <f t="shared" si="75"/>
        <v>Biaya Transport Pengiriman Bensin, Parkir, Tol</v>
      </c>
      <c r="Q1026" s="91"/>
      <c r="S1026" s="112"/>
      <c r="T1026" s="112"/>
      <c r="X1026" s="102"/>
    </row>
    <row r="1027" spans="1:24" s="101" customFormat="1" hidden="1" x14ac:dyDescent="0.25">
      <c r="A1027" s="60" t="str">
        <f t="shared" si="73"/>
        <v>63511,05</v>
      </c>
      <c r="B1027" s="60">
        <f>COUNTIF($J$7:J1027,J1027)</f>
        <v>63</v>
      </c>
      <c r="C1027" s="60" t="str">
        <f t="shared" si="74"/>
        <v>0</v>
      </c>
      <c r="D1027" s="60">
        <f>COUNTIF($K$7:K1027,K1027)</f>
        <v>0</v>
      </c>
      <c r="E1027" s="91"/>
      <c r="F1027" s="199">
        <v>44587</v>
      </c>
      <c r="G1027" s="116" t="s">
        <v>149</v>
      </c>
      <c r="H1027" s="91" t="s">
        <v>645</v>
      </c>
      <c r="I1027" s="110" t="s">
        <v>727</v>
      </c>
      <c r="J1027" s="115">
        <v>511.05</v>
      </c>
      <c r="K1027" s="178"/>
      <c r="L1027" s="196">
        <v>5500</v>
      </c>
      <c r="M1027" s="165"/>
      <c r="N1027" s="165"/>
      <c r="O1027" s="91"/>
      <c r="P1027" s="100" t="str">
        <f t="shared" si="75"/>
        <v>Biaya Transport Pengiriman Bensin, Parkir, Tol</v>
      </c>
      <c r="Q1027" s="91"/>
      <c r="S1027" s="112"/>
      <c r="T1027" s="112"/>
      <c r="X1027" s="102"/>
    </row>
    <row r="1028" spans="1:24" s="101" customFormat="1" hidden="1" x14ac:dyDescent="0.25">
      <c r="A1028" s="60" t="str">
        <f t="shared" si="73"/>
        <v>64511,05</v>
      </c>
      <c r="B1028" s="60">
        <f>COUNTIF($J$7:J1028,J1028)</f>
        <v>64</v>
      </c>
      <c r="C1028" s="60" t="str">
        <f t="shared" si="74"/>
        <v>0</v>
      </c>
      <c r="D1028" s="60">
        <f>COUNTIF($K$7:K1028,K1028)</f>
        <v>0</v>
      </c>
      <c r="E1028" s="91"/>
      <c r="F1028" s="199">
        <v>44587</v>
      </c>
      <c r="G1028" s="116" t="s">
        <v>149</v>
      </c>
      <c r="H1028" s="91" t="s">
        <v>645</v>
      </c>
      <c r="I1028" s="110" t="s">
        <v>728</v>
      </c>
      <c r="J1028" s="115">
        <v>511.05</v>
      </c>
      <c r="K1028" s="178"/>
      <c r="L1028" s="196">
        <v>7000</v>
      </c>
      <c r="M1028" s="165"/>
      <c r="N1028" s="165"/>
      <c r="O1028" s="91"/>
      <c r="P1028" s="100" t="str">
        <f t="shared" si="75"/>
        <v>Biaya Transport Pengiriman Bensin, Parkir, Tol</v>
      </c>
      <c r="Q1028" s="91"/>
      <c r="S1028" s="112"/>
      <c r="T1028" s="112"/>
      <c r="X1028" s="102"/>
    </row>
    <row r="1029" spans="1:24" s="101" customFormat="1" hidden="1" x14ac:dyDescent="0.25">
      <c r="A1029" s="60" t="str">
        <f t="shared" si="73"/>
        <v>65511,05</v>
      </c>
      <c r="B1029" s="60">
        <f>COUNTIF($J$7:J1029,J1029)</f>
        <v>65</v>
      </c>
      <c r="C1029" s="60" t="str">
        <f t="shared" si="74"/>
        <v>0</v>
      </c>
      <c r="D1029" s="60">
        <f>COUNTIF($K$7:K1029,K1029)</f>
        <v>0</v>
      </c>
      <c r="E1029" s="91"/>
      <c r="F1029" s="199">
        <v>44587</v>
      </c>
      <c r="G1029" s="116" t="s">
        <v>149</v>
      </c>
      <c r="H1029" s="91" t="s">
        <v>645</v>
      </c>
      <c r="I1029" s="110" t="s">
        <v>729</v>
      </c>
      <c r="J1029" s="115">
        <v>511.05</v>
      </c>
      <c r="K1029" s="178"/>
      <c r="L1029" s="196">
        <v>16000</v>
      </c>
      <c r="M1029" s="165"/>
      <c r="N1029" s="165"/>
      <c r="O1029" s="91"/>
      <c r="P1029" s="100" t="str">
        <f t="shared" si="75"/>
        <v>Biaya Transport Pengiriman Bensin, Parkir, Tol</v>
      </c>
      <c r="Q1029" s="91"/>
      <c r="S1029" s="112"/>
      <c r="T1029" s="112"/>
      <c r="X1029" s="102"/>
    </row>
    <row r="1030" spans="1:24" s="101" customFormat="1" hidden="1" x14ac:dyDescent="0.25">
      <c r="A1030" s="60" t="str">
        <f t="shared" si="73"/>
        <v>66511,05</v>
      </c>
      <c r="B1030" s="60">
        <f>COUNTIF($J$7:J1030,J1030)</f>
        <v>66</v>
      </c>
      <c r="C1030" s="60" t="str">
        <f t="shared" si="74"/>
        <v>0</v>
      </c>
      <c r="D1030" s="60">
        <f>COUNTIF($K$7:K1030,K1030)</f>
        <v>0</v>
      </c>
      <c r="E1030" s="91"/>
      <c r="F1030" s="199">
        <v>44587</v>
      </c>
      <c r="G1030" s="116" t="s">
        <v>149</v>
      </c>
      <c r="H1030" s="91" t="s">
        <v>645</v>
      </c>
      <c r="I1030" s="110" t="s">
        <v>730</v>
      </c>
      <c r="J1030" s="115">
        <v>511.05</v>
      </c>
      <c r="K1030" s="178"/>
      <c r="L1030" s="196">
        <v>10000</v>
      </c>
      <c r="M1030" s="165"/>
      <c r="N1030" s="165"/>
      <c r="O1030" s="91"/>
      <c r="P1030" s="100" t="str">
        <f t="shared" si="75"/>
        <v>Biaya Transport Pengiriman Bensin, Parkir, Tol</v>
      </c>
      <c r="Q1030" s="91"/>
      <c r="S1030" s="112"/>
      <c r="T1030" s="112"/>
      <c r="X1030" s="102"/>
    </row>
    <row r="1031" spans="1:24" s="101" customFormat="1" hidden="1" x14ac:dyDescent="0.25">
      <c r="A1031" s="60" t="str">
        <f t="shared" ref="A1031:A1094" si="76">B1031&amp;J1031</f>
        <v>67511,05</v>
      </c>
      <c r="B1031" s="60">
        <f>COUNTIF($J$7:J1031,J1031)</f>
        <v>67</v>
      </c>
      <c r="C1031" s="60" t="str">
        <f t="shared" ref="C1031:C1094" si="77">D1031&amp;K1031</f>
        <v>0</v>
      </c>
      <c r="D1031" s="60">
        <f>COUNTIF($K$7:K1031,K1031)</f>
        <v>0</v>
      </c>
      <c r="E1031" s="91"/>
      <c r="F1031" s="199">
        <v>44587</v>
      </c>
      <c r="G1031" s="116" t="s">
        <v>149</v>
      </c>
      <c r="H1031" s="91" t="s">
        <v>645</v>
      </c>
      <c r="I1031" s="110" t="s">
        <v>731</v>
      </c>
      <c r="J1031" s="115">
        <v>511.05</v>
      </c>
      <c r="K1031" s="178"/>
      <c r="L1031" s="196">
        <v>3000</v>
      </c>
      <c r="M1031" s="165"/>
      <c r="N1031" s="165"/>
      <c r="O1031" s="91"/>
      <c r="P1031" s="100" t="str">
        <f t="shared" ref="P1031:P1094" si="78">IF(J1031=0,"-",+VLOOKUP(J1031,DAF_AKUN,2,FALSE))</f>
        <v>Biaya Transport Pengiriman Bensin, Parkir, Tol</v>
      </c>
      <c r="Q1031" s="91"/>
      <c r="S1031" s="112"/>
      <c r="T1031" s="112"/>
      <c r="X1031" s="102"/>
    </row>
    <row r="1032" spans="1:24" s="101" customFormat="1" hidden="1" x14ac:dyDescent="0.25">
      <c r="A1032" s="60" t="str">
        <f t="shared" si="76"/>
        <v>68511,05</v>
      </c>
      <c r="B1032" s="60">
        <f>COUNTIF($J$7:J1032,J1032)</f>
        <v>68</v>
      </c>
      <c r="C1032" s="60" t="str">
        <f t="shared" si="77"/>
        <v>0</v>
      </c>
      <c r="D1032" s="60">
        <f>COUNTIF($K$7:K1032,K1032)</f>
        <v>0</v>
      </c>
      <c r="E1032" s="91"/>
      <c r="F1032" s="199">
        <v>44587</v>
      </c>
      <c r="G1032" s="116" t="s">
        <v>149</v>
      </c>
      <c r="H1032" s="91" t="s">
        <v>645</v>
      </c>
      <c r="I1032" s="110" t="s">
        <v>725</v>
      </c>
      <c r="J1032" s="115">
        <v>511.05</v>
      </c>
      <c r="K1032" s="178"/>
      <c r="L1032" s="196">
        <v>8000</v>
      </c>
      <c r="M1032" s="165"/>
      <c r="N1032" s="165"/>
      <c r="O1032" s="91"/>
      <c r="P1032" s="100" t="str">
        <f t="shared" si="78"/>
        <v>Biaya Transport Pengiriman Bensin, Parkir, Tol</v>
      </c>
      <c r="Q1032" s="91"/>
      <c r="S1032" s="112"/>
      <c r="T1032" s="112"/>
      <c r="X1032" s="102"/>
    </row>
    <row r="1033" spans="1:24" s="101" customFormat="1" hidden="1" x14ac:dyDescent="0.25">
      <c r="A1033" s="60" t="str">
        <f t="shared" si="76"/>
        <v>24119</v>
      </c>
      <c r="B1033" s="60">
        <f>COUNTIF($J$7:J1033,J1033)</f>
        <v>24</v>
      </c>
      <c r="C1033" s="60" t="str">
        <f t="shared" si="77"/>
        <v>9119,01</v>
      </c>
      <c r="D1033" s="60">
        <f>COUNTIF($K$7:K1033,K1033)</f>
        <v>9</v>
      </c>
      <c r="E1033" s="91"/>
      <c r="F1033" s="199">
        <v>44587</v>
      </c>
      <c r="G1033" s="116" t="s">
        <v>149</v>
      </c>
      <c r="H1033" s="91" t="s">
        <v>645</v>
      </c>
      <c r="I1033" s="125" t="s">
        <v>732</v>
      </c>
      <c r="J1033" s="129">
        <v>119</v>
      </c>
      <c r="K1033" s="108">
        <v>119.01</v>
      </c>
      <c r="L1033" s="130"/>
      <c r="M1033" s="165">
        <v>1000000</v>
      </c>
      <c r="N1033" s="165"/>
      <c r="O1033" s="188">
        <f>M1033-SUM(L1013:L1032)</f>
        <v>-367000</v>
      </c>
      <c r="P1033" s="100" t="str">
        <f t="shared" si="78"/>
        <v>Uang Muka Biaya Pengiriman dan Perjalanan Dinas Marketing</v>
      </c>
      <c r="Q1033" s="91"/>
      <c r="S1033" s="112"/>
      <c r="T1033" s="112"/>
      <c r="X1033" s="102"/>
    </row>
    <row r="1034" spans="1:24" s="101" customFormat="1" hidden="1" x14ac:dyDescent="0.25">
      <c r="A1034" s="60" t="str">
        <f t="shared" si="76"/>
        <v>25119</v>
      </c>
      <c r="B1034" s="60">
        <f>COUNTIF($J$7:J1034,J1034)</f>
        <v>25</v>
      </c>
      <c r="C1034" s="60" t="str">
        <f t="shared" si="77"/>
        <v>9119,02</v>
      </c>
      <c r="D1034" s="60">
        <f>COUNTIF($K$7:K1034,K1034)</f>
        <v>9</v>
      </c>
      <c r="E1034" s="91"/>
      <c r="F1034" s="184">
        <v>44585</v>
      </c>
      <c r="G1034" s="116" t="s">
        <v>149</v>
      </c>
      <c r="H1034" s="91" t="s">
        <v>645</v>
      </c>
      <c r="I1034" s="110" t="s">
        <v>733</v>
      </c>
      <c r="J1034" s="129">
        <v>119</v>
      </c>
      <c r="K1034" s="108">
        <v>119.02</v>
      </c>
      <c r="L1034" s="195"/>
      <c r="M1034" s="132">
        <v>2000000</v>
      </c>
      <c r="N1034" s="132"/>
      <c r="O1034" s="188">
        <f>M1034-SUM(L1035:L1067)</f>
        <v>-832000</v>
      </c>
      <c r="P1034" s="100" t="str">
        <f t="shared" si="78"/>
        <v>Uang Muka Biaya Pengiriman dan Perjalanan Dinas Marketing</v>
      </c>
      <c r="Q1034" s="91"/>
      <c r="S1034" s="112"/>
      <c r="T1034" s="112"/>
      <c r="X1034" s="102"/>
    </row>
    <row r="1035" spans="1:24" s="101" customFormat="1" hidden="1" x14ac:dyDescent="0.25">
      <c r="A1035" s="60" t="str">
        <f t="shared" si="76"/>
        <v>38511,04</v>
      </c>
      <c r="B1035" s="60">
        <f>COUNTIF($J$7:J1035,J1035)</f>
        <v>38</v>
      </c>
      <c r="C1035" s="60" t="str">
        <f t="shared" si="77"/>
        <v>0</v>
      </c>
      <c r="D1035" s="60">
        <f>COUNTIF($K$7:K1035,K1035)</f>
        <v>0</v>
      </c>
      <c r="E1035" s="91"/>
      <c r="F1035" s="193">
        <v>44585</v>
      </c>
      <c r="G1035" s="116" t="s">
        <v>149</v>
      </c>
      <c r="H1035" s="91" t="s">
        <v>645</v>
      </c>
      <c r="I1035" s="110" t="s">
        <v>734</v>
      </c>
      <c r="J1035" s="115">
        <v>511.04</v>
      </c>
      <c r="K1035" s="166"/>
      <c r="L1035" s="202">
        <v>210000</v>
      </c>
      <c r="M1035" s="165"/>
      <c r="N1035" s="165"/>
      <c r="O1035" s="91"/>
      <c r="P1035" s="100" t="str">
        <f t="shared" si="78"/>
        <v>Biaya pengiriman Via Online (Gojek,Grab), Kuli</v>
      </c>
      <c r="Q1035" s="91"/>
      <c r="S1035" s="112"/>
      <c r="T1035" s="112"/>
      <c r="X1035" s="102"/>
    </row>
    <row r="1036" spans="1:24" s="101" customFormat="1" hidden="1" x14ac:dyDescent="0.25">
      <c r="A1036" s="60" t="str">
        <f t="shared" si="76"/>
        <v>39511,04</v>
      </c>
      <c r="B1036" s="60">
        <f>COUNTIF($J$7:J1036,J1036)</f>
        <v>39</v>
      </c>
      <c r="C1036" s="60" t="str">
        <f t="shared" si="77"/>
        <v>0</v>
      </c>
      <c r="D1036" s="60">
        <f>COUNTIF($K$7:K1036,K1036)</f>
        <v>0</v>
      </c>
      <c r="E1036" s="91"/>
      <c r="F1036" s="193">
        <v>44586</v>
      </c>
      <c r="G1036" s="116" t="s">
        <v>149</v>
      </c>
      <c r="H1036" s="91" t="s">
        <v>645</v>
      </c>
      <c r="I1036" s="110" t="s">
        <v>735</v>
      </c>
      <c r="J1036" s="115">
        <v>511.04</v>
      </c>
      <c r="K1036" s="166"/>
      <c r="L1036" s="198">
        <v>262000</v>
      </c>
      <c r="M1036" s="165"/>
      <c r="N1036" s="165"/>
      <c r="O1036" s="91"/>
      <c r="P1036" s="100" t="str">
        <f t="shared" si="78"/>
        <v>Biaya pengiriman Via Online (Gojek,Grab), Kuli</v>
      </c>
      <c r="Q1036" s="91"/>
      <c r="S1036" s="112"/>
      <c r="T1036" s="112"/>
      <c r="X1036" s="102"/>
    </row>
    <row r="1037" spans="1:24" s="101" customFormat="1" hidden="1" x14ac:dyDescent="0.25">
      <c r="A1037" s="60" t="str">
        <f t="shared" si="76"/>
        <v>40511,04</v>
      </c>
      <c r="B1037" s="60">
        <f>COUNTIF($J$7:J1037,J1037)</f>
        <v>40</v>
      </c>
      <c r="C1037" s="60" t="str">
        <f t="shared" si="77"/>
        <v>0</v>
      </c>
      <c r="D1037" s="60">
        <f>COUNTIF($K$7:K1037,K1037)</f>
        <v>0</v>
      </c>
      <c r="E1037" s="91"/>
      <c r="F1037" s="193">
        <v>44586</v>
      </c>
      <c r="G1037" s="116" t="s">
        <v>149</v>
      </c>
      <c r="H1037" s="91" t="s">
        <v>645</v>
      </c>
      <c r="I1037" s="110" t="s">
        <v>735</v>
      </c>
      <c r="J1037" s="115">
        <v>511.04</v>
      </c>
      <c r="K1037" s="166"/>
      <c r="L1037" s="198">
        <v>255000</v>
      </c>
      <c r="M1037" s="165"/>
      <c r="N1037" s="165"/>
      <c r="O1037" s="91"/>
      <c r="P1037" s="100" t="str">
        <f t="shared" si="78"/>
        <v>Biaya pengiriman Via Online (Gojek,Grab), Kuli</v>
      </c>
      <c r="Q1037" s="91"/>
      <c r="S1037" s="112"/>
      <c r="T1037" s="112"/>
      <c r="X1037" s="102"/>
    </row>
    <row r="1038" spans="1:24" s="101" customFormat="1" hidden="1" x14ac:dyDescent="0.25">
      <c r="A1038" s="60" t="str">
        <f t="shared" si="76"/>
        <v>69511,05</v>
      </c>
      <c r="B1038" s="60">
        <f>COUNTIF($J$7:J1038,J1038)</f>
        <v>69</v>
      </c>
      <c r="C1038" s="60" t="str">
        <f t="shared" si="77"/>
        <v>0</v>
      </c>
      <c r="D1038" s="60">
        <f>COUNTIF($K$7:K1038,K1038)</f>
        <v>0</v>
      </c>
      <c r="E1038" s="91"/>
      <c r="F1038" s="193">
        <v>44585</v>
      </c>
      <c r="G1038" s="116" t="s">
        <v>149</v>
      </c>
      <c r="H1038" s="91" t="s">
        <v>645</v>
      </c>
      <c r="I1038" s="110" t="s">
        <v>736</v>
      </c>
      <c r="J1038" s="115">
        <v>511.05</v>
      </c>
      <c r="K1038" s="166"/>
      <c r="L1038" s="202">
        <v>8000</v>
      </c>
      <c r="M1038" s="165"/>
      <c r="N1038" s="165"/>
      <c r="O1038" s="91"/>
      <c r="P1038" s="100" t="str">
        <f t="shared" si="78"/>
        <v>Biaya Transport Pengiriman Bensin, Parkir, Tol</v>
      </c>
      <c r="Q1038" s="91"/>
      <c r="S1038" s="112"/>
      <c r="T1038" s="112"/>
      <c r="X1038" s="102"/>
    </row>
    <row r="1039" spans="1:24" s="101" customFormat="1" hidden="1" x14ac:dyDescent="0.25">
      <c r="A1039" s="60" t="str">
        <f t="shared" si="76"/>
        <v>70511,05</v>
      </c>
      <c r="B1039" s="60">
        <f>COUNTIF($J$7:J1039,J1039)</f>
        <v>70</v>
      </c>
      <c r="C1039" s="60" t="str">
        <f t="shared" si="77"/>
        <v>0</v>
      </c>
      <c r="D1039" s="60">
        <f>COUNTIF($K$7:K1039,K1039)</f>
        <v>0</v>
      </c>
      <c r="E1039" s="91"/>
      <c r="F1039" s="193">
        <v>44585</v>
      </c>
      <c r="G1039" s="116" t="s">
        <v>149</v>
      </c>
      <c r="H1039" s="91" t="s">
        <v>645</v>
      </c>
      <c r="I1039" s="110" t="s">
        <v>737</v>
      </c>
      <c r="J1039" s="115">
        <v>511.05</v>
      </c>
      <c r="K1039" s="166"/>
      <c r="L1039" s="202">
        <v>20000</v>
      </c>
      <c r="M1039" s="165"/>
      <c r="N1039" s="165"/>
      <c r="O1039" s="91"/>
      <c r="P1039" s="100" t="str">
        <f t="shared" si="78"/>
        <v>Biaya Transport Pengiriman Bensin, Parkir, Tol</v>
      </c>
      <c r="Q1039" s="91"/>
      <c r="S1039" s="112"/>
      <c r="T1039" s="112"/>
      <c r="X1039" s="102"/>
    </row>
    <row r="1040" spans="1:24" s="101" customFormat="1" hidden="1" x14ac:dyDescent="0.25">
      <c r="A1040" s="60" t="str">
        <f t="shared" si="76"/>
        <v>71511,05</v>
      </c>
      <c r="B1040" s="60">
        <f>COUNTIF($J$7:J1040,J1040)</f>
        <v>71</v>
      </c>
      <c r="C1040" s="60" t="str">
        <f t="shared" si="77"/>
        <v>0</v>
      </c>
      <c r="D1040" s="60">
        <f>COUNTIF($K$7:K1040,K1040)</f>
        <v>0</v>
      </c>
      <c r="E1040" s="91"/>
      <c r="F1040" s="193">
        <v>44585</v>
      </c>
      <c r="G1040" s="116" t="s">
        <v>149</v>
      </c>
      <c r="H1040" s="91" t="s">
        <v>645</v>
      </c>
      <c r="I1040" s="110" t="s">
        <v>738</v>
      </c>
      <c r="J1040" s="115">
        <v>511.05</v>
      </c>
      <c r="K1040" s="166"/>
      <c r="L1040" s="202">
        <v>4000</v>
      </c>
      <c r="M1040" s="165"/>
      <c r="N1040" s="165"/>
      <c r="O1040" s="91"/>
      <c r="P1040" s="100" t="str">
        <f t="shared" si="78"/>
        <v>Biaya Transport Pengiriman Bensin, Parkir, Tol</v>
      </c>
      <c r="Q1040" s="91"/>
      <c r="S1040" s="112"/>
      <c r="T1040" s="112"/>
      <c r="X1040" s="102"/>
    </row>
    <row r="1041" spans="1:24" s="101" customFormat="1" hidden="1" x14ac:dyDescent="0.25">
      <c r="A1041" s="60" t="str">
        <f t="shared" si="76"/>
        <v>72511,05</v>
      </c>
      <c r="B1041" s="60">
        <f>COUNTIF($J$7:J1041,J1041)</f>
        <v>72</v>
      </c>
      <c r="C1041" s="60" t="str">
        <f t="shared" si="77"/>
        <v>0</v>
      </c>
      <c r="D1041" s="60">
        <f>COUNTIF($K$7:K1041,K1041)</f>
        <v>0</v>
      </c>
      <c r="E1041" s="91"/>
      <c r="F1041" s="193">
        <v>44586</v>
      </c>
      <c r="G1041" s="116" t="s">
        <v>149</v>
      </c>
      <c r="H1041" s="91" t="s">
        <v>645</v>
      </c>
      <c r="I1041" s="110" t="s">
        <v>739</v>
      </c>
      <c r="J1041" s="115">
        <v>511.05</v>
      </c>
      <c r="K1041" s="166"/>
      <c r="L1041" s="198">
        <v>3000</v>
      </c>
      <c r="M1041" s="165"/>
      <c r="N1041" s="165"/>
      <c r="O1041" s="91"/>
      <c r="P1041" s="100" t="str">
        <f t="shared" si="78"/>
        <v>Biaya Transport Pengiriman Bensin, Parkir, Tol</v>
      </c>
      <c r="Q1041" s="91"/>
      <c r="S1041" s="112"/>
      <c r="T1041" s="112"/>
      <c r="X1041" s="102"/>
    </row>
    <row r="1042" spans="1:24" s="101" customFormat="1" hidden="1" x14ac:dyDescent="0.25">
      <c r="A1042" s="60" t="str">
        <f t="shared" si="76"/>
        <v>73511,05</v>
      </c>
      <c r="B1042" s="60">
        <f>COUNTIF($J$7:J1042,J1042)</f>
        <v>73</v>
      </c>
      <c r="C1042" s="60" t="str">
        <f t="shared" si="77"/>
        <v>0</v>
      </c>
      <c r="D1042" s="60">
        <f>COUNTIF($K$7:K1042,K1042)</f>
        <v>0</v>
      </c>
      <c r="E1042" s="91"/>
      <c r="F1042" s="193">
        <v>44586</v>
      </c>
      <c r="G1042" s="116" t="s">
        <v>149</v>
      </c>
      <c r="H1042" s="91" t="s">
        <v>645</v>
      </c>
      <c r="I1042" s="110" t="s">
        <v>740</v>
      </c>
      <c r="J1042" s="115">
        <v>511.05</v>
      </c>
      <c r="K1042" s="166"/>
      <c r="L1042" s="198">
        <v>5000</v>
      </c>
      <c r="M1042" s="165"/>
      <c r="N1042" s="165"/>
      <c r="O1042" s="91"/>
      <c r="P1042" s="100" t="str">
        <f t="shared" si="78"/>
        <v>Biaya Transport Pengiriman Bensin, Parkir, Tol</v>
      </c>
      <c r="Q1042" s="91"/>
      <c r="S1042" s="112"/>
      <c r="T1042" s="112"/>
      <c r="X1042" s="102"/>
    </row>
    <row r="1043" spans="1:24" s="101" customFormat="1" hidden="1" x14ac:dyDescent="0.25">
      <c r="A1043" s="60" t="str">
        <f t="shared" si="76"/>
        <v>74511,05</v>
      </c>
      <c r="B1043" s="60">
        <f>COUNTIF($J$7:J1043,J1043)</f>
        <v>74</v>
      </c>
      <c r="C1043" s="60" t="str">
        <f t="shared" si="77"/>
        <v>0</v>
      </c>
      <c r="D1043" s="60">
        <f>COUNTIF($K$7:K1043,K1043)</f>
        <v>0</v>
      </c>
      <c r="E1043" s="91"/>
      <c r="F1043" s="193">
        <v>44585</v>
      </c>
      <c r="G1043" s="116" t="s">
        <v>149</v>
      </c>
      <c r="H1043" s="91" t="s">
        <v>645</v>
      </c>
      <c r="I1043" s="110" t="s">
        <v>741</v>
      </c>
      <c r="J1043" s="115">
        <v>511.05</v>
      </c>
      <c r="K1043" s="166"/>
      <c r="L1043" s="202">
        <v>8000</v>
      </c>
      <c r="M1043" s="165"/>
      <c r="N1043" s="165"/>
      <c r="O1043" s="91"/>
      <c r="P1043" s="100" t="str">
        <f t="shared" si="78"/>
        <v>Biaya Transport Pengiriman Bensin, Parkir, Tol</v>
      </c>
      <c r="Q1043" s="91"/>
      <c r="S1043" s="112"/>
      <c r="T1043" s="112"/>
      <c r="X1043" s="102"/>
    </row>
    <row r="1044" spans="1:24" s="101" customFormat="1" hidden="1" x14ac:dyDescent="0.25">
      <c r="A1044" s="60" t="str">
        <f t="shared" si="76"/>
        <v>75511,05</v>
      </c>
      <c r="B1044" s="60">
        <f>COUNTIF($J$7:J1044,J1044)</f>
        <v>75</v>
      </c>
      <c r="C1044" s="60" t="str">
        <f t="shared" si="77"/>
        <v>0</v>
      </c>
      <c r="D1044" s="60">
        <f>COUNTIF($K$7:K1044,K1044)</f>
        <v>0</v>
      </c>
      <c r="E1044" s="91"/>
      <c r="F1044" s="193">
        <v>44585</v>
      </c>
      <c r="G1044" s="116" t="s">
        <v>149</v>
      </c>
      <c r="H1044" s="91" t="s">
        <v>645</v>
      </c>
      <c r="I1044" s="110" t="s">
        <v>741</v>
      </c>
      <c r="J1044" s="115">
        <v>511.05</v>
      </c>
      <c r="K1044" s="166"/>
      <c r="L1044" s="202">
        <v>8000</v>
      </c>
      <c r="M1044" s="165"/>
      <c r="N1044" s="165"/>
      <c r="O1044" s="91"/>
      <c r="P1044" s="100" t="str">
        <f t="shared" si="78"/>
        <v>Biaya Transport Pengiriman Bensin, Parkir, Tol</v>
      </c>
      <c r="Q1044" s="91"/>
      <c r="S1044" s="112"/>
      <c r="T1044" s="112"/>
      <c r="X1044" s="102"/>
    </row>
    <row r="1045" spans="1:24" s="101" customFormat="1" hidden="1" x14ac:dyDescent="0.25">
      <c r="A1045" s="60" t="str">
        <f t="shared" si="76"/>
        <v>76511,05</v>
      </c>
      <c r="B1045" s="60">
        <f>COUNTIF($J$7:J1045,J1045)</f>
        <v>76</v>
      </c>
      <c r="C1045" s="60" t="str">
        <f t="shared" si="77"/>
        <v>0</v>
      </c>
      <c r="D1045" s="60">
        <f>COUNTIF($K$7:K1045,K1045)</f>
        <v>0</v>
      </c>
      <c r="E1045" s="91"/>
      <c r="F1045" s="193">
        <v>44585</v>
      </c>
      <c r="G1045" s="116" t="s">
        <v>149</v>
      </c>
      <c r="H1045" s="91" t="s">
        <v>645</v>
      </c>
      <c r="I1045" s="110" t="s">
        <v>741</v>
      </c>
      <c r="J1045" s="115">
        <v>511.05</v>
      </c>
      <c r="K1045" s="166"/>
      <c r="L1045" s="202">
        <v>10000</v>
      </c>
      <c r="M1045" s="165"/>
      <c r="N1045" s="165"/>
      <c r="O1045" s="91"/>
      <c r="P1045" s="100" t="str">
        <f t="shared" si="78"/>
        <v>Biaya Transport Pengiriman Bensin, Parkir, Tol</v>
      </c>
      <c r="Q1045" s="91"/>
      <c r="S1045" s="112"/>
      <c r="T1045" s="112"/>
      <c r="X1045" s="102"/>
    </row>
    <row r="1046" spans="1:24" s="101" customFormat="1" hidden="1" x14ac:dyDescent="0.25">
      <c r="A1046" s="60" t="str">
        <f t="shared" si="76"/>
        <v>26511,03</v>
      </c>
      <c r="B1046" s="60">
        <f>COUNTIF($J$7:J1046,J1046)</f>
        <v>26</v>
      </c>
      <c r="C1046" s="60" t="str">
        <f t="shared" si="77"/>
        <v>0</v>
      </c>
      <c r="D1046" s="60">
        <f>COUNTIF($K$7:K1046,K1046)</f>
        <v>0</v>
      </c>
      <c r="E1046" s="91"/>
      <c r="F1046" s="193">
        <v>44585</v>
      </c>
      <c r="G1046" s="116" t="s">
        <v>149</v>
      </c>
      <c r="H1046" s="91" t="s">
        <v>645</v>
      </c>
      <c r="I1046" s="110" t="s">
        <v>742</v>
      </c>
      <c r="J1046" s="123">
        <v>511.03</v>
      </c>
      <c r="K1046" s="166"/>
      <c r="L1046" s="198">
        <v>284000</v>
      </c>
      <c r="M1046" s="165"/>
      <c r="N1046" s="165"/>
      <c r="O1046" s="91"/>
      <c r="P1046" s="100" t="str">
        <f t="shared" si="78"/>
        <v>Biaya Pengiriman Barang Ekspedisi</v>
      </c>
      <c r="Q1046" s="91"/>
      <c r="S1046" s="112"/>
      <c r="T1046" s="112"/>
      <c r="X1046" s="102"/>
    </row>
    <row r="1047" spans="1:24" s="101" customFormat="1" hidden="1" x14ac:dyDescent="0.25">
      <c r="A1047" s="60" t="str">
        <f t="shared" si="76"/>
        <v>41511,04</v>
      </c>
      <c r="B1047" s="60">
        <f>COUNTIF($J$7:J1047,J1047)</f>
        <v>41</v>
      </c>
      <c r="C1047" s="60" t="str">
        <f t="shared" si="77"/>
        <v>0</v>
      </c>
      <c r="D1047" s="60">
        <f>COUNTIF($K$7:K1047,K1047)</f>
        <v>0</v>
      </c>
      <c r="E1047" s="91"/>
      <c r="F1047" s="184">
        <v>44587</v>
      </c>
      <c r="G1047" s="116" t="s">
        <v>149</v>
      </c>
      <c r="H1047" s="91" t="s">
        <v>645</v>
      </c>
      <c r="I1047" s="126" t="s">
        <v>743</v>
      </c>
      <c r="J1047" s="115">
        <v>511.04</v>
      </c>
      <c r="K1047" s="166"/>
      <c r="L1047" s="198">
        <v>181000</v>
      </c>
      <c r="M1047" s="165"/>
      <c r="N1047" s="165"/>
      <c r="O1047" s="91"/>
      <c r="P1047" s="100" t="str">
        <f t="shared" si="78"/>
        <v>Biaya pengiriman Via Online (Gojek,Grab), Kuli</v>
      </c>
      <c r="Q1047" s="91"/>
      <c r="S1047" s="112"/>
      <c r="T1047" s="112"/>
      <c r="X1047" s="102"/>
    </row>
    <row r="1048" spans="1:24" s="101" customFormat="1" hidden="1" x14ac:dyDescent="0.25">
      <c r="A1048" s="60" t="str">
        <f t="shared" si="76"/>
        <v>42511,04</v>
      </c>
      <c r="B1048" s="60">
        <f>COUNTIF($J$7:J1048,J1048)</f>
        <v>42</v>
      </c>
      <c r="C1048" s="60" t="str">
        <f t="shared" si="77"/>
        <v>0</v>
      </c>
      <c r="D1048" s="60">
        <f>COUNTIF($K$7:K1048,K1048)</f>
        <v>0</v>
      </c>
      <c r="E1048" s="91"/>
      <c r="F1048" s="193">
        <v>44587</v>
      </c>
      <c r="G1048" s="116" t="s">
        <v>149</v>
      </c>
      <c r="H1048" s="91" t="s">
        <v>645</v>
      </c>
      <c r="I1048" s="126" t="s">
        <v>744</v>
      </c>
      <c r="J1048" s="115">
        <v>511.04</v>
      </c>
      <c r="K1048" s="166"/>
      <c r="L1048" s="198">
        <v>240000</v>
      </c>
      <c r="M1048" s="165"/>
      <c r="N1048" s="165"/>
      <c r="O1048" s="91"/>
      <c r="P1048" s="100" t="str">
        <f t="shared" si="78"/>
        <v>Biaya pengiriman Via Online (Gojek,Grab), Kuli</v>
      </c>
      <c r="Q1048" s="91"/>
      <c r="S1048" s="112"/>
      <c r="T1048" s="112"/>
      <c r="X1048" s="102"/>
    </row>
    <row r="1049" spans="1:24" s="101" customFormat="1" hidden="1" x14ac:dyDescent="0.25">
      <c r="A1049" s="60" t="str">
        <f t="shared" si="76"/>
        <v>43511,04</v>
      </c>
      <c r="B1049" s="60">
        <f>COUNTIF($J$7:J1049,J1049)</f>
        <v>43</v>
      </c>
      <c r="C1049" s="60" t="str">
        <f t="shared" si="77"/>
        <v>0</v>
      </c>
      <c r="D1049" s="60">
        <f>COUNTIF($K$7:K1049,K1049)</f>
        <v>0</v>
      </c>
      <c r="E1049" s="91"/>
      <c r="F1049" s="193">
        <v>44587</v>
      </c>
      <c r="G1049" s="116" t="s">
        <v>149</v>
      </c>
      <c r="H1049" s="91" t="s">
        <v>645</v>
      </c>
      <c r="I1049" s="126" t="s">
        <v>745</v>
      </c>
      <c r="J1049" s="115">
        <v>511.04</v>
      </c>
      <c r="K1049" s="166"/>
      <c r="L1049" s="198">
        <v>216000</v>
      </c>
      <c r="M1049" s="165"/>
      <c r="N1049" s="165"/>
      <c r="O1049" s="91"/>
      <c r="P1049" s="100" t="str">
        <f t="shared" si="78"/>
        <v>Biaya pengiriman Via Online (Gojek,Grab), Kuli</v>
      </c>
      <c r="Q1049" s="91"/>
      <c r="S1049" s="112"/>
      <c r="T1049" s="112"/>
      <c r="X1049" s="102"/>
    </row>
    <row r="1050" spans="1:24" s="101" customFormat="1" hidden="1" x14ac:dyDescent="0.25">
      <c r="A1050" s="60" t="str">
        <f t="shared" si="76"/>
        <v>44511,04</v>
      </c>
      <c r="B1050" s="60">
        <f>COUNTIF($J$7:J1050,J1050)</f>
        <v>44</v>
      </c>
      <c r="C1050" s="60" t="str">
        <f t="shared" si="77"/>
        <v>0</v>
      </c>
      <c r="D1050" s="60">
        <f>COUNTIF($K$7:K1050,K1050)</f>
        <v>0</v>
      </c>
      <c r="E1050" s="91"/>
      <c r="F1050" s="193">
        <v>44587</v>
      </c>
      <c r="G1050" s="116" t="s">
        <v>149</v>
      </c>
      <c r="H1050" s="91" t="s">
        <v>645</v>
      </c>
      <c r="I1050" s="126" t="s">
        <v>746</v>
      </c>
      <c r="J1050" s="115">
        <v>511.04</v>
      </c>
      <c r="K1050" s="166"/>
      <c r="L1050" s="198">
        <v>172000</v>
      </c>
      <c r="M1050" s="165"/>
      <c r="N1050" s="165"/>
      <c r="O1050" s="91"/>
      <c r="P1050" s="100" t="str">
        <f t="shared" si="78"/>
        <v>Biaya pengiriman Via Online (Gojek,Grab), Kuli</v>
      </c>
      <c r="Q1050" s="91"/>
      <c r="S1050" s="112"/>
      <c r="T1050" s="112"/>
      <c r="X1050" s="102"/>
    </row>
    <row r="1051" spans="1:24" s="101" customFormat="1" hidden="1" x14ac:dyDescent="0.25">
      <c r="A1051" s="60" t="str">
        <f t="shared" si="76"/>
        <v>45511,04</v>
      </c>
      <c r="B1051" s="60">
        <f>COUNTIF($J$7:J1051,J1051)</f>
        <v>45</v>
      </c>
      <c r="C1051" s="60" t="str">
        <f t="shared" si="77"/>
        <v>0</v>
      </c>
      <c r="D1051" s="60">
        <f>COUNTIF($K$7:K1051,K1051)</f>
        <v>0</v>
      </c>
      <c r="E1051" s="91"/>
      <c r="F1051" s="193">
        <v>44587</v>
      </c>
      <c r="G1051" s="116" t="s">
        <v>149</v>
      </c>
      <c r="H1051" s="91" t="s">
        <v>645</v>
      </c>
      <c r="I1051" s="126" t="s">
        <v>747</v>
      </c>
      <c r="J1051" s="115">
        <v>511.04</v>
      </c>
      <c r="K1051" s="166"/>
      <c r="L1051" s="198">
        <v>262000</v>
      </c>
      <c r="M1051" s="165"/>
      <c r="N1051" s="165"/>
      <c r="O1051" s="91"/>
      <c r="P1051" s="100" t="str">
        <f t="shared" si="78"/>
        <v>Biaya pengiriman Via Online (Gojek,Grab), Kuli</v>
      </c>
      <c r="Q1051" s="91"/>
      <c r="S1051" s="112"/>
      <c r="T1051" s="112"/>
      <c r="X1051" s="102"/>
    </row>
    <row r="1052" spans="1:24" s="101" customFormat="1" hidden="1" x14ac:dyDescent="0.25">
      <c r="A1052" s="60" t="str">
        <f t="shared" si="76"/>
        <v>77511,05</v>
      </c>
      <c r="B1052" s="60">
        <f>COUNTIF($J$7:J1052,J1052)</f>
        <v>77</v>
      </c>
      <c r="C1052" s="60" t="str">
        <f t="shared" si="77"/>
        <v>0</v>
      </c>
      <c r="D1052" s="60">
        <f>COUNTIF($K$7:K1052,K1052)</f>
        <v>0</v>
      </c>
      <c r="E1052" s="91"/>
      <c r="F1052" s="193">
        <v>44587</v>
      </c>
      <c r="G1052" s="116" t="s">
        <v>149</v>
      </c>
      <c r="H1052" s="91" t="s">
        <v>645</v>
      </c>
      <c r="I1052" s="126" t="s">
        <v>748</v>
      </c>
      <c r="J1052" s="115">
        <v>511.05</v>
      </c>
      <c r="K1052" s="166"/>
      <c r="L1052" s="198">
        <v>3000</v>
      </c>
      <c r="M1052" s="165"/>
      <c r="N1052" s="165"/>
      <c r="O1052" s="91"/>
      <c r="P1052" s="100" t="str">
        <f t="shared" si="78"/>
        <v>Biaya Transport Pengiriman Bensin, Parkir, Tol</v>
      </c>
      <c r="Q1052" s="91"/>
      <c r="S1052" s="112"/>
      <c r="T1052" s="112"/>
      <c r="X1052" s="102"/>
    </row>
    <row r="1053" spans="1:24" s="101" customFormat="1" hidden="1" x14ac:dyDescent="0.25">
      <c r="A1053" s="60" t="str">
        <f t="shared" si="76"/>
        <v>78511,05</v>
      </c>
      <c r="B1053" s="60">
        <f>COUNTIF($J$7:J1053,J1053)</f>
        <v>78</v>
      </c>
      <c r="C1053" s="60" t="str">
        <f t="shared" si="77"/>
        <v>0</v>
      </c>
      <c r="D1053" s="60">
        <f>COUNTIF($K$7:K1053,K1053)</f>
        <v>0</v>
      </c>
      <c r="E1053" s="91"/>
      <c r="F1053" s="193">
        <v>44587</v>
      </c>
      <c r="G1053" s="116" t="s">
        <v>149</v>
      </c>
      <c r="H1053" s="91" t="s">
        <v>645</v>
      </c>
      <c r="I1053" s="126" t="s">
        <v>749</v>
      </c>
      <c r="J1053" s="115">
        <v>511.05</v>
      </c>
      <c r="K1053" s="166"/>
      <c r="L1053" s="198">
        <v>5000</v>
      </c>
      <c r="M1053" s="165"/>
      <c r="N1053" s="165"/>
      <c r="O1053" s="91"/>
      <c r="P1053" s="100" t="str">
        <f t="shared" si="78"/>
        <v>Biaya Transport Pengiriman Bensin, Parkir, Tol</v>
      </c>
      <c r="Q1053" s="91"/>
      <c r="S1053" s="112"/>
      <c r="T1053" s="112"/>
      <c r="X1053" s="102"/>
    </row>
    <row r="1054" spans="1:24" s="101" customFormat="1" hidden="1" x14ac:dyDescent="0.25">
      <c r="A1054" s="60" t="str">
        <f t="shared" si="76"/>
        <v>79511,05</v>
      </c>
      <c r="B1054" s="60">
        <f>COUNTIF($J$7:J1054,J1054)</f>
        <v>79</v>
      </c>
      <c r="C1054" s="60" t="str">
        <f t="shared" si="77"/>
        <v>0</v>
      </c>
      <c r="D1054" s="60">
        <f>COUNTIF($K$7:K1054,K1054)</f>
        <v>0</v>
      </c>
      <c r="E1054" s="91"/>
      <c r="F1054" s="193">
        <v>44587</v>
      </c>
      <c r="G1054" s="116" t="s">
        <v>149</v>
      </c>
      <c r="H1054" s="91" t="s">
        <v>645</v>
      </c>
      <c r="I1054" s="126" t="s">
        <v>750</v>
      </c>
      <c r="J1054" s="115">
        <v>511.05</v>
      </c>
      <c r="K1054" s="166"/>
      <c r="L1054" s="198">
        <v>18000</v>
      </c>
      <c r="M1054" s="165"/>
      <c r="N1054" s="165"/>
      <c r="O1054" s="91"/>
      <c r="P1054" s="100" t="str">
        <f t="shared" si="78"/>
        <v>Biaya Transport Pengiriman Bensin, Parkir, Tol</v>
      </c>
      <c r="Q1054" s="91"/>
      <c r="S1054" s="112"/>
      <c r="T1054" s="112"/>
      <c r="X1054" s="102"/>
    </row>
    <row r="1055" spans="1:24" s="101" customFormat="1" ht="30" hidden="1" x14ac:dyDescent="0.25">
      <c r="A1055" s="60" t="str">
        <f t="shared" si="76"/>
        <v>80511,05</v>
      </c>
      <c r="B1055" s="60">
        <f>COUNTIF($J$7:J1055,J1055)</f>
        <v>80</v>
      </c>
      <c r="C1055" s="60" t="str">
        <f t="shared" si="77"/>
        <v>0</v>
      </c>
      <c r="D1055" s="60">
        <f>COUNTIF($K$7:K1055,K1055)</f>
        <v>0</v>
      </c>
      <c r="E1055" s="91"/>
      <c r="F1055" s="193">
        <v>44587</v>
      </c>
      <c r="G1055" s="116" t="s">
        <v>149</v>
      </c>
      <c r="H1055" s="91" t="s">
        <v>645</v>
      </c>
      <c r="I1055" s="126" t="s">
        <v>751</v>
      </c>
      <c r="J1055" s="115">
        <v>511.05</v>
      </c>
      <c r="K1055" s="166"/>
      <c r="L1055" s="198">
        <v>8000</v>
      </c>
      <c r="M1055" s="165"/>
      <c r="N1055" s="165"/>
      <c r="O1055" s="91"/>
      <c r="P1055" s="100" t="str">
        <f t="shared" si="78"/>
        <v>Biaya Transport Pengiriman Bensin, Parkir, Tol</v>
      </c>
      <c r="Q1055" s="91"/>
      <c r="S1055" s="112"/>
      <c r="T1055" s="112"/>
      <c r="X1055" s="102"/>
    </row>
    <row r="1056" spans="1:24" s="101" customFormat="1" hidden="1" x14ac:dyDescent="0.25">
      <c r="A1056" s="60" t="str">
        <f t="shared" si="76"/>
        <v>81511,05</v>
      </c>
      <c r="B1056" s="60">
        <f>COUNTIF($J$7:J1056,J1056)</f>
        <v>81</v>
      </c>
      <c r="C1056" s="60" t="str">
        <f t="shared" si="77"/>
        <v>0</v>
      </c>
      <c r="D1056" s="60">
        <f>COUNTIF($K$7:K1056,K1056)</f>
        <v>0</v>
      </c>
      <c r="E1056" s="91"/>
      <c r="F1056" s="193">
        <v>44587</v>
      </c>
      <c r="G1056" s="116" t="s">
        <v>149</v>
      </c>
      <c r="H1056" s="91" t="s">
        <v>645</v>
      </c>
      <c r="I1056" s="126" t="s">
        <v>752</v>
      </c>
      <c r="J1056" s="115">
        <v>511.05</v>
      </c>
      <c r="K1056" s="166"/>
      <c r="L1056" s="198">
        <v>20000</v>
      </c>
      <c r="M1056" s="165"/>
      <c r="N1056" s="165"/>
      <c r="O1056" s="91"/>
      <c r="P1056" s="100" t="str">
        <f t="shared" si="78"/>
        <v>Biaya Transport Pengiriman Bensin, Parkir, Tol</v>
      </c>
      <c r="Q1056" s="91"/>
      <c r="S1056" s="112"/>
      <c r="T1056" s="112"/>
      <c r="X1056" s="102"/>
    </row>
    <row r="1057" spans="1:24" s="101" customFormat="1" ht="30" hidden="1" x14ac:dyDescent="0.25">
      <c r="A1057" s="60" t="str">
        <f t="shared" si="76"/>
        <v>82511,05</v>
      </c>
      <c r="B1057" s="60">
        <f>COUNTIF($J$7:J1057,J1057)</f>
        <v>82</v>
      </c>
      <c r="C1057" s="60" t="str">
        <f t="shared" si="77"/>
        <v>0</v>
      </c>
      <c r="D1057" s="60">
        <f>COUNTIF($K$7:K1057,K1057)</f>
        <v>0</v>
      </c>
      <c r="E1057" s="91"/>
      <c r="F1057" s="193">
        <v>44587</v>
      </c>
      <c r="G1057" s="116" t="s">
        <v>149</v>
      </c>
      <c r="H1057" s="91" t="s">
        <v>645</v>
      </c>
      <c r="I1057" s="126" t="s">
        <v>753</v>
      </c>
      <c r="J1057" s="115">
        <v>511.05</v>
      </c>
      <c r="K1057" s="166"/>
      <c r="L1057" s="198">
        <v>8000</v>
      </c>
      <c r="M1057" s="165"/>
      <c r="N1057" s="165"/>
      <c r="O1057" s="91"/>
      <c r="P1057" s="100" t="str">
        <f t="shared" si="78"/>
        <v>Biaya Transport Pengiriman Bensin, Parkir, Tol</v>
      </c>
      <c r="Q1057" s="91"/>
      <c r="S1057" s="112"/>
      <c r="T1057" s="112"/>
      <c r="X1057" s="102"/>
    </row>
    <row r="1058" spans="1:24" s="101" customFormat="1" hidden="1" x14ac:dyDescent="0.25">
      <c r="A1058" s="60" t="str">
        <f t="shared" si="76"/>
        <v>46511,04</v>
      </c>
      <c r="B1058" s="60">
        <f>COUNTIF($J$7:J1058,J1058)</f>
        <v>46</v>
      </c>
      <c r="C1058" s="60" t="str">
        <f t="shared" si="77"/>
        <v>0</v>
      </c>
      <c r="D1058" s="60">
        <f>COUNTIF($K$7:K1058,K1058)</f>
        <v>0</v>
      </c>
      <c r="E1058" s="91"/>
      <c r="F1058" s="193">
        <v>44587</v>
      </c>
      <c r="G1058" s="116" t="s">
        <v>149</v>
      </c>
      <c r="H1058" s="91" t="s">
        <v>645</v>
      </c>
      <c r="I1058" s="126" t="s">
        <v>754</v>
      </c>
      <c r="J1058" s="115">
        <v>511.04</v>
      </c>
      <c r="K1058" s="166"/>
      <c r="L1058" s="198">
        <v>18000</v>
      </c>
      <c r="M1058" s="165"/>
      <c r="N1058" s="165"/>
      <c r="O1058" s="91"/>
      <c r="P1058" s="100" t="str">
        <f t="shared" si="78"/>
        <v>Biaya pengiriman Via Online (Gojek,Grab), Kuli</v>
      </c>
      <c r="Q1058" s="91"/>
      <c r="S1058" s="112"/>
      <c r="T1058" s="112"/>
      <c r="X1058" s="102"/>
    </row>
    <row r="1059" spans="1:24" s="101" customFormat="1" hidden="1" x14ac:dyDescent="0.25">
      <c r="A1059" s="60" t="str">
        <f t="shared" si="76"/>
        <v>83511,05</v>
      </c>
      <c r="B1059" s="60">
        <f>COUNTIF($J$7:J1059,J1059)</f>
        <v>83</v>
      </c>
      <c r="C1059" s="60" t="str">
        <f t="shared" si="77"/>
        <v>0</v>
      </c>
      <c r="D1059" s="60">
        <f>COUNTIF($K$7:K1059,K1059)</f>
        <v>0</v>
      </c>
      <c r="E1059" s="91"/>
      <c r="F1059" s="193">
        <v>44587</v>
      </c>
      <c r="G1059" s="116" t="s">
        <v>149</v>
      </c>
      <c r="H1059" s="91" t="s">
        <v>645</v>
      </c>
      <c r="I1059" s="126" t="s">
        <v>755</v>
      </c>
      <c r="J1059" s="115">
        <v>511.05</v>
      </c>
      <c r="K1059" s="166"/>
      <c r="L1059" s="198">
        <v>5000</v>
      </c>
      <c r="M1059" s="165"/>
      <c r="N1059" s="165"/>
      <c r="O1059" s="91"/>
      <c r="P1059" s="100" t="str">
        <f t="shared" si="78"/>
        <v>Biaya Transport Pengiriman Bensin, Parkir, Tol</v>
      </c>
      <c r="Q1059" s="91"/>
      <c r="S1059" s="112"/>
      <c r="T1059" s="112"/>
      <c r="X1059" s="102"/>
    </row>
    <row r="1060" spans="1:24" s="101" customFormat="1" hidden="1" x14ac:dyDescent="0.25">
      <c r="A1060" s="60" t="str">
        <f t="shared" si="76"/>
        <v>47511,04</v>
      </c>
      <c r="B1060" s="60">
        <f>COUNTIF($J$7:J1060,J1060)</f>
        <v>47</v>
      </c>
      <c r="C1060" s="60" t="str">
        <f t="shared" si="77"/>
        <v>0</v>
      </c>
      <c r="D1060" s="60">
        <f>COUNTIF($K$7:K1060,K1060)</f>
        <v>0</v>
      </c>
      <c r="E1060" s="91"/>
      <c r="F1060" s="193">
        <v>44587</v>
      </c>
      <c r="G1060" s="116" t="s">
        <v>149</v>
      </c>
      <c r="H1060" s="91" t="s">
        <v>645</v>
      </c>
      <c r="I1060" s="126" t="s">
        <v>756</v>
      </c>
      <c r="J1060" s="123">
        <v>511.04</v>
      </c>
      <c r="K1060" s="166"/>
      <c r="L1060" s="198">
        <v>10000</v>
      </c>
      <c r="M1060" s="165"/>
      <c r="N1060" s="165"/>
      <c r="O1060" s="91"/>
      <c r="P1060" s="100" t="str">
        <f t="shared" si="78"/>
        <v>Biaya pengiriman Via Online (Gojek,Grab), Kuli</v>
      </c>
      <c r="Q1060" s="91"/>
      <c r="S1060" s="112"/>
      <c r="T1060" s="112"/>
      <c r="X1060" s="102"/>
    </row>
    <row r="1061" spans="1:24" s="101" customFormat="1" hidden="1" x14ac:dyDescent="0.25">
      <c r="A1061" s="60" t="str">
        <f t="shared" si="76"/>
        <v>84511,05</v>
      </c>
      <c r="B1061" s="60">
        <f>COUNTIF($J$7:J1061,J1061)</f>
        <v>84</v>
      </c>
      <c r="C1061" s="60" t="str">
        <f t="shared" si="77"/>
        <v>0</v>
      </c>
      <c r="D1061" s="60">
        <f>COUNTIF($K$7:K1061,K1061)</f>
        <v>0</v>
      </c>
      <c r="E1061" s="91"/>
      <c r="F1061" s="193">
        <v>44587</v>
      </c>
      <c r="G1061" s="116" t="s">
        <v>149</v>
      </c>
      <c r="H1061" s="91" t="s">
        <v>645</v>
      </c>
      <c r="I1061" s="126" t="s">
        <v>757</v>
      </c>
      <c r="J1061" s="115">
        <v>511.05</v>
      </c>
      <c r="K1061" s="166"/>
      <c r="L1061" s="198">
        <v>4000</v>
      </c>
      <c r="M1061" s="165"/>
      <c r="N1061" s="165"/>
      <c r="O1061" s="91"/>
      <c r="P1061" s="100" t="str">
        <f t="shared" si="78"/>
        <v>Biaya Transport Pengiriman Bensin, Parkir, Tol</v>
      </c>
      <c r="Q1061" s="91"/>
      <c r="S1061" s="112"/>
      <c r="T1061" s="112"/>
      <c r="X1061" s="102"/>
    </row>
    <row r="1062" spans="1:24" s="101" customFormat="1" hidden="1" x14ac:dyDescent="0.25">
      <c r="A1062" s="60" t="str">
        <f t="shared" si="76"/>
        <v>48511,04</v>
      </c>
      <c r="B1062" s="60">
        <f>COUNTIF($J$7:J1062,J1062)</f>
        <v>48</v>
      </c>
      <c r="C1062" s="60" t="str">
        <f t="shared" si="77"/>
        <v>0</v>
      </c>
      <c r="D1062" s="60">
        <f>COUNTIF($K$7:K1062,K1062)</f>
        <v>0</v>
      </c>
      <c r="E1062" s="91"/>
      <c r="F1062" s="193">
        <v>44587</v>
      </c>
      <c r="G1062" s="116" t="s">
        <v>149</v>
      </c>
      <c r="H1062" s="91" t="s">
        <v>645</v>
      </c>
      <c r="I1062" s="126" t="s">
        <v>758</v>
      </c>
      <c r="J1062" s="123">
        <v>511.04</v>
      </c>
      <c r="K1062" s="166"/>
      <c r="L1062" s="198">
        <v>10000</v>
      </c>
      <c r="M1062" s="165"/>
      <c r="N1062" s="165"/>
      <c r="O1062" s="91"/>
      <c r="P1062" s="100" t="str">
        <f t="shared" si="78"/>
        <v>Biaya pengiriman Via Online (Gojek,Grab), Kuli</v>
      </c>
      <c r="Q1062" s="91"/>
      <c r="S1062" s="112"/>
      <c r="T1062" s="112"/>
      <c r="X1062" s="102"/>
    </row>
    <row r="1063" spans="1:24" s="101" customFormat="1" hidden="1" x14ac:dyDescent="0.25">
      <c r="A1063" s="60" t="str">
        <f t="shared" si="76"/>
        <v>49511,04</v>
      </c>
      <c r="B1063" s="60">
        <f>COUNTIF($J$7:J1063,J1063)</f>
        <v>49</v>
      </c>
      <c r="C1063" s="60" t="str">
        <f t="shared" si="77"/>
        <v>0</v>
      </c>
      <c r="D1063" s="60">
        <f>COUNTIF($K$7:K1063,K1063)</f>
        <v>0</v>
      </c>
      <c r="E1063" s="91"/>
      <c r="F1063" s="193">
        <v>44587</v>
      </c>
      <c r="G1063" s="116" t="s">
        <v>149</v>
      </c>
      <c r="H1063" s="91" t="s">
        <v>645</v>
      </c>
      <c r="I1063" s="126" t="s">
        <v>759</v>
      </c>
      <c r="J1063" s="123">
        <v>511.04</v>
      </c>
      <c r="K1063" s="166"/>
      <c r="L1063" s="198">
        <v>10000</v>
      </c>
      <c r="M1063" s="165"/>
      <c r="N1063" s="165"/>
      <c r="O1063" s="91"/>
      <c r="P1063" s="100" t="str">
        <f t="shared" si="78"/>
        <v>Biaya pengiriman Via Online (Gojek,Grab), Kuli</v>
      </c>
      <c r="Q1063" s="91"/>
      <c r="S1063" s="112"/>
      <c r="T1063" s="112"/>
      <c r="X1063" s="102"/>
    </row>
    <row r="1064" spans="1:24" s="101" customFormat="1" hidden="1" x14ac:dyDescent="0.25">
      <c r="A1064" s="60" t="str">
        <f t="shared" si="76"/>
        <v>85511,05</v>
      </c>
      <c r="B1064" s="60">
        <f>COUNTIF($J$7:J1064,J1064)</f>
        <v>85</v>
      </c>
      <c r="C1064" s="60" t="str">
        <f t="shared" si="77"/>
        <v>0</v>
      </c>
      <c r="D1064" s="60">
        <f>COUNTIF($K$7:K1064,K1064)</f>
        <v>0</v>
      </c>
      <c r="E1064" s="91"/>
      <c r="F1064" s="193">
        <v>44587</v>
      </c>
      <c r="G1064" s="116" t="s">
        <v>149</v>
      </c>
      <c r="H1064" s="91" t="s">
        <v>645</v>
      </c>
      <c r="I1064" s="126" t="s">
        <v>760</v>
      </c>
      <c r="J1064" s="115">
        <v>511.05</v>
      </c>
      <c r="K1064" s="166"/>
      <c r="L1064" s="198">
        <v>10000</v>
      </c>
      <c r="M1064" s="165"/>
      <c r="N1064" s="165"/>
      <c r="O1064" s="91"/>
      <c r="P1064" s="100" t="str">
        <f t="shared" si="78"/>
        <v>Biaya Transport Pengiriman Bensin, Parkir, Tol</v>
      </c>
      <c r="Q1064" s="91"/>
      <c r="S1064" s="112"/>
      <c r="T1064" s="112"/>
      <c r="X1064" s="102"/>
    </row>
    <row r="1065" spans="1:24" s="101" customFormat="1" ht="30" hidden="1" x14ac:dyDescent="0.25">
      <c r="A1065" s="60" t="str">
        <f t="shared" si="76"/>
        <v>27511,03</v>
      </c>
      <c r="B1065" s="60">
        <f>COUNTIF($J$7:J1065,J1065)</f>
        <v>27</v>
      </c>
      <c r="C1065" s="60" t="str">
        <f t="shared" si="77"/>
        <v>0</v>
      </c>
      <c r="D1065" s="60">
        <f>COUNTIF($K$7:K1065,K1065)</f>
        <v>0</v>
      </c>
      <c r="E1065" s="91"/>
      <c r="F1065" s="184">
        <v>44587</v>
      </c>
      <c r="G1065" s="116" t="s">
        <v>149</v>
      </c>
      <c r="H1065" s="91" t="s">
        <v>645</v>
      </c>
      <c r="I1065" s="126" t="s">
        <v>761</v>
      </c>
      <c r="J1065" s="115">
        <v>511.03</v>
      </c>
      <c r="K1065" s="166"/>
      <c r="L1065" s="198">
        <v>59000</v>
      </c>
      <c r="M1065" s="165"/>
      <c r="N1065" s="165"/>
      <c r="O1065" s="91"/>
      <c r="P1065" s="100" t="str">
        <f t="shared" si="78"/>
        <v>Biaya Pengiriman Barang Ekspedisi</v>
      </c>
      <c r="Q1065" s="91"/>
      <c r="S1065" s="112"/>
      <c r="T1065" s="112"/>
      <c r="X1065" s="102"/>
    </row>
    <row r="1066" spans="1:24" s="101" customFormat="1" ht="30" hidden="1" x14ac:dyDescent="0.25">
      <c r="A1066" s="60" t="str">
        <f t="shared" si="76"/>
        <v>28511,03</v>
      </c>
      <c r="B1066" s="60">
        <f>COUNTIF($J$7:J1066,J1066)</f>
        <v>28</v>
      </c>
      <c r="C1066" s="60" t="str">
        <f t="shared" si="77"/>
        <v>0</v>
      </c>
      <c r="D1066" s="60">
        <f>COUNTIF($K$7:K1066,K1066)</f>
        <v>0</v>
      </c>
      <c r="E1066" s="91"/>
      <c r="F1066" s="193">
        <v>44587</v>
      </c>
      <c r="G1066" s="116" t="s">
        <v>149</v>
      </c>
      <c r="H1066" s="91" t="s">
        <v>645</v>
      </c>
      <c r="I1066" s="126" t="s">
        <v>762</v>
      </c>
      <c r="J1066" s="123">
        <v>511.03</v>
      </c>
      <c r="K1066" s="166"/>
      <c r="L1066" s="198">
        <v>272000</v>
      </c>
      <c r="M1066" s="165"/>
      <c r="N1066" s="165"/>
      <c r="O1066" s="91"/>
      <c r="P1066" s="100" t="str">
        <f t="shared" si="78"/>
        <v>Biaya Pengiriman Barang Ekspedisi</v>
      </c>
      <c r="Q1066" s="91"/>
      <c r="S1066" s="112"/>
      <c r="T1066" s="112"/>
      <c r="X1066" s="102"/>
    </row>
    <row r="1067" spans="1:24" s="101" customFormat="1" ht="30" hidden="1" x14ac:dyDescent="0.25">
      <c r="A1067" s="60" t="str">
        <f t="shared" si="76"/>
        <v>29511,03</v>
      </c>
      <c r="B1067" s="60">
        <f>COUNTIF($J$7:J1067,J1067)</f>
        <v>29</v>
      </c>
      <c r="C1067" s="60" t="str">
        <f t="shared" si="77"/>
        <v>0</v>
      </c>
      <c r="D1067" s="60">
        <f>COUNTIF($K$7:K1067,K1067)</f>
        <v>0</v>
      </c>
      <c r="E1067" s="91"/>
      <c r="F1067" s="193">
        <v>44587</v>
      </c>
      <c r="G1067" s="116" t="s">
        <v>149</v>
      </c>
      <c r="H1067" s="91" t="s">
        <v>645</v>
      </c>
      <c r="I1067" s="126" t="s">
        <v>763</v>
      </c>
      <c r="J1067" s="115">
        <v>511.03</v>
      </c>
      <c r="K1067" s="166"/>
      <c r="L1067" s="198">
        <v>224000</v>
      </c>
      <c r="M1067" s="165"/>
      <c r="N1067" s="165"/>
      <c r="O1067" s="91"/>
      <c r="P1067" s="100" t="str">
        <f t="shared" si="78"/>
        <v>Biaya Pengiriman Barang Ekspedisi</v>
      </c>
      <c r="Q1067" s="91"/>
      <c r="S1067" s="112"/>
      <c r="T1067" s="112"/>
      <c r="X1067" s="102"/>
    </row>
    <row r="1068" spans="1:24" s="101" customFormat="1" hidden="1" x14ac:dyDescent="0.25">
      <c r="A1068" s="60" t="str">
        <f t="shared" si="76"/>
        <v>26119</v>
      </c>
      <c r="B1068" s="60">
        <f>COUNTIF($J$7:J1068,J1068)</f>
        <v>26</v>
      </c>
      <c r="C1068" s="60" t="str">
        <f t="shared" si="77"/>
        <v>10119,01</v>
      </c>
      <c r="D1068" s="60">
        <f>COUNTIF($K$7:K1068,K1068)</f>
        <v>10</v>
      </c>
      <c r="E1068" s="91"/>
      <c r="F1068" s="137">
        <v>44579</v>
      </c>
      <c r="G1068" s="116" t="s">
        <v>149</v>
      </c>
      <c r="H1068" s="91" t="s">
        <v>764</v>
      </c>
      <c r="I1068" s="161" t="s">
        <v>765</v>
      </c>
      <c r="J1068" s="129">
        <v>119</v>
      </c>
      <c r="K1068" s="108">
        <v>119.01</v>
      </c>
      <c r="L1068" s="195"/>
      <c r="M1068" s="132">
        <v>1000000</v>
      </c>
      <c r="N1068" s="132"/>
      <c r="O1068" s="203">
        <f>M1068-SUM(L1069:L1083)</f>
        <v>-162000</v>
      </c>
      <c r="P1068" s="100" t="str">
        <f t="shared" si="78"/>
        <v>Uang Muka Biaya Pengiriman dan Perjalanan Dinas Marketing</v>
      </c>
      <c r="Q1068" s="91"/>
      <c r="S1068" s="112"/>
      <c r="T1068" s="112"/>
      <c r="X1068" s="102"/>
    </row>
    <row r="1069" spans="1:24" s="101" customFormat="1" hidden="1" x14ac:dyDescent="0.25">
      <c r="A1069" s="60" t="str">
        <f t="shared" si="76"/>
        <v>50511,04</v>
      </c>
      <c r="B1069" s="60">
        <f>COUNTIF($J$7:J1069,J1069)</f>
        <v>50</v>
      </c>
      <c r="C1069" s="60" t="str">
        <f t="shared" si="77"/>
        <v>0</v>
      </c>
      <c r="D1069" s="60">
        <f>COUNTIF($K$7:K1069,K1069)</f>
        <v>0</v>
      </c>
      <c r="E1069" s="91"/>
      <c r="F1069" s="137">
        <v>44580</v>
      </c>
      <c r="G1069" s="116" t="s">
        <v>149</v>
      </c>
      <c r="H1069" s="91" t="s">
        <v>764</v>
      </c>
      <c r="I1069" s="161" t="s">
        <v>766</v>
      </c>
      <c r="J1069" s="123">
        <v>511.04</v>
      </c>
      <c r="K1069" s="166"/>
      <c r="L1069" s="197">
        <v>214000</v>
      </c>
      <c r="M1069" s="165"/>
      <c r="N1069" s="165"/>
      <c r="O1069" s="91"/>
      <c r="P1069" s="100" t="str">
        <f t="shared" si="78"/>
        <v>Biaya pengiriman Via Online (Gojek,Grab), Kuli</v>
      </c>
      <c r="Q1069" s="91"/>
      <c r="S1069" s="112"/>
      <c r="T1069" s="112"/>
      <c r="X1069" s="102"/>
    </row>
    <row r="1070" spans="1:24" s="101" customFormat="1" hidden="1" x14ac:dyDescent="0.25">
      <c r="A1070" s="60" t="str">
        <f t="shared" si="76"/>
        <v>51511,04</v>
      </c>
      <c r="B1070" s="60">
        <f>COUNTIF($J$7:J1070,J1070)</f>
        <v>51</v>
      </c>
      <c r="C1070" s="60" t="str">
        <f t="shared" si="77"/>
        <v>0</v>
      </c>
      <c r="D1070" s="60">
        <f>COUNTIF($K$7:K1070,K1070)</f>
        <v>0</v>
      </c>
      <c r="E1070" s="91"/>
      <c r="F1070" s="137">
        <v>44586</v>
      </c>
      <c r="G1070" s="116" t="s">
        <v>149</v>
      </c>
      <c r="H1070" s="91" t="s">
        <v>764</v>
      </c>
      <c r="I1070" s="161" t="s">
        <v>767</v>
      </c>
      <c r="J1070" s="123">
        <v>511.04</v>
      </c>
      <c r="K1070" s="166"/>
      <c r="L1070" s="197">
        <v>140000</v>
      </c>
      <c r="M1070" s="165"/>
      <c r="N1070" s="165"/>
      <c r="O1070" s="91"/>
      <c r="P1070" s="100" t="str">
        <f t="shared" si="78"/>
        <v>Biaya pengiriman Via Online (Gojek,Grab), Kuli</v>
      </c>
      <c r="Q1070" s="91"/>
      <c r="S1070" s="112"/>
      <c r="T1070" s="112"/>
      <c r="X1070" s="102"/>
    </row>
    <row r="1071" spans="1:24" s="101" customFormat="1" hidden="1" x14ac:dyDescent="0.25">
      <c r="A1071" s="60" t="str">
        <f t="shared" si="76"/>
        <v>86511,05</v>
      </c>
      <c r="B1071" s="60">
        <f>COUNTIF($J$7:J1071,J1071)</f>
        <v>86</v>
      </c>
      <c r="C1071" s="60" t="str">
        <f t="shared" si="77"/>
        <v>0</v>
      </c>
      <c r="D1071" s="60">
        <f>COUNTIF($K$7:K1071,K1071)</f>
        <v>0</v>
      </c>
      <c r="E1071" s="91"/>
      <c r="F1071" s="193">
        <v>44586</v>
      </c>
      <c r="G1071" s="116" t="s">
        <v>149</v>
      </c>
      <c r="H1071" s="91" t="s">
        <v>764</v>
      </c>
      <c r="I1071" s="161" t="s">
        <v>768</v>
      </c>
      <c r="J1071" s="115">
        <v>511.05</v>
      </c>
      <c r="K1071" s="166"/>
      <c r="L1071" s="197">
        <v>20000</v>
      </c>
      <c r="M1071" s="165"/>
      <c r="N1071" s="165"/>
      <c r="O1071" s="91"/>
      <c r="P1071" s="100" t="str">
        <f t="shared" si="78"/>
        <v>Biaya Transport Pengiriman Bensin, Parkir, Tol</v>
      </c>
      <c r="Q1071" s="91"/>
      <c r="S1071" s="112"/>
      <c r="T1071" s="112"/>
      <c r="X1071" s="102"/>
    </row>
    <row r="1072" spans="1:24" s="101" customFormat="1" hidden="1" x14ac:dyDescent="0.25">
      <c r="A1072" s="60" t="str">
        <f t="shared" si="76"/>
        <v>87511,05</v>
      </c>
      <c r="B1072" s="60">
        <f>COUNTIF($J$7:J1072,J1072)</f>
        <v>87</v>
      </c>
      <c r="C1072" s="60" t="str">
        <f t="shared" si="77"/>
        <v>0</v>
      </c>
      <c r="D1072" s="60">
        <f>COUNTIF($K$7:K1072,K1072)</f>
        <v>0</v>
      </c>
      <c r="E1072" s="91"/>
      <c r="F1072" s="137">
        <v>44580</v>
      </c>
      <c r="G1072" s="116" t="s">
        <v>149</v>
      </c>
      <c r="H1072" s="91" t="s">
        <v>764</v>
      </c>
      <c r="I1072" s="161" t="s">
        <v>769</v>
      </c>
      <c r="J1072" s="115">
        <v>511.05</v>
      </c>
      <c r="K1072" s="166"/>
      <c r="L1072" s="197">
        <v>8000</v>
      </c>
      <c r="M1072" s="165"/>
      <c r="N1072" s="165"/>
      <c r="O1072" s="91"/>
      <c r="P1072" s="100" t="str">
        <f t="shared" si="78"/>
        <v>Biaya Transport Pengiriman Bensin, Parkir, Tol</v>
      </c>
      <c r="Q1072" s="91"/>
      <c r="S1072" s="112"/>
      <c r="T1072" s="112"/>
      <c r="X1072" s="102"/>
    </row>
    <row r="1073" spans="1:24" s="101" customFormat="1" hidden="1" x14ac:dyDescent="0.25">
      <c r="A1073" s="60" t="str">
        <f t="shared" si="76"/>
        <v>88511,05</v>
      </c>
      <c r="B1073" s="60">
        <f>COUNTIF($J$7:J1073,J1073)</f>
        <v>88</v>
      </c>
      <c r="C1073" s="60" t="str">
        <f t="shared" si="77"/>
        <v>0</v>
      </c>
      <c r="D1073" s="60">
        <f>COUNTIF($K$7:K1073,K1073)</f>
        <v>0</v>
      </c>
      <c r="E1073" s="91"/>
      <c r="F1073" s="193">
        <v>44588</v>
      </c>
      <c r="G1073" s="116" t="s">
        <v>149</v>
      </c>
      <c r="H1073" s="91" t="s">
        <v>764</v>
      </c>
      <c r="I1073" s="126" t="s">
        <v>770</v>
      </c>
      <c r="J1073" s="115">
        <v>511.05</v>
      </c>
      <c r="K1073" s="166"/>
      <c r="L1073" s="198">
        <v>20000</v>
      </c>
      <c r="M1073" s="165"/>
      <c r="N1073" s="165"/>
      <c r="O1073" s="91"/>
      <c r="P1073" s="100" t="str">
        <f t="shared" si="78"/>
        <v>Biaya Transport Pengiriman Bensin, Parkir, Tol</v>
      </c>
      <c r="Q1073" s="91"/>
      <c r="S1073" s="112"/>
      <c r="T1073" s="112"/>
      <c r="X1073" s="102"/>
    </row>
    <row r="1074" spans="1:24" s="101" customFormat="1" hidden="1" x14ac:dyDescent="0.25">
      <c r="A1074" s="60" t="str">
        <f t="shared" si="76"/>
        <v>89511,05</v>
      </c>
      <c r="B1074" s="60">
        <f>COUNTIF($J$7:J1074,J1074)</f>
        <v>89</v>
      </c>
      <c r="C1074" s="60" t="str">
        <f t="shared" si="77"/>
        <v>0</v>
      </c>
      <c r="D1074" s="60">
        <f>COUNTIF($K$7:K1074,K1074)</f>
        <v>0</v>
      </c>
      <c r="E1074" s="91"/>
      <c r="F1074" s="137">
        <v>44580</v>
      </c>
      <c r="G1074" s="116" t="s">
        <v>149</v>
      </c>
      <c r="H1074" s="91" t="s">
        <v>764</v>
      </c>
      <c r="I1074" s="161" t="s">
        <v>771</v>
      </c>
      <c r="J1074" s="115">
        <v>511.05</v>
      </c>
      <c r="K1074" s="166"/>
      <c r="L1074" s="197">
        <v>3000</v>
      </c>
      <c r="M1074" s="165"/>
      <c r="N1074" s="165"/>
      <c r="O1074" s="91"/>
      <c r="P1074" s="100" t="str">
        <f t="shared" si="78"/>
        <v>Biaya Transport Pengiriman Bensin, Parkir, Tol</v>
      </c>
      <c r="Q1074" s="91"/>
      <c r="S1074" s="112"/>
      <c r="T1074" s="112"/>
      <c r="X1074" s="102"/>
    </row>
    <row r="1075" spans="1:24" s="101" customFormat="1" hidden="1" x14ac:dyDescent="0.25">
      <c r="A1075" s="60" t="str">
        <f t="shared" si="76"/>
        <v>90511,05</v>
      </c>
      <c r="B1075" s="60">
        <f>COUNTIF($J$7:J1075,J1075)</f>
        <v>90</v>
      </c>
      <c r="C1075" s="60" t="str">
        <f t="shared" si="77"/>
        <v>0</v>
      </c>
      <c r="D1075" s="60">
        <f>COUNTIF($K$7:K1075,K1075)</f>
        <v>0</v>
      </c>
      <c r="E1075" s="91"/>
      <c r="F1075" s="137">
        <v>44580</v>
      </c>
      <c r="G1075" s="116" t="s">
        <v>149</v>
      </c>
      <c r="H1075" s="91" t="s">
        <v>764</v>
      </c>
      <c r="I1075" s="161" t="s">
        <v>772</v>
      </c>
      <c r="J1075" s="115">
        <v>511.05</v>
      </c>
      <c r="K1075" s="166"/>
      <c r="L1075" s="197">
        <v>10000</v>
      </c>
      <c r="M1075" s="165"/>
      <c r="N1075" s="165"/>
      <c r="O1075" s="91"/>
      <c r="P1075" s="100" t="str">
        <f t="shared" si="78"/>
        <v>Biaya Transport Pengiriman Bensin, Parkir, Tol</v>
      </c>
      <c r="Q1075" s="91"/>
      <c r="S1075" s="112"/>
      <c r="T1075" s="112"/>
      <c r="X1075" s="102"/>
    </row>
    <row r="1076" spans="1:24" s="101" customFormat="1" hidden="1" x14ac:dyDescent="0.25">
      <c r="A1076" s="60" t="str">
        <f t="shared" si="76"/>
        <v>91511,05</v>
      </c>
      <c r="B1076" s="60">
        <f>COUNTIF($J$7:J1076,J1076)</f>
        <v>91</v>
      </c>
      <c r="C1076" s="60" t="str">
        <f t="shared" si="77"/>
        <v>0</v>
      </c>
      <c r="D1076" s="60">
        <f>COUNTIF($K$7:K1076,K1076)</f>
        <v>0</v>
      </c>
      <c r="E1076" s="91"/>
      <c r="F1076" s="137">
        <v>44586</v>
      </c>
      <c r="G1076" s="116" t="s">
        <v>149</v>
      </c>
      <c r="H1076" s="91" t="s">
        <v>764</v>
      </c>
      <c r="I1076" s="161" t="s">
        <v>773</v>
      </c>
      <c r="J1076" s="115">
        <v>511.05</v>
      </c>
      <c r="K1076" s="166"/>
      <c r="L1076" s="197">
        <v>16000</v>
      </c>
      <c r="M1076" s="165"/>
      <c r="N1076" s="165"/>
      <c r="O1076" s="91"/>
      <c r="P1076" s="100" t="str">
        <f t="shared" si="78"/>
        <v>Biaya Transport Pengiriman Bensin, Parkir, Tol</v>
      </c>
      <c r="Q1076" s="91"/>
      <c r="S1076" s="112"/>
      <c r="T1076" s="112"/>
      <c r="X1076" s="102"/>
    </row>
    <row r="1077" spans="1:24" s="101" customFormat="1" hidden="1" x14ac:dyDescent="0.25">
      <c r="A1077" s="60" t="str">
        <f t="shared" si="76"/>
        <v>92511,05</v>
      </c>
      <c r="B1077" s="60">
        <f>COUNTIF($J$7:J1077,J1077)</f>
        <v>92</v>
      </c>
      <c r="C1077" s="60" t="str">
        <f t="shared" si="77"/>
        <v>0</v>
      </c>
      <c r="D1077" s="60">
        <f>COUNTIF($K$7:K1077,K1077)</f>
        <v>0</v>
      </c>
      <c r="E1077" s="91"/>
      <c r="F1077" s="137">
        <v>44586</v>
      </c>
      <c r="G1077" s="116" t="s">
        <v>149</v>
      </c>
      <c r="H1077" s="91" t="s">
        <v>764</v>
      </c>
      <c r="I1077" s="161" t="s">
        <v>774</v>
      </c>
      <c r="J1077" s="115">
        <v>511.05</v>
      </c>
      <c r="K1077" s="166"/>
      <c r="L1077" s="197">
        <v>8000</v>
      </c>
      <c r="M1077" s="165"/>
      <c r="N1077" s="165"/>
      <c r="O1077" s="91"/>
      <c r="P1077" s="100" t="str">
        <f t="shared" si="78"/>
        <v>Biaya Transport Pengiriman Bensin, Parkir, Tol</v>
      </c>
      <c r="Q1077" s="91"/>
      <c r="S1077" s="112"/>
      <c r="T1077" s="112"/>
      <c r="X1077" s="102"/>
    </row>
    <row r="1078" spans="1:24" s="101" customFormat="1" hidden="1" x14ac:dyDescent="0.25">
      <c r="A1078" s="60" t="str">
        <f t="shared" si="76"/>
        <v>30511,03</v>
      </c>
      <c r="B1078" s="60">
        <f>COUNTIF($J$7:J1078,J1078)</f>
        <v>30</v>
      </c>
      <c r="C1078" s="60" t="str">
        <f t="shared" si="77"/>
        <v>0</v>
      </c>
      <c r="D1078" s="60">
        <f>COUNTIF($K$7:K1078,K1078)</f>
        <v>0</v>
      </c>
      <c r="E1078" s="91"/>
      <c r="F1078" s="184">
        <v>44587</v>
      </c>
      <c r="G1078" s="116" t="s">
        <v>149</v>
      </c>
      <c r="H1078" s="91" t="s">
        <v>764</v>
      </c>
      <c r="I1078" s="110" t="s">
        <v>775</v>
      </c>
      <c r="J1078" s="115">
        <v>511.03</v>
      </c>
      <c r="K1078" s="166"/>
      <c r="L1078" s="196">
        <v>156000</v>
      </c>
      <c r="M1078" s="165"/>
      <c r="N1078" s="165"/>
      <c r="O1078" s="91"/>
      <c r="P1078" s="100" t="str">
        <f t="shared" si="78"/>
        <v>Biaya Pengiriman Barang Ekspedisi</v>
      </c>
      <c r="Q1078" s="91"/>
      <c r="S1078" s="112"/>
      <c r="T1078" s="112"/>
      <c r="X1078" s="102"/>
    </row>
    <row r="1079" spans="1:24" s="101" customFormat="1" hidden="1" x14ac:dyDescent="0.25">
      <c r="A1079" s="60" t="str">
        <f t="shared" si="76"/>
        <v>52511,04</v>
      </c>
      <c r="B1079" s="60">
        <f>COUNTIF($J$7:J1079,J1079)</f>
        <v>52</v>
      </c>
      <c r="C1079" s="60" t="str">
        <f t="shared" si="77"/>
        <v>0</v>
      </c>
      <c r="D1079" s="60">
        <f>COUNTIF($K$7:K1079,K1079)</f>
        <v>0</v>
      </c>
      <c r="E1079" s="91"/>
      <c r="F1079" s="184">
        <v>44589</v>
      </c>
      <c r="G1079" s="116" t="s">
        <v>149</v>
      </c>
      <c r="H1079" s="91" t="s">
        <v>764</v>
      </c>
      <c r="I1079" s="110" t="s">
        <v>776</v>
      </c>
      <c r="J1079" s="123">
        <v>511.04</v>
      </c>
      <c r="K1079" s="166"/>
      <c r="L1079" s="196">
        <v>58000</v>
      </c>
      <c r="M1079" s="165"/>
      <c r="N1079" s="165"/>
      <c r="O1079" s="91"/>
      <c r="P1079" s="100" t="str">
        <f t="shared" si="78"/>
        <v>Biaya pengiriman Via Online (Gojek,Grab), Kuli</v>
      </c>
      <c r="Q1079" s="91"/>
      <c r="S1079" s="112"/>
      <c r="T1079" s="112"/>
      <c r="X1079" s="102"/>
    </row>
    <row r="1080" spans="1:24" s="101" customFormat="1" hidden="1" x14ac:dyDescent="0.25">
      <c r="A1080" s="60" t="str">
        <f t="shared" si="76"/>
        <v>31511,03</v>
      </c>
      <c r="B1080" s="60">
        <f>COUNTIF($J$7:J1080,J1080)</f>
        <v>31</v>
      </c>
      <c r="C1080" s="60" t="str">
        <f t="shared" si="77"/>
        <v>0</v>
      </c>
      <c r="D1080" s="60">
        <f>COUNTIF($K$7:K1080,K1080)</f>
        <v>0</v>
      </c>
      <c r="E1080" s="91"/>
      <c r="F1080" s="184">
        <v>44589</v>
      </c>
      <c r="G1080" s="116" t="s">
        <v>149</v>
      </c>
      <c r="H1080" s="91" t="s">
        <v>764</v>
      </c>
      <c r="I1080" s="110" t="s">
        <v>777</v>
      </c>
      <c r="J1080" s="123">
        <v>511.03</v>
      </c>
      <c r="K1080" s="166"/>
      <c r="L1080" s="196">
        <v>50000</v>
      </c>
      <c r="M1080" s="165"/>
      <c r="N1080" s="165"/>
      <c r="O1080" s="91"/>
      <c r="P1080" s="100" t="str">
        <f t="shared" si="78"/>
        <v>Biaya Pengiriman Barang Ekspedisi</v>
      </c>
      <c r="Q1080" s="91"/>
      <c r="S1080" s="112"/>
      <c r="T1080" s="112"/>
      <c r="X1080" s="102"/>
    </row>
    <row r="1081" spans="1:24" s="101" customFormat="1" hidden="1" x14ac:dyDescent="0.25">
      <c r="A1081" s="60" t="str">
        <f t="shared" si="76"/>
        <v>32511,03</v>
      </c>
      <c r="B1081" s="60">
        <f>COUNTIF($J$7:J1081,J1081)</f>
        <v>32</v>
      </c>
      <c r="C1081" s="60" t="str">
        <f t="shared" si="77"/>
        <v>0</v>
      </c>
      <c r="D1081" s="60">
        <f>COUNTIF($K$7:K1081,K1081)</f>
        <v>0</v>
      </c>
      <c r="E1081" s="91"/>
      <c r="F1081" s="184">
        <v>44592</v>
      </c>
      <c r="G1081" s="116" t="s">
        <v>149</v>
      </c>
      <c r="H1081" s="91" t="s">
        <v>764</v>
      </c>
      <c r="I1081" s="110" t="s">
        <v>778</v>
      </c>
      <c r="J1081" s="115">
        <v>511.03</v>
      </c>
      <c r="K1081" s="166"/>
      <c r="L1081" s="196">
        <v>250000</v>
      </c>
      <c r="M1081" s="165"/>
      <c r="N1081" s="165"/>
      <c r="O1081" s="91"/>
      <c r="P1081" s="100" t="str">
        <f t="shared" si="78"/>
        <v>Biaya Pengiriman Barang Ekspedisi</v>
      </c>
      <c r="Q1081" s="91"/>
      <c r="S1081" s="112"/>
      <c r="T1081" s="112"/>
      <c r="X1081" s="102"/>
    </row>
    <row r="1082" spans="1:24" s="101" customFormat="1" hidden="1" x14ac:dyDescent="0.25">
      <c r="A1082" s="60" t="str">
        <f t="shared" si="76"/>
        <v>33511,03</v>
      </c>
      <c r="B1082" s="60">
        <f>COUNTIF($J$7:J1082,J1082)</f>
        <v>33</v>
      </c>
      <c r="C1082" s="60" t="str">
        <f t="shared" si="77"/>
        <v>0</v>
      </c>
      <c r="D1082" s="60">
        <f>COUNTIF($K$7:K1082,K1082)</f>
        <v>0</v>
      </c>
      <c r="E1082" s="91"/>
      <c r="F1082" s="184">
        <v>44592</v>
      </c>
      <c r="G1082" s="116" t="s">
        <v>149</v>
      </c>
      <c r="H1082" s="91" t="s">
        <v>764</v>
      </c>
      <c r="I1082" s="110" t="s">
        <v>779</v>
      </c>
      <c r="J1082" s="123">
        <v>511.03</v>
      </c>
      <c r="K1082" s="166"/>
      <c r="L1082" s="196">
        <v>205000</v>
      </c>
      <c r="M1082" s="165"/>
      <c r="N1082" s="165"/>
      <c r="O1082" s="91"/>
      <c r="P1082" s="100" t="str">
        <f t="shared" si="78"/>
        <v>Biaya Pengiriman Barang Ekspedisi</v>
      </c>
      <c r="Q1082" s="91"/>
      <c r="S1082" s="112"/>
      <c r="T1082" s="112"/>
      <c r="X1082" s="102"/>
    </row>
    <row r="1083" spans="1:24" s="101" customFormat="1" hidden="1" x14ac:dyDescent="0.25">
      <c r="A1083" s="60" t="str">
        <f t="shared" si="76"/>
        <v>93511,05</v>
      </c>
      <c r="B1083" s="60">
        <f>COUNTIF($J$7:J1083,J1083)</f>
        <v>93</v>
      </c>
      <c r="C1083" s="60" t="str">
        <f t="shared" si="77"/>
        <v>0</v>
      </c>
      <c r="D1083" s="60">
        <f>COUNTIF($K$7:K1083,K1083)</f>
        <v>0</v>
      </c>
      <c r="E1083" s="91"/>
      <c r="F1083" s="184">
        <v>44592</v>
      </c>
      <c r="G1083" s="116" t="s">
        <v>149</v>
      </c>
      <c r="H1083" s="91" t="s">
        <v>764</v>
      </c>
      <c r="I1083" s="110" t="s">
        <v>780</v>
      </c>
      <c r="J1083" s="115">
        <v>511.05</v>
      </c>
      <c r="K1083" s="166"/>
      <c r="L1083" s="196">
        <v>4000</v>
      </c>
      <c r="M1083" s="204"/>
      <c r="N1083" s="204"/>
      <c r="O1083" s="91"/>
      <c r="P1083" s="100" t="str">
        <f t="shared" si="78"/>
        <v>Biaya Transport Pengiriman Bensin, Parkir, Tol</v>
      </c>
      <c r="Q1083" s="91"/>
      <c r="S1083" s="112"/>
      <c r="T1083" s="112"/>
      <c r="X1083" s="102"/>
    </row>
    <row r="1084" spans="1:24" s="101" customFormat="1" hidden="1" x14ac:dyDescent="0.25">
      <c r="A1084" s="60" t="str">
        <f t="shared" si="76"/>
        <v>27119</v>
      </c>
      <c r="B1084" s="60">
        <f>COUNTIF($J$7:J1084,J1084)</f>
        <v>27</v>
      </c>
      <c r="C1084" s="60" t="str">
        <f t="shared" si="77"/>
        <v>10119,02</v>
      </c>
      <c r="D1084" s="60">
        <f>COUNTIF($K$7:K1084,K1084)</f>
        <v>10</v>
      </c>
      <c r="E1084" s="91"/>
      <c r="F1084" s="184">
        <v>44592</v>
      </c>
      <c r="G1084" s="116" t="s">
        <v>149</v>
      </c>
      <c r="H1084" s="91" t="s">
        <v>645</v>
      </c>
      <c r="I1084" s="110" t="s">
        <v>781</v>
      </c>
      <c r="J1084" s="129">
        <v>119</v>
      </c>
      <c r="K1084" s="108">
        <v>119.02</v>
      </c>
      <c r="L1084" s="195"/>
      <c r="M1084" s="132">
        <v>0</v>
      </c>
      <c r="N1084" s="132"/>
      <c r="O1084" s="203">
        <f>M1084-SUM(L1085:L1090)</f>
        <v>-631000</v>
      </c>
      <c r="P1084" s="100" t="str">
        <f t="shared" si="78"/>
        <v>Uang Muka Biaya Pengiriman dan Perjalanan Dinas Marketing</v>
      </c>
      <c r="Q1084" s="91"/>
      <c r="S1084" s="112"/>
      <c r="T1084" s="112"/>
      <c r="X1084" s="102"/>
    </row>
    <row r="1085" spans="1:24" s="101" customFormat="1" hidden="1" x14ac:dyDescent="0.25">
      <c r="A1085" s="60" t="str">
        <f t="shared" si="76"/>
        <v>53511,04</v>
      </c>
      <c r="B1085" s="60">
        <f>COUNTIF($J$7:J1085,J1085)</f>
        <v>53</v>
      </c>
      <c r="C1085" s="60" t="str">
        <f t="shared" si="77"/>
        <v>0</v>
      </c>
      <c r="D1085" s="60">
        <f>COUNTIF($K$7:K1085,K1085)</f>
        <v>0</v>
      </c>
      <c r="E1085" s="91"/>
      <c r="F1085" s="137">
        <v>44592</v>
      </c>
      <c r="G1085" s="116" t="s">
        <v>149</v>
      </c>
      <c r="H1085" s="91" t="s">
        <v>645</v>
      </c>
      <c r="I1085" s="161" t="s">
        <v>782</v>
      </c>
      <c r="J1085" s="115">
        <v>511.04</v>
      </c>
      <c r="K1085" s="166"/>
      <c r="L1085" s="197">
        <v>312000</v>
      </c>
      <c r="M1085" s="165"/>
      <c r="N1085" s="165"/>
      <c r="O1085" s="91"/>
      <c r="P1085" s="100" t="str">
        <f t="shared" si="78"/>
        <v>Biaya pengiriman Via Online (Gojek,Grab), Kuli</v>
      </c>
      <c r="Q1085" s="91"/>
      <c r="S1085" s="112"/>
      <c r="T1085" s="112"/>
      <c r="X1085" s="102"/>
    </row>
    <row r="1086" spans="1:24" s="101" customFormat="1" hidden="1" x14ac:dyDescent="0.25">
      <c r="A1086" s="60" t="str">
        <f t="shared" si="76"/>
        <v>54511,04</v>
      </c>
      <c r="B1086" s="60">
        <f>COUNTIF($J$7:J1086,J1086)</f>
        <v>54</v>
      </c>
      <c r="C1086" s="60" t="str">
        <f t="shared" si="77"/>
        <v>0</v>
      </c>
      <c r="D1086" s="60">
        <f>COUNTIF($K$7:K1086,K1086)</f>
        <v>0</v>
      </c>
      <c r="E1086" s="91"/>
      <c r="F1086" s="137">
        <v>44592</v>
      </c>
      <c r="G1086" s="116" t="s">
        <v>149</v>
      </c>
      <c r="H1086" s="91" t="s">
        <v>645</v>
      </c>
      <c r="I1086" s="161" t="s">
        <v>783</v>
      </c>
      <c r="J1086" s="115">
        <v>511.04</v>
      </c>
      <c r="K1086" s="166"/>
      <c r="L1086" s="197">
        <v>266000</v>
      </c>
      <c r="M1086" s="165"/>
      <c r="N1086" s="165"/>
      <c r="O1086" s="91"/>
      <c r="P1086" s="100" t="str">
        <f t="shared" si="78"/>
        <v>Biaya pengiriman Via Online (Gojek,Grab), Kuli</v>
      </c>
      <c r="Q1086" s="91"/>
      <c r="S1086" s="112"/>
      <c r="T1086" s="112"/>
      <c r="X1086" s="102"/>
    </row>
    <row r="1087" spans="1:24" s="101" customFormat="1" hidden="1" x14ac:dyDescent="0.25">
      <c r="A1087" s="60" t="str">
        <f t="shared" si="76"/>
        <v>94511,05</v>
      </c>
      <c r="B1087" s="60">
        <f>COUNTIF($J$7:J1087,J1087)</f>
        <v>94</v>
      </c>
      <c r="C1087" s="60" t="str">
        <f t="shared" si="77"/>
        <v>0</v>
      </c>
      <c r="D1087" s="60">
        <f>COUNTIF($K$7:K1087,K1087)</f>
        <v>0</v>
      </c>
      <c r="E1087" s="91"/>
      <c r="F1087" s="137">
        <v>44592</v>
      </c>
      <c r="G1087" s="116" t="s">
        <v>149</v>
      </c>
      <c r="H1087" s="91" t="s">
        <v>645</v>
      </c>
      <c r="I1087" s="161" t="s">
        <v>784</v>
      </c>
      <c r="J1087" s="115">
        <v>511.05</v>
      </c>
      <c r="K1087" s="166"/>
      <c r="L1087" s="131">
        <v>4000</v>
      </c>
      <c r="M1087" s="165"/>
      <c r="N1087" s="165"/>
      <c r="O1087" s="91"/>
      <c r="P1087" s="100" t="str">
        <f t="shared" si="78"/>
        <v>Biaya Transport Pengiriman Bensin, Parkir, Tol</v>
      </c>
      <c r="Q1087" s="91"/>
      <c r="S1087" s="112"/>
      <c r="T1087" s="112"/>
      <c r="X1087" s="102"/>
    </row>
    <row r="1088" spans="1:24" s="101" customFormat="1" hidden="1" x14ac:dyDescent="0.25">
      <c r="A1088" s="60" t="str">
        <f t="shared" si="76"/>
        <v>95511,05</v>
      </c>
      <c r="B1088" s="60">
        <f>COUNTIF($J$7:J1088,J1088)</f>
        <v>95</v>
      </c>
      <c r="C1088" s="60" t="str">
        <f t="shared" si="77"/>
        <v>0</v>
      </c>
      <c r="D1088" s="60">
        <f>COUNTIF($K$7:K1088,K1088)</f>
        <v>0</v>
      </c>
      <c r="E1088" s="91"/>
      <c r="F1088" s="137">
        <v>44592</v>
      </c>
      <c r="G1088" s="116" t="s">
        <v>149</v>
      </c>
      <c r="H1088" s="91" t="s">
        <v>645</v>
      </c>
      <c r="I1088" s="161" t="s">
        <v>785</v>
      </c>
      <c r="J1088" s="115">
        <v>511.05</v>
      </c>
      <c r="K1088" s="166"/>
      <c r="L1088" s="131">
        <v>10000</v>
      </c>
      <c r="M1088" s="165"/>
      <c r="N1088" s="165"/>
      <c r="O1088" s="91"/>
      <c r="P1088" s="100" t="str">
        <f t="shared" si="78"/>
        <v>Biaya Transport Pengiriman Bensin, Parkir, Tol</v>
      </c>
      <c r="Q1088" s="91"/>
      <c r="S1088" s="112"/>
      <c r="T1088" s="112"/>
      <c r="X1088" s="102"/>
    </row>
    <row r="1089" spans="1:24" s="101" customFormat="1" hidden="1" x14ac:dyDescent="0.25">
      <c r="A1089" s="60" t="str">
        <f t="shared" si="76"/>
        <v>96511,05</v>
      </c>
      <c r="B1089" s="60">
        <f>COUNTIF($J$7:J1089,J1089)</f>
        <v>96</v>
      </c>
      <c r="C1089" s="60" t="str">
        <f t="shared" si="77"/>
        <v>0</v>
      </c>
      <c r="D1089" s="60">
        <f>COUNTIF($K$7:K1089,K1089)</f>
        <v>0</v>
      </c>
      <c r="E1089" s="91"/>
      <c r="F1089" s="137">
        <v>44592</v>
      </c>
      <c r="G1089" s="116" t="s">
        <v>149</v>
      </c>
      <c r="H1089" s="91" t="s">
        <v>645</v>
      </c>
      <c r="I1089" s="161" t="s">
        <v>786</v>
      </c>
      <c r="J1089" s="115">
        <v>511.05</v>
      </c>
      <c r="K1089" s="166"/>
      <c r="L1089" s="131">
        <v>8000</v>
      </c>
      <c r="M1089" s="165"/>
      <c r="N1089" s="165"/>
      <c r="O1089" s="91"/>
      <c r="P1089" s="100" t="str">
        <f t="shared" si="78"/>
        <v>Biaya Transport Pengiriman Bensin, Parkir, Tol</v>
      </c>
      <c r="Q1089" s="91"/>
      <c r="S1089" s="112"/>
      <c r="T1089" s="112"/>
      <c r="X1089" s="102"/>
    </row>
    <row r="1090" spans="1:24" s="101" customFormat="1" hidden="1" x14ac:dyDescent="0.25">
      <c r="A1090" s="60" t="str">
        <f t="shared" si="76"/>
        <v>97511,05</v>
      </c>
      <c r="B1090" s="60">
        <f>COUNTIF($J$7:J1090,J1090)</f>
        <v>97</v>
      </c>
      <c r="C1090" s="60" t="str">
        <f t="shared" si="77"/>
        <v>0</v>
      </c>
      <c r="D1090" s="60">
        <f>COUNTIF($K$7:K1090,K1090)</f>
        <v>0</v>
      </c>
      <c r="E1090" s="91"/>
      <c r="F1090" s="137">
        <v>44592</v>
      </c>
      <c r="G1090" s="116" t="s">
        <v>149</v>
      </c>
      <c r="H1090" s="91" t="s">
        <v>645</v>
      </c>
      <c r="I1090" s="161" t="s">
        <v>787</v>
      </c>
      <c r="J1090" s="115">
        <v>511.05</v>
      </c>
      <c r="K1090" s="166"/>
      <c r="L1090" s="131">
        <v>31000</v>
      </c>
      <c r="M1090" s="165"/>
      <c r="N1090" s="165"/>
      <c r="O1090" s="91"/>
      <c r="P1090" s="100" t="str">
        <f t="shared" si="78"/>
        <v>Biaya Transport Pengiriman Bensin, Parkir, Tol</v>
      </c>
      <c r="Q1090" s="91"/>
      <c r="S1090" s="112"/>
      <c r="T1090" s="112"/>
      <c r="X1090" s="102"/>
    </row>
    <row r="1091" spans="1:24" s="101" customFormat="1" hidden="1" x14ac:dyDescent="0.25">
      <c r="A1091" s="60" t="str">
        <f t="shared" si="76"/>
        <v>28119</v>
      </c>
      <c r="B1091" s="60">
        <f>COUNTIF($J$7:J1091,J1091)</f>
        <v>28</v>
      </c>
      <c r="C1091" s="60" t="str">
        <f t="shared" si="77"/>
        <v>11119,01</v>
      </c>
      <c r="D1091" s="60">
        <f>COUNTIF($K$7:K1091,K1091)</f>
        <v>11</v>
      </c>
      <c r="E1091" s="91"/>
      <c r="F1091" s="137">
        <v>44588.534178240741</v>
      </c>
      <c r="G1091" s="116" t="s">
        <v>149</v>
      </c>
      <c r="H1091" s="91" t="s">
        <v>619</v>
      </c>
      <c r="I1091" s="161" t="s">
        <v>372</v>
      </c>
      <c r="J1091" s="129">
        <v>119</v>
      </c>
      <c r="K1091" s="108">
        <v>119.01</v>
      </c>
      <c r="L1091" s="131"/>
      <c r="M1091" s="205">
        <v>1000000</v>
      </c>
      <c r="N1091" s="205"/>
      <c r="O1091" s="188">
        <f>M1091-SUM(L1092:L1096)</f>
        <v>668000</v>
      </c>
      <c r="P1091" s="100" t="str">
        <f t="shared" si="78"/>
        <v>Uang Muka Biaya Pengiriman dan Perjalanan Dinas Marketing</v>
      </c>
      <c r="Q1091" s="91"/>
      <c r="S1091" s="112"/>
      <c r="T1091" s="112"/>
      <c r="X1091" s="102"/>
    </row>
    <row r="1092" spans="1:24" s="101" customFormat="1" hidden="1" x14ac:dyDescent="0.25">
      <c r="A1092" s="60" t="str">
        <f t="shared" si="76"/>
        <v>55511,04</v>
      </c>
      <c r="B1092" s="60">
        <f>COUNTIF($J$7:J1092,J1092)</f>
        <v>55</v>
      </c>
      <c r="C1092" s="60" t="str">
        <f t="shared" si="77"/>
        <v>0</v>
      </c>
      <c r="D1092" s="60">
        <f>COUNTIF($K$7:K1092,K1092)</f>
        <v>0</v>
      </c>
      <c r="E1092" s="91"/>
      <c r="F1092" s="137">
        <v>44587</v>
      </c>
      <c r="G1092" s="116" t="s">
        <v>149</v>
      </c>
      <c r="H1092" s="91" t="s">
        <v>619</v>
      </c>
      <c r="I1092" s="161" t="s">
        <v>788</v>
      </c>
      <c r="J1092" s="123">
        <v>511.04</v>
      </c>
      <c r="K1092" s="166"/>
      <c r="L1092" s="131">
        <v>214000</v>
      </c>
      <c r="M1092" s="165"/>
      <c r="N1092" s="165"/>
      <c r="O1092" s="91"/>
      <c r="P1092" s="100" t="str">
        <f t="shared" si="78"/>
        <v>Biaya pengiriman Via Online (Gojek,Grab), Kuli</v>
      </c>
      <c r="Q1092" s="91"/>
      <c r="S1092" s="112"/>
      <c r="T1092" s="112"/>
      <c r="X1092" s="102"/>
    </row>
    <row r="1093" spans="1:24" s="101" customFormat="1" hidden="1" x14ac:dyDescent="0.25">
      <c r="A1093" s="60" t="str">
        <f t="shared" si="76"/>
        <v>98511,05</v>
      </c>
      <c r="B1093" s="60">
        <f>COUNTIF($J$7:J1093,J1093)</f>
        <v>98</v>
      </c>
      <c r="C1093" s="60" t="str">
        <f t="shared" si="77"/>
        <v>0</v>
      </c>
      <c r="D1093" s="60">
        <f>COUNTIF($K$7:K1093,K1093)</f>
        <v>0</v>
      </c>
      <c r="E1093" s="91"/>
      <c r="F1093" s="137">
        <v>44587</v>
      </c>
      <c r="G1093" s="116" t="s">
        <v>149</v>
      </c>
      <c r="H1093" s="91" t="s">
        <v>619</v>
      </c>
      <c r="I1093" s="161" t="s">
        <v>789</v>
      </c>
      <c r="J1093" s="115">
        <v>511.05</v>
      </c>
      <c r="K1093" s="166"/>
      <c r="L1093" s="131">
        <v>8000</v>
      </c>
      <c r="M1093" s="165"/>
      <c r="N1093" s="165"/>
      <c r="O1093" s="91"/>
      <c r="P1093" s="100" t="str">
        <f t="shared" si="78"/>
        <v>Biaya Transport Pengiriman Bensin, Parkir, Tol</v>
      </c>
      <c r="Q1093" s="91"/>
      <c r="S1093" s="112"/>
      <c r="T1093" s="112"/>
      <c r="X1093" s="102"/>
    </row>
    <row r="1094" spans="1:24" s="101" customFormat="1" hidden="1" x14ac:dyDescent="0.25">
      <c r="A1094" s="60" t="str">
        <f t="shared" si="76"/>
        <v>99511,05</v>
      </c>
      <c r="B1094" s="60">
        <f>COUNTIF($J$7:J1094,J1094)</f>
        <v>99</v>
      </c>
      <c r="C1094" s="60" t="str">
        <f t="shared" si="77"/>
        <v>0</v>
      </c>
      <c r="D1094" s="60">
        <f>COUNTIF($K$7:K1094,K1094)</f>
        <v>0</v>
      </c>
      <c r="E1094" s="91"/>
      <c r="F1094" s="137">
        <v>44587</v>
      </c>
      <c r="G1094" s="116" t="s">
        <v>149</v>
      </c>
      <c r="H1094" s="91" t="s">
        <v>619</v>
      </c>
      <c r="I1094" s="161" t="s">
        <v>790</v>
      </c>
      <c r="J1094" s="115">
        <v>511.05</v>
      </c>
      <c r="K1094" s="166"/>
      <c r="L1094" s="131">
        <v>10000</v>
      </c>
      <c r="M1094" s="165"/>
      <c r="N1094" s="165"/>
      <c r="O1094" s="91"/>
      <c r="P1094" s="100" t="str">
        <f t="shared" si="78"/>
        <v>Biaya Transport Pengiriman Bensin, Parkir, Tol</v>
      </c>
      <c r="Q1094" s="91"/>
      <c r="S1094" s="112"/>
      <c r="T1094" s="112"/>
      <c r="X1094" s="102"/>
    </row>
    <row r="1095" spans="1:24" s="101" customFormat="1" hidden="1" x14ac:dyDescent="0.25">
      <c r="A1095" s="60" t="str">
        <f t="shared" ref="A1095:A1158" si="79">B1095&amp;J1095</f>
        <v>6610,15</v>
      </c>
      <c r="B1095" s="60">
        <f>COUNTIF($J$7:J1095,J1095)</f>
        <v>6</v>
      </c>
      <c r="C1095" s="60" t="str">
        <f t="shared" ref="C1095:C1158" si="80">D1095&amp;K1095</f>
        <v>0</v>
      </c>
      <c r="D1095" s="60">
        <f>COUNTIF($K$7:K1095,K1095)</f>
        <v>0</v>
      </c>
      <c r="E1095" s="91"/>
      <c r="F1095" s="184">
        <v>44587</v>
      </c>
      <c r="G1095" s="116" t="s">
        <v>149</v>
      </c>
      <c r="H1095" s="91" t="s">
        <v>619</v>
      </c>
      <c r="I1095" s="110" t="s">
        <v>627</v>
      </c>
      <c r="J1095" s="91">
        <v>610.15</v>
      </c>
      <c r="K1095" s="166"/>
      <c r="L1095" s="195">
        <v>50000</v>
      </c>
      <c r="M1095" s="165"/>
      <c r="N1095" s="165"/>
      <c r="O1095" s="91"/>
      <c r="P1095" s="100" t="str">
        <f t="shared" ref="P1095:P1158" si="81">IF(J1095=0,"-",+VLOOKUP(J1095,DAF_AKUN,2,FALSE))</f>
        <v>Biaya Pemeliharaan Lingkungan (Keamanan dan Kebersihan)</v>
      </c>
      <c r="Q1095" s="91"/>
      <c r="S1095" s="112"/>
      <c r="T1095" s="112"/>
      <c r="X1095" s="102"/>
    </row>
    <row r="1096" spans="1:24" s="101" customFormat="1" hidden="1" x14ac:dyDescent="0.25">
      <c r="A1096" s="60" t="str">
        <f t="shared" si="79"/>
        <v>7610,15</v>
      </c>
      <c r="B1096" s="60">
        <f>COUNTIF($J$7:J1096,J1096)</f>
        <v>7</v>
      </c>
      <c r="C1096" s="60" t="str">
        <f t="shared" si="80"/>
        <v>0</v>
      </c>
      <c r="D1096" s="60">
        <f>COUNTIF($K$7:K1096,K1096)</f>
        <v>0</v>
      </c>
      <c r="E1096" s="91"/>
      <c r="F1096" s="184">
        <v>44587</v>
      </c>
      <c r="G1096" s="116" t="s">
        <v>149</v>
      </c>
      <c r="H1096" s="91" t="s">
        <v>619</v>
      </c>
      <c r="I1096" s="110" t="s">
        <v>627</v>
      </c>
      <c r="J1096" s="91">
        <v>610.15</v>
      </c>
      <c r="K1096" s="166"/>
      <c r="L1096" s="195">
        <v>50000</v>
      </c>
      <c r="M1096" s="165"/>
      <c r="N1096" s="165"/>
      <c r="O1096" s="91"/>
      <c r="P1096" s="100" t="str">
        <f t="shared" si="81"/>
        <v>Biaya Pemeliharaan Lingkungan (Keamanan dan Kebersihan)</v>
      </c>
      <c r="Q1096" s="91"/>
      <c r="S1096" s="112"/>
      <c r="T1096" s="112"/>
      <c r="X1096" s="102"/>
    </row>
    <row r="1097" spans="1:24" s="101" customFormat="1" hidden="1" x14ac:dyDescent="0.25">
      <c r="A1097" s="60" t="str">
        <f t="shared" si="79"/>
        <v>29119</v>
      </c>
      <c r="B1097" s="60">
        <f>COUNTIF($J$7:J1097,J1097)</f>
        <v>29</v>
      </c>
      <c r="C1097" s="60" t="str">
        <f t="shared" si="80"/>
        <v>12119,01</v>
      </c>
      <c r="D1097" s="60">
        <f>COUNTIF($K$7:K1097,K1097)</f>
        <v>12</v>
      </c>
      <c r="E1097" s="91"/>
      <c r="F1097" s="137">
        <v>44572.506331018521</v>
      </c>
      <c r="G1097" s="116" t="s">
        <v>149</v>
      </c>
      <c r="H1097" s="91" t="s">
        <v>619</v>
      </c>
      <c r="I1097" s="161" t="s">
        <v>292</v>
      </c>
      <c r="J1097" s="129">
        <v>119</v>
      </c>
      <c r="K1097" s="108">
        <v>119.01</v>
      </c>
      <c r="L1097" s="131"/>
      <c r="M1097" s="205">
        <v>600000</v>
      </c>
      <c r="N1097" s="205"/>
      <c r="O1097" s="188">
        <f>M1097-SUM(L1098:L1099)</f>
        <v>-150000</v>
      </c>
      <c r="P1097" s="100" t="str">
        <f t="shared" si="81"/>
        <v>Uang Muka Biaya Pengiriman dan Perjalanan Dinas Marketing</v>
      </c>
      <c r="Q1097" s="91"/>
      <c r="S1097" s="112"/>
      <c r="T1097" s="112"/>
      <c r="X1097" s="102"/>
    </row>
    <row r="1098" spans="1:24" s="101" customFormat="1" hidden="1" x14ac:dyDescent="0.25">
      <c r="A1098" s="60" t="str">
        <f t="shared" si="79"/>
        <v>16610,1</v>
      </c>
      <c r="B1098" s="60">
        <f>COUNTIF($J$7:J1098,J1098)</f>
        <v>16</v>
      </c>
      <c r="C1098" s="60" t="str">
        <f t="shared" si="80"/>
        <v>0</v>
      </c>
      <c r="D1098" s="60">
        <f>COUNTIF($K$7:K1098,K1098)</f>
        <v>0</v>
      </c>
      <c r="E1098" s="91"/>
      <c r="F1098" s="184">
        <v>44590</v>
      </c>
      <c r="G1098" s="116" t="s">
        <v>149</v>
      </c>
      <c r="H1098" s="91" t="s">
        <v>619</v>
      </c>
      <c r="I1098" s="110" t="s">
        <v>791</v>
      </c>
      <c r="J1098" s="117">
        <v>610.1</v>
      </c>
      <c r="K1098" s="166"/>
      <c r="L1098" s="195">
        <v>300000</v>
      </c>
      <c r="M1098" s="165"/>
      <c r="N1098" s="165"/>
      <c r="O1098" s="91"/>
      <c r="P1098" s="100" t="str">
        <f t="shared" si="81"/>
        <v>Biaya Rumah Tangga Kantor</v>
      </c>
      <c r="Q1098" s="91"/>
      <c r="S1098" s="112"/>
      <c r="T1098" s="112"/>
      <c r="X1098" s="102"/>
    </row>
    <row r="1099" spans="1:24" s="101" customFormat="1" hidden="1" x14ac:dyDescent="0.25">
      <c r="A1099" s="60" t="str">
        <f t="shared" si="79"/>
        <v>17610,1</v>
      </c>
      <c r="B1099" s="60">
        <f>COUNTIF($J$7:J1099,J1099)</f>
        <v>17</v>
      </c>
      <c r="C1099" s="60" t="str">
        <f t="shared" si="80"/>
        <v>0</v>
      </c>
      <c r="D1099" s="60">
        <f>COUNTIF($K$7:K1099,K1099)</f>
        <v>0</v>
      </c>
      <c r="E1099" s="91"/>
      <c r="F1099" s="184">
        <v>44590</v>
      </c>
      <c r="G1099" s="116" t="s">
        <v>149</v>
      </c>
      <c r="H1099" s="91" t="s">
        <v>619</v>
      </c>
      <c r="I1099" s="110" t="s">
        <v>792</v>
      </c>
      <c r="J1099" s="117">
        <v>610.1</v>
      </c>
      <c r="K1099" s="166"/>
      <c r="L1099" s="195">
        <v>450000</v>
      </c>
      <c r="M1099" s="165"/>
      <c r="N1099" s="165"/>
      <c r="O1099" s="91"/>
      <c r="P1099" s="100" t="str">
        <f t="shared" si="81"/>
        <v>Biaya Rumah Tangga Kantor</v>
      </c>
      <c r="Q1099" s="91"/>
      <c r="S1099" s="112"/>
      <c r="T1099" s="112"/>
      <c r="X1099" s="102"/>
    </row>
    <row r="1100" spans="1:24" s="215" customFormat="1" hidden="1" x14ac:dyDescent="0.25">
      <c r="A1100" s="60" t="str">
        <f t="shared" si="79"/>
        <v>36220,03</v>
      </c>
      <c r="B1100" s="60">
        <f>COUNTIF($J$7:J1100,J1100)</f>
        <v>36</v>
      </c>
      <c r="C1100" s="60" t="str">
        <f t="shared" si="80"/>
        <v>0</v>
      </c>
      <c r="D1100" s="60">
        <f>COUNTIF($K$7:K1100,K1100)</f>
        <v>0</v>
      </c>
      <c r="E1100" s="206"/>
      <c r="F1100" s="207">
        <v>44590</v>
      </c>
      <c r="G1100" s="208" t="s">
        <v>149</v>
      </c>
      <c r="H1100" s="206" t="s">
        <v>619</v>
      </c>
      <c r="I1100" s="209" t="s">
        <v>793</v>
      </c>
      <c r="J1100" s="210">
        <v>220.03</v>
      </c>
      <c r="K1100" s="211"/>
      <c r="L1100" s="212"/>
      <c r="M1100" s="213">
        <v>1789000</v>
      </c>
      <c r="N1100" s="213"/>
      <c r="O1100" s="206"/>
      <c r="P1100" s="214" t="str">
        <f t="shared" si="81"/>
        <v>Hutang BIaya</v>
      </c>
      <c r="Q1100" s="206"/>
      <c r="S1100" s="216"/>
      <c r="T1100" s="216"/>
      <c r="X1100" s="217"/>
    </row>
    <row r="1101" spans="1:24" s="215" customFormat="1" hidden="1" x14ac:dyDescent="0.25">
      <c r="A1101" s="60" t="str">
        <f t="shared" si="79"/>
        <v>37220,03</v>
      </c>
      <c r="B1101" s="60">
        <f>COUNTIF($J$7:J1101,J1101)</f>
        <v>37</v>
      </c>
      <c r="C1101" s="60" t="str">
        <f t="shared" si="80"/>
        <v>0</v>
      </c>
      <c r="D1101" s="60">
        <f>COUNTIF($K$7:K1101,K1101)</f>
        <v>0</v>
      </c>
      <c r="E1101" s="206"/>
      <c r="F1101" s="207">
        <v>44590</v>
      </c>
      <c r="G1101" s="208" t="s">
        <v>149</v>
      </c>
      <c r="H1101" s="206" t="s">
        <v>619</v>
      </c>
      <c r="I1101" s="209" t="s">
        <v>794</v>
      </c>
      <c r="J1101" s="210">
        <v>220.03</v>
      </c>
      <c r="K1101" s="211"/>
      <c r="L1101" s="212"/>
      <c r="M1101" s="213">
        <v>162000</v>
      </c>
      <c r="N1101" s="213"/>
      <c r="O1101" s="206"/>
      <c r="P1101" s="214" t="str">
        <f t="shared" si="81"/>
        <v>Hutang BIaya</v>
      </c>
      <c r="Q1101" s="206"/>
      <c r="S1101" s="216"/>
      <c r="T1101" s="216"/>
      <c r="X1101" s="217"/>
    </row>
    <row r="1102" spans="1:24" s="215" customFormat="1" hidden="1" x14ac:dyDescent="0.25">
      <c r="A1102" s="60" t="str">
        <f t="shared" si="79"/>
        <v>30119</v>
      </c>
      <c r="B1102" s="60">
        <f>COUNTIF($J$7:J1102,J1102)</f>
        <v>30</v>
      </c>
      <c r="C1102" s="60" t="str">
        <f t="shared" si="80"/>
        <v>13119,01</v>
      </c>
      <c r="D1102" s="60">
        <f>COUNTIF($K$7:K1102,K1102)</f>
        <v>13</v>
      </c>
      <c r="E1102" s="206"/>
      <c r="F1102" s="207">
        <v>44590</v>
      </c>
      <c r="G1102" s="208" t="s">
        <v>149</v>
      </c>
      <c r="H1102" s="206" t="s">
        <v>619</v>
      </c>
      <c r="I1102" s="209" t="s">
        <v>795</v>
      </c>
      <c r="J1102" s="218">
        <v>119</v>
      </c>
      <c r="K1102" s="219">
        <v>119.01</v>
      </c>
      <c r="L1102" s="212">
        <v>303500</v>
      </c>
      <c r="M1102" s="213"/>
      <c r="N1102" s="213"/>
      <c r="O1102" s="206"/>
      <c r="P1102" s="214" t="str">
        <f t="shared" si="81"/>
        <v>Uang Muka Biaya Pengiriman dan Perjalanan Dinas Marketing</v>
      </c>
      <c r="Q1102" s="206"/>
      <c r="S1102" s="216"/>
      <c r="T1102" s="216"/>
      <c r="X1102" s="217"/>
    </row>
    <row r="1103" spans="1:24" s="101" customFormat="1" hidden="1" x14ac:dyDescent="0.25">
      <c r="A1103" s="60" t="str">
        <f t="shared" si="79"/>
        <v>2610,32</v>
      </c>
      <c r="B1103" s="60">
        <f>COUNTIF($J$7:J1103,J1103)</f>
        <v>2</v>
      </c>
      <c r="C1103" s="60" t="str">
        <f t="shared" si="80"/>
        <v>0</v>
      </c>
      <c r="D1103" s="60">
        <f>COUNTIF($K$7:K1103,K1103)</f>
        <v>0</v>
      </c>
      <c r="E1103" s="91"/>
      <c r="F1103" s="184">
        <v>44587</v>
      </c>
      <c r="G1103" s="116" t="s">
        <v>149</v>
      </c>
      <c r="H1103" s="91" t="s">
        <v>796</v>
      </c>
      <c r="I1103" s="125" t="s">
        <v>797</v>
      </c>
      <c r="J1103" s="128">
        <v>610.32000000000005</v>
      </c>
      <c r="K1103" s="178"/>
      <c r="L1103" s="130">
        <f>2539200-30000</f>
        <v>2509200</v>
      </c>
      <c r="M1103" s="165"/>
      <c r="N1103" s="165"/>
      <c r="O1103" s="91"/>
      <c r="P1103" s="100" t="str">
        <f t="shared" si="81"/>
        <v>Biaya Representasi</v>
      </c>
      <c r="Q1103" s="91"/>
      <c r="S1103" s="112"/>
      <c r="T1103" s="112"/>
      <c r="X1103" s="102"/>
    </row>
    <row r="1104" spans="1:24" s="101" customFormat="1" hidden="1" x14ac:dyDescent="0.25">
      <c r="A1104" s="60" t="str">
        <f t="shared" si="79"/>
        <v>31119</v>
      </c>
      <c r="B1104" s="60">
        <f>COUNTIF($J$7:J1104,J1104)</f>
        <v>31</v>
      </c>
      <c r="C1104" s="60" t="str">
        <f t="shared" si="80"/>
        <v>4119,04</v>
      </c>
      <c r="D1104" s="60">
        <f>COUNTIF($K$7:K1104,K1104)</f>
        <v>4</v>
      </c>
      <c r="E1104" s="91"/>
      <c r="F1104" s="184">
        <v>44587</v>
      </c>
      <c r="G1104" s="116" t="s">
        <v>149</v>
      </c>
      <c r="H1104" s="91" t="s">
        <v>796</v>
      </c>
      <c r="I1104" s="125" t="s">
        <v>798</v>
      </c>
      <c r="J1104" s="129">
        <v>119</v>
      </c>
      <c r="K1104" s="120">
        <v>119.04</v>
      </c>
      <c r="L1104" s="130"/>
      <c r="M1104" s="165">
        <v>2500000</v>
      </c>
      <c r="N1104" s="165"/>
      <c r="O1104" s="91"/>
      <c r="P1104" s="100" t="str">
        <f t="shared" si="81"/>
        <v>Uang Muka Biaya Pengiriman dan Perjalanan Dinas Marketing</v>
      </c>
      <c r="Q1104" s="91"/>
      <c r="S1104" s="112"/>
      <c r="T1104" s="112"/>
      <c r="X1104" s="102"/>
    </row>
    <row r="1105" spans="1:24" s="101" customFormat="1" hidden="1" x14ac:dyDescent="0.25">
      <c r="A1105" s="60" t="str">
        <f t="shared" si="79"/>
        <v>38220,03</v>
      </c>
      <c r="B1105" s="60">
        <f>COUNTIF($J$7:J1105,J1105)</f>
        <v>38</v>
      </c>
      <c r="C1105" s="60" t="str">
        <f t="shared" si="80"/>
        <v>0</v>
      </c>
      <c r="D1105" s="60">
        <f>COUNTIF($K$7:K1105,K1105)</f>
        <v>0</v>
      </c>
      <c r="E1105" s="91"/>
      <c r="F1105" s="184">
        <v>44587</v>
      </c>
      <c r="G1105" s="116" t="s">
        <v>149</v>
      </c>
      <c r="H1105" s="91" t="s">
        <v>796</v>
      </c>
      <c r="I1105" s="125" t="s">
        <v>799</v>
      </c>
      <c r="J1105" s="119">
        <v>220.03</v>
      </c>
      <c r="K1105" s="178"/>
      <c r="L1105" s="130"/>
      <c r="M1105" s="165">
        <v>9200</v>
      </c>
      <c r="N1105" s="165"/>
      <c r="O1105" s="91"/>
      <c r="P1105" s="100" t="str">
        <f t="shared" si="81"/>
        <v>Hutang BIaya</v>
      </c>
      <c r="Q1105" s="91"/>
      <c r="S1105" s="112"/>
      <c r="T1105" s="112"/>
      <c r="X1105" s="102"/>
    </row>
    <row r="1106" spans="1:24" s="101" customFormat="1" hidden="1" x14ac:dyDescent="0.25">
      <c r="A1106" s="60" t="str">
        <f t="shared" si="79"/>
        <v>119211,01</v>
      </c>
      <c r="B1106" s="60">
        <f>COUNTIF($J$7:J1106,J1106)</f>
        <v>119</v>
      </c>
      <c r="C1106" s="60" t="str">
        <f t="shared" si="80"/>
        <v>0</v>
      </c>
      <c r="D1106" s="60">
        <f>COUNTIF($K$7:K1106,K1106)</f>
        <v>0</v>
      </c>
      <c r="E1106" s="91"/>
      <c r="F1106" s="184">
        <v>44592</v>
      </c>
      <c r="G1106" s="116"/>
      <c r="H1106" s="91" t="s">
        <v>800</v>
      </c>
      <c r="I1106" s="125" t="s">
        <v>801</v>
      </c>
      <c r="J1106" s="117">
        <v>211.01</v>
      </c>
      <c r="K1106" s="178"/>
      <c r="L1106" s="130">
        <f>M1107</f>
        <v>97599390</v>
      </c>
      <c r="M1106" s="165"/>
      <c r="N1106" s="165"/>
      <c r="O1106" s="91"/>
      <c r="P1106" s="100" t="str">
        <f t="shared" si="81"/>
        <v>Hutang Pajak PPN</v>
      </c>
      <c r="Q1106" s="91"/>
      <c r="S1106" s="112"/>
      <c r="T1106" s="112"/>
      <c r="X1106" s="102"/>
    </row>
    <row r="1107" spans="1:24" s="101" customFormat="1" hidden="1" x14ac:dyDescent="0.25">
      <c r="A1107" s="60" t="str">
        <f t="shared" si="79"/>
        <v>12117,01</v>
      </c>
      <c r="B1107" s="60">
        <f>COUNTIF($J$7:J1107,J1107)</f>
        <v>12</v>
      </c>
      <c r="C1107" s="60" t="str">
        <f t="shared" si="80"/>
        <v>0</v>
      </c>
      <c r="D1107" s="60">
        <f>COUNTIF($K$7:K1107,K1107)</f>
        <v>0</v>
      </c>
      <c r="E1107" s="91"/>
      <c r="F1107" s="184">
        <v>44592</v>
      </c>
      <c r="G1107" s="116"/>
      <c r="H1107" s="91" t="s">
        <v>800</v>
      </c>
      <c r="I1107" s="125" t="s">
        <v>801</v>
      </c>
      <c r="J1107" s="117">
        <v>117.01</v>
      </c>
      <c r="K1107" s="178"/>
      <c r="L1107" s="130"/>
      <c r="M1107" s="165">
        <f>L383+L867+L392+L869+L354+L348</f>
        <v>97599390</v>
      </c>
      <c r="N1107" s="165"/>
      <c r="O1107" s="91" t="s">
        <v>802</v>
      </c>
      <c r="P1107" s="100" t="str">
        <f t="shared" si="81"/>
        <v>Pajak Dibayar Di Muka - PPN Masukan</v>
      </c>
      <c r="Q1107" s="91"/>
      <c r="S1107" s="112"/>
      <c r="T1107" s="112"/>
      <c r="X1107" s="102"/>
    </row>
    <row r="1108" spans="1:24" hidden="1" x14ac:dyDescent="0.25">
      <c r="A1108" s="60" t="str">
        <f t="shared" si="79"/>
        <v>1510,01</v>
      </c>
      <c r="B1108" s="60">
        <f>COUNTIF($J$7:J1108,J1108)</f>
        <v>1</v>
      </c>
      <c r="C1108" s="60" t="str">
        <f t="shared" si="80"/>
        <v>0</v>
      </c>
      <c r="D1108" s="60">
        <f>COUNTIF($K$7:K1108,K1108)</f>
        <v>0</v>
      </c>
      <c r="E1108" s="61"/>
      <c r="F1108" s="220">
        <v>44592</v>
      </c>
      <c r="G1108" s="72"/>
      <c r="H1108" s="61" t="s">
        <v>800</v>
      </c>
      <c r="I1108" s="63" t="s">
        <v>803</v>
      </c>
      <c r="J1108" s="221">
        <v>510.01</v>
      </c>
      <c r="K1108" s="65"/>
      <c r="L1108" s="222">
        <f>'[2]Jan''22'!$AF$58</f>
        <v>392611806.03779972</v>
      </c>
      <c r="M1108" s="223"/>
      <c r="N1108" s="223"/>
      <c r="O1108" s="61"/>
      <c r="P1108" s="69" t="str">
        <f t="shared" si="81"/>
        <v>Harga Pokok Penjualan Intouch</v>
      </c>
      <c r="Q1108" s="61"/>
    </row>
    <row r="1109" spans="1:24" hidden="1" x14ac:dyDescent="0.25">
      <c r="A1109" s="60" t="str">
        <f t="shared" si="79"/>
        <v>2116,01</v>
      </c>
      <c r="B1109" s="60">
        <f>COUNTIF($J$7:J1109,J1109)</f>
        <v>2</v>
      </c>
      <c r="C1109" s="60" t="str">
        <f t="shared" si="80"/>
        <v>0</v>
      </c>
      <c r="D1109" s="60">
        <f>COUNTIF($K$7:K1109,K1109)</f>
        <v>0</v>
      </c>
      <c r="E1109" s="61"/>
      <c r="F1109" s="220">
        <v>44592</v>
      </c>
      <c r="G1109" s="72"/>
      <c r="H1109" s="61" t="s">
        <v>800</v>
      </c>
      <c r="I1109" s="63" t="s">
        <v>803</v>
      </c>
      <c r="J1109" s="67">
        <v>116.01</v>
      </c>
      <c r="K1109" s="65"/>
      <c r="L1109" s="222"/>
      <c r="M1109" s="223">
        <f>L1108</f>
        <v>392611806.03779972</v>
      </c>
      <c r="N1109" s="223"/>
      <c r="O1109" s="61"/>
      <c r="P1109" s="69" t="str">
        <f t="shared" si="81"/>
        <v>Persediaan Intouch</v>
      </c>
      <c r="Q1109" s="61"/>
    </row>
    <row r="1110" spans="1:24" hidden="1" x14ac:dyDescent="0.25">
      <c r="A1110" s="60" t="str">
        <f t="shared" si="79"/>
        <v>1510,03</v>
      </c>
      <c r="B1110" s="60">
        <f>COUNTIF($J$7:J1110,J1110)</f>
        <v>1</v>
      </c>
      <c r="C1110" s="60" t="str">
        <f t="shared" si="80"/>
        <v>0</v>
      </c>
      <c r="D1110" s="60">
        <f>COUNTIF($K$7:K1110,K1110)</f>
        <v>0</v>
      </c>
      <c r="E1110" s="61"/>
      <c r="F1110" s="220">
        <v>44592</v>
      </c>
      <c r="G1110" s="72"/>
      <c r="H1110" s="61" t="s">
        <v>800</v>
      </c>
      <c r="I1110" s="63" t="s">
        <v>804</v>
      </c>
      <c r="J1110" s="221">
        <v>510.03</v>
      </c>
      <c r="K1110" s="65"/>
      <c r="L1110" s="222">
        <f>'[2]Jan''22'!$AF$80</f>
        <v>341184004.83101398</v>
      </c>
      <c r="M1110" s="223"/>
      <c r="N1110" s="223"/>
      <c r="O1110" s="61"/>
      <c r="P1110" s="69" t="str">
        <f t="shared" si="81"/>
        <v>Harga Pokok Penjualan Exam</v>
      </c>
      <c r="Q1110" s="61"/>
    </row>
    <row r="1111" spans="1:24" hidden="1" x14ac:dyDescent="0.25">
      <c r="A1111" s="60" t="str">
        <f t="shared" si="79"/>
        <v>2116,02</v>
      </c>
      <c r="B1111" s="60">
        <f>COUNTIF($J$7:J1111,J1111)</f>
        <v>2</v>
      </c>
      <c r="C1111" s="60" t="str">
        <f t="shared" si="80"/>
        <v>0</v>
      </c>
      <c r="D1111" s="60">
        <f>COUNTIF($K$7:K1111,K1111)</f>
        <v>0</v>
      </c>
      <c r="E1111" s="61"/>
      <c r="F1111" s="220">
        <v>44592</v>
      </c>
      <c r="G1111" s="72"/>
      <c r="H1111" s="61" t="s">
        <v>800</v>
      </c>
      <c r="I1111" s="63" t="s">
        <v>804</v>
      </c>
      <c r="J1111" s="67">
        <v>116.02</v>
      </c>
      <c r="K1111" s="65"/>
      <c r="L1111" s="222"/>
      <c r="M1111" s="223">
        <f>L1110</f>
        <v>341184004.83101398</v>
      </c>
      <c r="N1111" s="223"/>
      <c r="O1111" s="61"/>
      <c r="P1111" s="69" t="str">
        <f t="shared" si="81"/>
        <v>Persediaan Exam</v>
      </c>
      <c r="Q1111" s="61"/>
    </row>
    <row r="1112" spans="1:24" hidden="1" x14ac:dyDescent="0.25">
      <c r="A1112" s="60" t="str">
        <f t="shared" si="79"/>
        <v>1510,02</v>
      </c>
      <c r="B1112" s="60">
        <f>COUNTIF($J$7:J1112,J1112)</f>
        <v>1</v>
      </c>
      <c r="C1112" s="60" t="str">
        <f t="shared" si="80"/>
        <v>0</v>
      </c>
      <c r="D1112" s="60">
        <f>COUNTIF($K$7:K1112,K1112)</f>
        <v>0</v>
      </c>
      <c r="E1112" s="61"/>
      <c r="F1112" s="220">
        <v>44592</v>
      </c>
      <c r="G1112" s="72"/>
      <c r="H1112" s="61" t="s">
        <v>800</v>
      </c>
      <c r="I1112" s="63" t="s">
        <v>805</v>
      </c>
      <c r="J1112" s="221">
        <v>510.02</v>
      </c>
      <c r="K1112" s="65"/>
      <c r="L1112" s="222">
        <f>'[2]Jan''22'!$AF$93</f>
        <v>6032756.5029142378</v>
      </c>
      <c r="M1112" s="223"/>
      <c r="N1112" s="223"/>
      <c r="O1112" s="61"/>
      <c r="P1112" s="69" t="str">
        <f t="shared" si="81"/>
        <v>Harga Pokok Penjualan  Condom</v>
      </c>
      <c r="Q1112" s="61"/>
    </row>
    <row r="1113" spans="1:24" hidden="1" x14ac:dyDescent="0.25">
      <c r="A1113" s="60" t="str">
        <f t="shared" si="79"/>
        <v>1116,03</v>
      </c>
      <c r="B1113" s="60">
        <f>COUNTIF($J$7:J1113,J1113)</f>
        <v>1</v>
      </c>
      <c r="C1113" s="60" t="str">
        <f t="shared" si="80"/>
        <v>0</v>
      </c>
      <c r="D1113" s="60">
        <f>COUNTIF($K$7:K1113,K1113)</f>
        <v>0</v>
      </c>
      <c r="E1113" s="61"/>
      <c r="F1113" s="220">
        <v>44592</v>
      </c>
      <c r="G1113" s="72"/>
      <c r="H1113" s="61" t="s">
        <v>800</v>
      </c>
      <c r="I1113" s="63" t="s">
        <v>805</v>
      </c>
      <c r="J1113" s="67">
        <v>116.03</v>
      </c>
      <c r="K1113" s="65"/>
      <c r="L1113" s="224"/>
      <c r="M1113" s="223">
        <f>L1112</f>
        <v>6032756.5029142378</v>
      </c>
      <c r="N1113" s="223"/>
      <c r="O1113" s="61"/>
      <c r="P1113" s="69" t="str">
        <f t="shared" si="81"/>
        <v>Persediaan Condom</v>
      </c>
      <c r="Q1113" s="61"/>
    </row>
    <row r="1114" spans="1:24" hidden="1" x14ac:dyDescent="0.25">
      <c r="A1114" s="60" t="str">
        <f t="shared" si="79"/>
        <v>3116,01</v>
      </c>
      <c r="B1114" s="60">
        <f>COUNTIF($J$7:J1114,J1114)</f>
        <v>3</v>
      </c>
      <c r="C1114" s="60" t="str">
        <f t="shared" si="80"/>
        <v>0</v>
      </c>
      <c r="D1114" s="60">
        <f>COUNTIF($K$7:K1114,K1114)</f>
        <v>0</v>
      </c>
      <c r="E1114" s="61"/>
      <c r="F1114" s="220">
        <v>44592</v>
      </c>
      <c r="G1114" s="72"/>
      <c r="H1114" s="61" t="s">
        <v>800</v>
      </c>
      <c r="I1114" s="63" t="s">
        <v>806</v>
      </c>
      <c r="J1114" s="67">
        <v>116.01</v>
      </c>
      <c r="K1114" s="65"/>
      <c r="L1114" s="222">
        <v>5131411.03185366</v>
      </c>
      <c r="M1114" s="223"/>
      <c r="N1114" s="223"/>
      <c r="O1114" s="61"/>
      <c r="P1114" s="69" t="str">
        <f t="shared" si="81"/>
        <v>Persediaan Intouch</v>
      </c>
      <c r="Q1114" s="61"/>
    </row>
    <row r="1115" spans="1:24" hidden="1" x14ac:dyDescent="0.25">
      <c r="A1115" s="60" t="str">
        <f t="shared" si="79"/>
        <v>1310,05</v>
      </c>
      <c r="B1115" s="60">
        <f>COUNTIF($J$7:J1115,J1115)</f>
        <v>1</v>
      </c>
      <c r="C1115" s="60" t="str">
        <f t="shared" si="80"/>
        <v>0</v>
      </c>
      <c r="D1115" s="60">
        <f>COUNTIF($K$7:K1115,K1115)</f>
        <v>0</v>
      </c>
      <c r="E1115" s="61"/>
      <c r="F1115" s="220">
        <v>44592</v>
      </c>
      <c r="G1115" s="72"/>
      <c r="H1115" s="61" t="s">
        <v>800</v>
      </c>
      <c r="I1115" s="63" t="s">
        <v>806</v>
      </c>
      <c r="J1115" s="67">
        <v>310.05</v>
      </c>
      <c r="K1115" s="65"/>
      <c r="L1115" s="224"/>
      <c r="M1115" s="223">
        <f>L1114</f>
        <v>5131411.03185366</v>
      </c>
      <c r="N1115" s="223"/>
      <c r="O1115" s="61"/>
      <c r="P1115" s="69" t="str">
        <f t="shared" si="81"/>
        <v>Ikhtisar Laba Rugi</v>
      </c>
      <c r="Q1115" s="61"/>
    </row>
    <row r="1116" spans="1:24" hidden="1" x14ac:dyDescent="0.25">
      <c r="A1116" s="60" t="str">
        <f t="shared" si="79"/>
        <v>4116,01</v>
      </c>
      <c r="B1116" s="60">
        <f>COUNTIF($J$7:J1116,J1116)</f>
        <v>4</v>
      </c>
      <c r="C1116" s="60" t="str">
        <f t="shared" si="80"/>
        <v>0</v>
      </c>
      <c r="D1116" s="60">
        <f>COUNTIF($K$7:K1116,K1116)</f>
        <v>0</v>
      </c>
      <c r="E1116" s="61"/>
      <c r="F1116" s="220">
        <v>44592</v>
      </c>
      <c r="G1116" s="72"/>
      <c r="H1116" s="61" t="s">
        <v>800</v>
      </c>
      <c r="I1116" s="63" t="s">
        <v>807</v>
      </c>
      <c r="J1116" s="67">
        <v>116.01</v>
      </c>
      <c r="K1116" s="65"/>
      <c r="L1116" s="222">
        <f>-'[2]Jan''22'!$BJ$58</f>
        <v>12797926.556933818</v>
      </c>
      <c r="M1116" s="223"/>
      <c r="N1116" s="223"/>
      <c r="O1116" s="61"/>
      <c r="P1116" s="69" t="str">
        <f t="shared" si="81"/>
        <v>Persediaan Intouch</v>
      </c>
      <c r="Q1116" s="61"/>
    </row>
    <row r="1117" spans="1:24" hidden="1" x14ac:dyDescent="0.25">
      <c r="A1117" s="60" t="str">
        <f t="shared" si="79"/>
        <v>2310,05</v>
      </c>
      <c r="B1117" s="60">
        <f>COUNTIF($J$7:J1117,J1117)</f>
        <v>2</v>
      </c>
      <c r="C1117" s="60" t="str">
        <f t="shared" si="80"/>
        <v>0</v>
      </c>
      <c r="D1117" s="60">
        <f>COUNTIF($K$7:K1117,K1117)</f>
        <v>0</v>
      </c>
      <c r="E1117" s="61"/>
      <c r="F1117" s="220">
        <v>44592</v>
      </c>
      <c r="G1117" s="72"/>
      <c r="H1117" s="61" t="s">
        <v>800</v>
      </c>
      <c r="I1117" s="63" t="s">
        <v>807</v>
      </c>
      <c r="J1117" s="67">
        <v>310.05</v>
      </c>
      <c r="K1117" s="65"/>
      <c r="L1117" s="224"/>
      <c r="M1117" s="223">
        <f>L1116</f>
        <v>12797926.556933818</v>
      </c>
      <c r="N1117" s="223"/>
      <c r="O1117" s="61"/>
      <c r="P1117" s="69" t="str">
        <f t="shared" si="81"/>
        <v>Ikhtisar Laba Rugi</v>
      </c>
      <c r="Q1117" s="61"/>
    </row>
    <row r="1118" spans="1:24" hidden="1" x14ac:dyDescent="0.25">
      <c r="A1118" s="60" t="str">
        <f t="shared" si="79"/>
        <v>3310,05</v>
      </c>
      <c r="B1118" s="60">
        <f>COUNTIF($J$7:J1118,J1118)</f>
        <v>3</v>
      </c>
      <c r="C1118" s="60" t="str">
        <f t="shared" si="80"/>
        <v>0</v>
      </c>
      <c r="D1118" s="60">
        <f>COUNTIF($K$7:K1118,K1118)</f>
        <v>0</v>
      </c>
      <c r="E1118" s="61"/>
      <c r="F1118" s="220">
        <v>44592</v>
      </c>
      <c r="G1118" s="72"/>
      <c r="H1118" s="61" t="s">
        <v>800</v>
      </c>
      <c r="I1118" s="63" t="s">
        <v>808</v>
      </c>
      <c r="J1118" s="67">
        <v>310.05</v>
      </c>
      <c r="K1118" s="65"/>
      <c r="L1118" s="224">
        <f>'[2]Jan''22'!$BJ$80</f>
        <v>3018139.2275296501</v>
      </c>
      <c r="M1118" s="223"/>
      <c r="N1118" s="223"/>
      <c r="O1118" s="61"/>
      <c r="P1118" s="69" t="str">
        <f t="shared" si="81"/>
        <v>Ikhtisar Laba Rugi</v>
      </c>
      <c r="Q1118" s="61"/>
    </row>
    <row r="1119" spans="1:24" hidden="1" x14ac:dyDescent="0.25">
      <c r="A1119" s="60" t="str">
        <f t="shared" si="79"/>
        <v>3116,02</v>
      </c>
      <c r="B1119" s="60">
        <f>COUNTIF($J$7:J1119,J1119)</f>
        <v>3</v>
      </c>
      <c r="C1119" s="60" t="str">
        <f t="shared" si="80"/>
        <v>0</v>
      </c>
      <c r="D1119" s="60">
        <f>COUNTIF($K$7:K1119,K1119)</f>
        <v>0</v>
      </c>
      <c r="E1119" s="61"/>
      <c r="F1119" s="220">
        <v>44592</v>
      </c>
      <c r="G1119" s="72"/>
      <c r="H1119" s="61" t="s">
        <v>800</v>
      </c>
      <c r="I1119" s="63" t="s">
        <v>808</v>
      </c>
      <c r="J1119" s="67">
        <v>116.02</v>
      </c>
      <c r="K1119" s="65"/>
      <c r="L1119" s="224"/>
      <c r="M1119" s="223">
        <f>L1118</f>
        <v>3018139.2275296501</v>
      </c>
      <c r="N1119" s="223"/>
      <c r="O1119" s="61"/>
      <c r="P1119" s="69" t="str">
        <f t="shared" si="81"/>
        <v>Persediaan Exam</v>
      </c>
      <c r="Q1119" s="61"/>
    </row>
    <row r="1120" spans="1:24" s="101" customFormat="1" hidden="1" x14ac:dyDescent="0.25">
      <c r="A1120" s="60" t="str">
        <f t="shared" si="79"/>
        <v>1610,27</v>
      </c>
      <c r="B1120" s="60">
        <f>COUNTIF($J$7:J1120,J1120)</f>
        <v>1</v>
      </c>
      <c r="C1120" s="60" t="str">
        <f t="shared" si="80"/>
        <v>0</v>
      </c>
      <c r="D1120" s="60">
        <f>COUNTIF($K$7:K1120,K1120)</f>
        <v>0</v>
      </c>
      <c r="E1120" s="91"/>
      <c r="F1120" s="184">
        <v>44592</v>
      </c>
      <c r="G1120" s="116"/>
      <c r="H1120" s="91" t="s">
        <v>800</v>
      </c>
      <c r="I1120" s="91" t="s">
        <v>809</v>
      </c>
      <c r="J1120" s="123">
        <v>610.27</v>
      </c>
      <c r="K1120" s="178"/>
      <c r="L1120" s="130">
        <f>[1]DAFSET!BN109</f>
        <v>5143017.520833334</v>
      </c>
      <c r="M1120" s="165"/>
      <c r="N1120" s="165"/>
      <c r="O1120" s="91"/>
      <c r="P1120" s="100" t="str">
        <f t="shared" si="81"/>
        <v>Biaya Penyusutan Kendaraan</v>
      </c>
      <c r="Q1120" s="91"/>
      <c r="S1120" s="112"/>
      <c r="T1120" s="112"/>
      <c r="X1120" s="102"/>
    </row>
    <row r="1121" spans="1:24" s="101" customFormat="1" hidden="1" x14ac:dyDescent="0.25">
      <c r="A1121" s="60" t="str">
        <f t="shared" si="79"/>
        <v>1122,04</v>
      </c>
      <c r="B1121" s="60">
        <f>COUNTIF($J$7:J1121,J1121)</f>
        <v>1</v>
      </c>
      <c r="C1121" s="60" t="str">
        <f t="shared" si="80"/>
        <v>0</v>
      </c>
      <c r="D1121" s="60">
        <f>COUNTIF($K$7:K1121,K1121)</f>
        <v>0</v>
      </c>
      <c r="E1121" s="91"/>
      <c r="F1121" s="184">
        <v>44592</v>
      </c>
      <c r="G1121" s="116"/>
      <c r="H1121" s="91" t="s">
        <v>800</v>
      </c>
      <c r="I1121" s="91" t="s">
        <v>809</v>
      </c>
      <c r="J1121" s="117">
        <v>122.04</v>
      </c>
      <c r="K1121" s="178"/>
      <c r="L1121" s="130"/>
      <c r="M1121" s="165">
        <f>L1120</f>
        <v>5143017.520833334</v>
      </c>
      <c r="N1121" s="165"/>
      <c r="O1121" s="91"/>
      <c r="P1121" s="100" t="str">
        <f t="shared" si="81"/>
        <v>Akumulasi Peny Kendaraan</v>
      </c>
      <c r="Q1121" s="91"/>
      <c r="S1121" s="112"/>
      <c r="T1121" s="112"/>
      <c r="X1121" s="102"/>
    </row>
    <row r="1122" spans="1:24" s="101" customFormat="1" hidden="1" x14ac:dyDescent="0.25">
      <c r="A1122" s="60" t="str">
        <f t="shared" si="79"/>
        <v>1610,28</v>
      </c>
      <c r="B1122" s="60">
        <f>COUNTIF($J$7:J1122,J1122)</f>
        <v>1</v>
      </c>
      <c r="C1122" s="60" t="str">
        <f t="shared" si="80"/>
        <v>0</v>
      </c>
      <c r="D1122" s="60">
        <f>COUNTIF($K$7:K1122,K1122)</f>
        <v>0</v>
      </c>
      <c r="E1122" s="91"/>
      <c r="F1122" s="184">
        <v>44592</v>
      </c>
      <c r="G1122" s="116"/>
      <c r="H1122" s="91" t="s">
        <v>800</v>
      </c>
      <c r="I1122" s="91" t="s">
        <v>810</v>
      </c>
      <c r="J1122" s="117">
        <f>[1]Akun!A135</f>
        <v>610.28</v>
      </c>
      <c r="K1122" s="178"/>
      <c r="L1122" s="130">
        <f>[1]DAFSET!BN102</f>
        <v>6327194.5833333349</v>
      </c>
      <c r="M1122" s="165"/>
      <c r="N1122" s="165"/>
      <c r="O1122" s="91"/>
      <c r="P1122" s="100" t="str">
        <f t="shared" si="81"/>
        <v>Biaya Penyusutan Inventaris Kantor</v>
      </c>
      <c r="Q1122" s="91"/>
      <c r="S1122" s="112"/>
      <c r="T1122" s="112"/>
      <c r="X1122" s="102"/>
    </row>
    <row r="1123" spans="1:24" s="101" customFormat="1" hidden="1" x14ac:dyDescent="0.25">
      <c r="A1123" s="60" t="str">
        <f t="shared" si="79"/>
        <v>1122,05</v>
      </c>
      <c r="B1123" s="60">
        <f>COUNTIF($J$7:J1123,J1123)</f>
        <v>1</v>
      </c>
      <c r="C1123" s="60" t="str">
        <f t="shared" si="80"/>
        <v>0</v>
      </c>
      <c r="D1123" s="60">
        <f>COUNTIF($K$7:K1123,K1123)</f>
        <v>0</v>
      </c>
      <c r="E1123" s="91"/>
      <c r="F1123" s="184">
        <v>44592</v>
      </c>
      <c r="G1123" s="116"/>
      <c r="H1123" s="91" t="s">
        <v>800</v>
      </c>
      <c r="I1123" s="91" t="s">
        <v>810</v>
      </c>
      <c r="J1123" s="117">
        <f>[1]Akun!A51</f>
        <v>122.05</v>
      </c>
      <c r="K1123" s="178"/>
      <c r="L1123" s="130"/>
      <c r="M1123" s="165">
        <f>L1122</f>
        <v>6327194.5833333349</v>
      </c>
      <c r="N1123" s="165"/>
      <c r="O1123" s="91"/>
      <c r="P1123" s="100" t="str">
        <f t="shared" si="81"/>
        <v>Akumulasi Peny Inventaris Kantor</v>
      </c>
      <c r="Q1123" s="91"/>
      <c r="S1123" s="112"/>
      <c r="T1123" s="112"/>
      <c r="X1123" s="102"/>
    </row>
    <row r="1124" spans="1:24" s="101" customFormat="1" hidden="1" x14ac:dyDescent="0.25">
      <c r="A1124" s="60" t="str">
        <f t="shared" si="79"/>
        <v>1610,11</v>
      </c>
      <c r="B1124" s="60">
        <f>COUNTIF($J$7:J1124,J1124)</f>
        <v>1</v>
      </c>
      <c r="C1124" s="60" t="str">
        <f t="shared" si="80"/>
        <v>0</v>
      </c>
      <c r="D1124" s="60">
        <f>COUNTIF($K$7:K1124,K1124)</f>
        <v>0</v>
      </c>
      <c r="E1124" s="91"/>
      <c r="F1124" s="184">
        <v>44592</v>
      </c>
      <c r="G1124" s="116"/>
      <c r="H1124" s="91" t="s">
        <v>800</v>
      </c>
      <c r="I1124" s="125" t="s">
        <v>811</v>
      </c>
      <c r="J1124" s="123">
        <v>610.11</v>
      </c>
      <c r="K1124" s="178"/>
      <c r="L1124" s="130">
        <f>'[1]Sewa &amp; Asuransi'!CA30</f>
        <v>24444444.458333332</v>
      </c>
      <c r="M1124" s="165"/>
      <c r="N1124" s="165"/>
      <c r="O1124" s="91"/>
      <c r="P1124" s="100" t="str">
        <f t="shared" si="81"/>
        <v xml:space="preserve">Biaya Sewa Gedung </v>
      </c>
      <c r="Q1124" s="91"/>
      <c r="S1124" s="112"/>
      <c r="T1124" s="112"/>
      <c r="X1124" s="102"/>
    </row>
    <row r="1125" spans="1:24" s="101" customFormat="1" ht="12" hidden="1" customHeight="1" x14ac:dyDescent="0.25">
      <c r="A1125" s="60" t="str">
        <f t="shared" si="79"/>
        <v>1118,01</v>
      </c>
      <c r="B1125" s="60">
        <f>COUNTIF($J$7:J1125,J1125)</f>
        <v>1</v>
      </c>
      <c r="C1125" s="60" t="str">
        <f t="shared" si="80"/>
        <v>0</v>
      </c>
      <c r="D1125" s="60">
        <f>COUNTIF($K$7:K1125,K1125)</f>
        <v>0</v>
      </c>
      <c r="E1125" s="91"/>
      <c r="F1125" s="184">
        <v>44592</v>
      </c>
      <c r="G1125" s="116"/>
      <c r="H1125" s="91" t="s">
        <v>800</v>
      </c>
      <c r="I1125" s="125" t="s">
        <v>812</v>
      </c>
      <c r="J1125" s="117">
        <v>118.01</v>
      </c>
      <c r="K1125" s="178"/>
      <c r="L1125" s="130"/>
      <c r="M1125" s="165">
        <f>L1124</f>
        <v>24444444.458333332</v>
      </c>
      <c r="N1125" s="165"/>
      <c r="O1125" s="91"/>
      <c r="P1125" s="100" t="str">
        <f t="shared" si="81"/>
        <v>Sewa Dibayar Dimuka</v>
      </c>
      <c r="Q1125" s="91"/>
      <c r="S1125" s="112"/>
      <c r="T1125" s="112"/>
      <c r="X1125" s="102"/>
    </row>
    <row r="1126" spans="1:24" s="101" customFormat="1" ht="13.15" hidden="1" customHeight="1" x14ac:dyDescent="0.25">
      <c r="A1126" s="60" t="str">
        <f t="shared" si="79"/>
        <v>1610,19</v>
      </c>
      <c r="B1126" s="60">
        <f>COUNTIF($J$7:J1126,J1126)</f>
        <v>1</v>
      </c>
      <c r="C1126" s="60" t="str">
        <f t="shared" si="80"/>
        <v>0</v>
      </c>
      <c r="D1126" s="60">
        <f>COUNTIF($K$7:K1126,K1126)</f>
        <v>0</v>
      </c>
      <c r="E1126" s="91"/>
      <c r="F1126" s="184">
        <v>44592</v>
      </c>
      <c r="G1126" s="116"/>
      <c r="H1126" s="91" t="s">
        <v>800</v>
      </c>
      <c r="I1126" s="91" t="s">
        <v>813</v>
      </c>
      <c r="J1126" s="123">
        <v>610.19000000000005</v>
      </c>
      <c r="K1126" s="178"/>
      <c r="L1126" s="130">
        <f>'[1]Sewa &amp; Asuransi'!C94</f>
        <v>393005.55555555556</v>
      </c>
      <c r="M1126" s="165"/>
      <c r="N1126" s="165"/>
      <c r="O1126" s="91"/>
      <c r="P1126" s="100" t="str">
        <f t="shared" si="81"/>
        <v>Biaya Asuransi</v>
      </c>
      <c r="Q1126" s="91"/>
      <c r="S1126" s="112"/>
      <c r="T1126" s="112"/>
      <c r="X1126" s="102"/>
    </row>
    <row r="1127" spans="1:24" s="101" customFormat="1" hidden="1" x14ac:dyDescent="0.25">
      <c r="A1127" s="60" t="str">
        <f t="shared" si="79"/>
        <v>1118,02</v>
      </c>
      <c r="B1127" s="60">
        <f>COUNTIF($J$7:J1127,J1127)</f>
        <v>1</v>
      </c>
      <c r="C1127" s="60" t="str">
        <f t="shared" si="80"/>
        <v>0</v>
      </c>
      <c r="D1127" s="60">
        <f>COUNTIF($K$7:K1127,K1127)</f>
        <v>0</v>
      </c>
      <c r="E1127" s="91"/>
      <c r="F1127" s="184">
        <v>44592</v>
      </c>
      <c r="G1127" s="116"/>
      <c r="H1127" s="91" t="s">
        <v>800</v>
      </c>
      <c r="I1127" s="91" t="s">
        <v>813</v>
      </c>
      <c r="J1127" s="117">
        <v>118.02</v>
      </c>
      <c r="K1127" s="178"/>
      <c r="L1127" s="130"/>
      <c r="M1127" s="165">
        <f>L1126</f>
        <v>393005.55555555556</v>
      </c>
      <c r="N1127" s="165"/>
      <c r="O1127" s="91"/>
      <c r="P1127" s="100" t="str">
        <f t="shared" si="81"/>
        <v>Asuransi Dibayar Dimuka</v>
      </c>
      <c r="Q1127" s="91"/>
      <c r="S1127" s="112"/>
      <c r="T1127" s="112"/>
      <c r="X1127" s="102"/>
    </row>
    <row r="1128" spans="1:24" s="101" customFormat="1" hidden="1" x14ac:dyDescent="0.25">
      <c r="A1128" s="60" t="str">
        <f t="shared" si="79"/>
        <v>5116,01</v>
      </c>
      <c r="B1128" s="60">
        <f>COUNTIF($J$7:J1128,J1128)</f>
        <v>5</v>
      </c>
      <c r="C1128" s="60" t="str">
        <f t="shared" si="80"/>
        <v>0</v>
      </c>
      <c r="D1128" s="60">
        <f>COUNTIF($K$7:K1128,K1128)</f>
        <v>0</v>
      </c>
      <c r="E1128" s="91"/>
      <c r="F1128" s="184">
        <v>44592</v>
      </c>
      <c r="G1128" s="116"/>
      <c r="H1128" s="91" t="s">
        <v>150</v>
      </c>
      <c r="I1128" s="126" t="s">
        <v>814</v>
      </c>
      <c r="J1128" s="117">
        <v>116.01</v>
      </c>
      <c r="K1128" s="108"/>
      <c r="L1128" s="130">
        <v>21450000</v>
      </c>
      <c r="M1128" s="117"/>
      <c r="N1128" s="117"/>
      <c r="O1128" s="225" t="s">
        <v>815</v>
      </c>
      <c r="P1128" s="100" t="str">
        <f t="shared" si="81"/>
        <v>Persediaan Intouch</v>
      </c>
      <c r="Q1128" s="91"/>
      <c r="S1128" s="112"/>
      <c r="T1128" s="112"/>
      <c r="X1128" s="102"/>
    </row>
    <row r="1129" spans="1:24" s="101" customFormat="1" hidden="1" x14ac:dyDescent="0.25">
      <c r="A1129" s="60" t="str">
        <f t="shared" si="79"/>
        <v>13117,01</v>
      </c>
      <c r="B1129" s="60">
        <f>COUNTIF($J$7:J1129,J1129)</f>
        <v>13</v>
      </c>
      <c r="C1129" s="60" t="str">
        <f t="shared" si="80"/>
        <v>0</v>
      </c>
      <c r="D1129" s="60">
        <f>COUNTIF($K$7:K1129,K1129)</f>
        <v>0</v>
      </c>
      <c r="E1129" s="91"/>
      <c r="F1129" s="184">
        <v>44592</v>
      </c>
      <c r="G1129" s="116"/>
      <c r="H1129" s="91" t="s">
        <v>150</v>
      </c>
      <c r="I1129" s="126" t="s">
        <v>814</v>
      </c>
      <c r="J1129" s="117">
        <v>117.01</v>
      </c>
      <c r="K1129" s="108"/>
      <c r="L1129" s="130">
        <v>2145000</v>
      </c>
      <c r="M1129" s="117"/>
      <c r="N1129" s="117"/>
      <c r="O1129" s="91" t="s">
        <v>816</v>
      </c>
      <c r="P1129" s="100" t="str">
        <f t="shared" si="81"/>
        <v>Pajak Dibayar Di Muka - PPN Masukan</v>
      </c>
      <c r="Q1129" s="91"/>
      <c r="S1129" s="112"/>
      <c r="T1129" s="112"/>
      <c r="X1129" s="102"/>
    </row>
    <row r="1130" spans="1:24" s="101" customFormat="1" hidden="1" x14ac:dyDescent="0.25">
      <c r="A1130" s="60" t="str">
        <f t="shared" si="79"/>
        <v>6210,01</v>
      </c>
      <c r="B1130" s="60">
        <f>COUNTIF($J$7:J1130,J1130)</f>
        <v>6</v>
      </c>
      <c r="C1130" s="60" t="str">
        <f t="shared" si="80"/>
        <v>0</v>
      </c>
      <c r="D1130" s="60">
        <f>COUNTIF($K$7:K1130,K1130)</f>
        <v>0</v>
      </c>
      <c r="E1130" s="91" t="s">
        <v>817</v>
      </c>
      <c r="F1130" s="184">
        <v>44592</v>
      </c>
      <c r="G1130" s="116"/>
      <c r="H1130" s="91" t="s">
        <v>150</v>
      </c>
      <c r="I1130" s="126" t="s">
        <v>814</v>
      </c>
      <c r="J1130" s="226">
        <v>210.01</v>
      </c>
      <c r="K1130" s="108"/>
      <c r="L1130" s="130"/>
      <c r="M1130" s="121">
        <f>L1128+L1129</f>
        <v>23595000</v>
      </c>
      <c r="N1130" s="121"/>
      <c r="O1130" s="91"/>
      <c r="P1130" s="100" t="str">
        <f t="shared" si="81"/>
        <v>Hutang Usaha</v>
      </c>
      <c r="Q1130" s="91"/>
      <c r="S1130" s="112"/>
      <c r="T1130" s="112"/>
      <c r="X1130" s="102"/>
    </row>
    <row r="1131" spans="1:24" hidden="1" x14ac:dyDescent="0.25">
      <c r="A1131" s="60" t="str">
        <f t="shared" si="79"/>
        <v>194112</v>
      </c>
      <c r="B1131" s="60">
        <f>COUNTIF($J$7:J1131,J1131)</f>
        <v>194</v>
      </c>
      <c r="C1131" s="60" t="str">
        <f t="shared" si="80"/>
        <v>9112,07</v>
      </c>
      <c r="D1131" s="60">
        <f>COUNTIF($K$7:K1131,K1131)</f>
        <v>9</v>
      </c>
      <c r="E1131" s="61"/>
      <c r="F1131" s="227">
        <v>44599</v>
      </c>
      <c r="G1131" s="72">
        <f t="shared" ref="G1131:G1133" si="82">F1131+1</f>
        <v>44600</v>
      </c>
      <c r="H1131" s="228" t="s">
        <v>818</v>
      </c>
      <c r="I1131" s="228" t="s">
        <v>99</v>
      </c>
      <c r="J1131" s="64">
        <v>112</v>
      </c>
      <c r="K1131" s="80">
        <v>112.07</v>
      </c>
      <c r="L1131" s="224">
        <f>M1374+M1617</f>
        <v>4262500</v>
      </c>
      <c r="M1131" s="223"/>
      <c r="N1131" s="223"/>
      <c r="O1131" s="61"/>
      <c r="P1131" s="69" t="str">
        <f t="shared" si="81"/>
        <v>Piutang Usaha</v>
      </c>
      <c r="Q1131" s="61"/>
    </row>
    <row r="1132" spans="1:24" hidden="1" x14ac:dyDescent="0.25">
      <c r="A1132" s="60" t="str">
        <f t="shared" si="79"/>
        <v>195112</v>
      </c>
      <c r="B1132" s="60">
        <f>COUNTIF($J$7:J1132,J1132)</f>
        <v>195</v>
      </c>
      <c r="C1132" s="60" t="str">
        <f t="shared" si="80"/>
        <v>10112,07</v>
      </c>
      <c r="D1132" s="60">
        <f>COUNTIF($K$7:K1132,K1132)</f>
        <v>10</v>
      </c>
      <c r="E1132" s="61"/>
      <c r="F1132" s="227">
        <v>44613</v>
      </c>
      <c r="G1132" s="72">
        <f t="shared" si="82"/>
        <v>44614</v>
      </c>
      <c r="H1132" s="228" t="s">
        <v>819</v>
      </c>
      <c r="I1132" s="228" t="s">
        <v>99</v>
      </c>
      <c r="J1132" s="64">
        <v>112</v>
      </c>
      <c r="K1132" s="80">
        <v>112.07</v>
      </c>
      <c r="L1132" s="224">
        <f t="shared" ref="L1132:L1195" si="83">M1375+M1618</f>
        <v>4262500</v>
      </c>
      <c r="M1132" s="223"/>
      <c r="N1132" s="223"/>
      <c r="O1132" s="61"/>
      <c r="P1132" s="69" t="str">
        <f t="shared" si="81"/>
        <v>Piutang Usaha</v>
      </c>
      <c r="Q1132" s="61"/>
    </row>
    <row r="1133" spans="1:24" hidden="1" x14ac:dyDescent="0.25">
      <c r="A1133" s="60" t="str">
        <f t="shared" si="79"/>
        <v>196112</v>
      </c>
      <c r="B1133" s="60">
        <f>COUNTIF($J$7:J1133,J1133)</f>
        <v>196</v>
      </c>
      <c r="C1133" s="60" t="str">
        <f t="shared" si="80"/>
        <v>11112,07</v>
      </c>
      <c r="D1133" s="60">
        <f>COUNTIF($K$7:K1133,K1133)</f>
        <v>11</v>
      </c>
      <c r="E1133" s="61"/>
      <c r="F1133" s="227">
        <v>44616</v>
      </c>
      <c r="G1133" s="72">
        <f t="shared" si="82"/>
        <v>44617</v>
      </c>
      <c r="H1133" s="228" t="s">
        <v>820</v>
      </c>
      <c r="I1133" s="228" t="s">
        <v>99</v>
      </c>
      <c r="J1133" s="64">
        <v>112</v>
      </c>
      <c r="K1133" s="80">
        <v>112.07</v>
      </c>
      <c r="L1133" s="224">
        <f t="shared" si="83"/>
        <v>4262500</v>
      </c>
      <c r="M1133" s="223"/>
      <c r="N1133" s="223"/>
      <c r="O1133" s="61"/>
      <c r="P1133" s="69" t="str">
        <f t="shared" si="81"/>
        <v>Piutang Usaha</v>
      </c>
      <c r="Q1133" s="61"/>
    </row>
    <row r="1134" spans="1:24" hidden="1" x14ac:dyDescent="0.25">
      <c r="A1134" s="60" t="str">
        <f t="shared" si="79"/>
        <v>197112</v>
      </c>
      <c r="B1134" s="60">
        <f>COUNTIF($J$7:J1134,J1134)</f>
        <v>197</v>
      </c>
      <c r="C1134" s="60" t="str">
        <f t="shared" si="80"/>
        <v>1112,08</v>
      </c>
      <c r="D1134" s="60">
        <f>COUNTIF($K$7:K1134,K1134)</f>
        <v>1</v>
      </c>
      <c r="E1134" s="61"/>
      <c r="F1134" s="227">
        <v>44616</v>
      </c>
      <c r="G1134" s="229">
        <f>F1134+30</f>
        <v>44646</v>
      </c>
      <c r="H1134" s="230" t="s">
        <v>821</v>
      </c>
      <c r="I1134" s="228" t="s">
        <v>822</v>
      </c>
      <c r="J1134" s="64">
        <v>112</v>
      </c>
      <c r="K1134" s="80">
        <v>112.08</v>
      </c>
      <c r="L1134" s="224">
        <f t="shared" si="83"/>
        <v>199999</v>
      </c>
      <c r="M1134" s="223"/>
      <c r="N1134" s="223"/>
      <c r="O1134" s="61"/>
      <c r="P1134" s="69" t="str">
        <f t="shared" si="81"/>
        <v>Piutang Usaha</v>
      </c>
      <c r="Q1134" s="61"/>
    </row>
    <row r="1135" spans="1:24" hidden="1" x14ac:dyDescent="0.25">
      <c r="A1135" s="60" t="str">
        <f t="shared" si="79"/>
        <v>198112</v>
      </c>
      <c r="B1135" s="60">
        <f>COUNTIF($J$7:J1135,J1135)</f>
        <v>198</v>
      </c>
      <c r="C1135" s="60" t="str">
        <f t="shared" si="80"/>
        <v>1112,7</v>
      </c>
      <c r="D1135" s="60">
        <f>COUNTIF($K$7:K1135,K1135)</f>
        <v>1</v>
      </c>
      <c r="E1135" s="61"/>
      <c r="F1135" s="227">
        <v>44616</v>
      </c>
      <c r="G1135" s="228" t="s">
        <v>13</v>
      </c>
      <c r="H1135" s="228" t="s">
        <v>823</v>
      </c>
      <c r="I1135" s="228" t="s">
        <v>824</v>
      </c>
      <c r="J1135" s="64">
        <v>112</v>
      </c>
      <c r="K1135" s="80">
        <v>112.7</v>
      </c>
      <c r="L1135" s="224">
        <f t="shared" si="83"/>
        <v>1045000</v>
      </c>
      <c r="M1135" s="223"/>
      <c r="N1135" s="223"/>
      <c r="O1135" s="61"/>
      <c r="P1135" s="69" t="str">
        <f t="shared" si="81"/>
        <v>Piutang Usaha</v>
      </c>
      <c r="Q1135" s="61"/>
    </row>
    <row r="1136" spans="1:24" hidden="1" x14ac:dyDescent="0.25">
      <c r="A1136" s="60" t="str">
        <f t="shared" si="79"/>
        <v>199112</v>
      </c>
      <c r="B1136" s="60">
        <f>COUNTIF($J$7:J1136,J1136)</f>
        <v>199</v>
      </c>
      <c r="C1136" s="60" t="str">
        <f t="shared" si="80"/>
        <v>4112,55</v>
      </c>
      <c r="D1136" s="60">
        <f>COUNTIF($K$7:K1136,K1136)</f>
        <v>4</v>
      </c>
      <c r="E1136" s="61"/>
      <c r="F1136" s="227">
        <v>44594</v>
      </c>
      <c r="G1136" s="72" t="s">
        <v>13</v>
      </c>
      <c r="H1136" s="228" t="s">
        <v>825</v>
      </c>
      <c r="I1136" s="228" t="s">
        <v>15</v>
      </c>
      <c r="J1136" s="64">
        <v>112</v>
      </c>
      <c r="K1136" s="80">
        <v>112.55</v>
      </c>
      <c r="L1136" s="224">
        <f t="shared" si="83"/>
        <v>18999999.699999999</v>
      </c>
      <c r="M1136" s="223"/>
      <c r="N1136" s="223"/>
      <c r="O1136" s="61"/>
      <c r="P1136" s="69" t="str">
        <f t="shared" si="81"/>
        <v>Piutang Usaha</v>
      </c>
      <c r="Q1136" s="61"/>
    </row>
    <row r="1137" spans="1:17" hidden="1" x14ac:dyDescent="0.25">
      <c r="A1137" s="60" t="str">
        <f t="shared" si="79"/>
        <v>200112</v>
      </c>
      <c r="B1137" s="60">
        <f>COUNTIF($J$7:J1137,J1137)</f>
        <v>200</v>
      </c>
      <c r="C1137" s="60" t="str">
        <f t="shared" si="80"/>
        <v>9112,35</v>
      </c>
      <c r="D1137" s="60">
        <f>COUNTIF($K$7:K1137,K1137)</f>
        <v>9</v>
      </c>
      <c r="E1137" s="61"/>
      <c r="F1137" s="227">
        <v>44599</v>
      </c>
      <c r="G1137" s="72" t="s">
        <v>13</v>
      </c>
      <c r="H1137" s="228" t="s">
        <v>826</v>
      </c>
      <c r="I1137" s="228" t="s">
        <v>44</v>
      </c>
      <c r="J1137" s="64">
        <v>112</v>
      </c>
      <c r="K1137" s="80">
        <v>112.35</v>
      </c>
      <c r="L1137" s="224">
        <f t="shared" si="83"/>
        <v>7679999.8181839995</v>
      </c>
      <c r="M1137" s="223"/>
      <c r="N1137" s="223"/>
      <c r="O1137" s="61"/>
      <c r="P1137" s="69" t="str">
        <f t="shared" si="81"/>
        <v>Piutang Usaha</v>
      </c>
      <c r="Q1137" s="61"/>
    </row>
    <row r="1138" spans="1:17" hidden="1" x14ac:dyDescent="0.25">
      <c r="A1138" s="60" t="str">
        <f t="shared" si="79"/>
        <v>201112</v>
      </c>
      <c r="B1138" s="60">
        <f>COUNTIF($J$7:J1138,J1138)</f>
        <v>201</v>
      </c>
      <c r="C1138" s="60" t="str">
        <f t="shared" si="80"/>
        <v>10112,35</v>
      </c>
      <c r="D1138" s="60">
        <f>COUNTIF($K$7:K1138,K1138)</f>
        <v>10</v>
      </c>
      <c r="E1138" s="61"/>
      <c r="F1138" s="227">
        <v>44599</v>
      </c>
      <c r="G1138" s="72" t="s">
        <v>13</v>
      </c>
      <c r="H1138" s="228" t="s">
        <v>826</v>
      </c>
      <c r="I1138" s="228" t="s">
        <v>44</v>
      </c>
      <c r="J1138" s="64">
        <v>112</v>
      </c>
      <c r="K1138" s="80">
        <v>112.35</v>
      </c>
      <c r="L1138" s="224">
        <f t="shared" si="83"/>
        <v>1919999.4545459999</v>
      </c>
      <c r="M1138" s="223"/>
      <c r="N1138" s="223"/>
      <c r="O1138" s="61"/>
      <c r="P1138" s="69" t="str">
        <f t="shared" si="81"/>
        <v>Piutang Usaha</v>
      </c>
      <c r="Q1138" s="61"/>
    </row>
    <row r="1139" spans="1:17" hidden="1" x14ac:dyDescent="0.25">
      <c r="A1139" s="60" t="str">
        <f t="shared" si="79"/>
        <v>202112</v>
      </c>
      <c r="B1139" s="60">
        <f>COUNTIF($J$7:J1139,J1139)</f>
        <v>202</v>
      </c>
      <c r="C1139" s="60" t="str">
        <f t="shared" si="80"/>
        <v>11112,35</v>
      </c>
      <c r="D1139" s="60">
        <f>COUNTIF($K$7:K1139,K1139)</f>
        <v>11</v>
      </c>
      <c r="E1139" s="61"/>
      <c r="F1139" s="227">
        <v>44610</v>
      </c>
      <c r="G1139" s="72" t="s">
        <v>13</v>
      </c>
      <c r="H1139" s="228" t="s">
        <v>827</v>
      </c>
      <c r="I1139" s="228" t="s">
        <v>44</v>
      </c>
      <c r="J1139" s="64">
        <v>112</v>
      </c>
      <c r="K1139" s="80">
        <v>112.35</v>
      </c>
      <c r="L1139" s="224">
        <f t="shared" si="83"/>
        <v>9599999.2727300003</v>
      </c>
      <c r="M1139" s="223"/>
      <c r="N1139" s="223"/>
      <c r="O1139" s="61"/>
      <c r="P1139" s="69" t="str">
        <f t="shared" si="81"/>
        <v>Piutang Usaha</v>
      </c>
      <c r="Q1139" s="61"/>
    </row>
    <row r="1140" spans="1:17" hidden="1" x14ac:dyDescent="0.25">
      <c r="A1140" s="60" t="str">
        <f t="shared" si="79"/>
        <v>203112</v>
      </c>
      <c r="B1140" s="60">
        <f>COUNTIF($J$7:J1140,J1140)</f>
        <v>203</v>
      </c>
      <c r="C1140" s="60" t="str">
        <f t="shared" si="80"/>
        <v>1112,25</v>
      </c>
      <c r="D1140" s="60">
        <f>COUNTIF($K$7:K1140,K1140)</f>
        <v>1</v>
      </c>
      <c r="E1140" s="61"/>
      <c r="F1140" s="227">
        <v>44613</v>
      </c>
      <c r="G1140" s="228" t="s">
        <v>13</v>
      </c>
      <c r="H1140" s="228" t="s">
        <v>828</v>
      </c>
      <c r="I1140" s="228" t="s">
        <v>829</v>
      </c>
      <c r="J1140" s="64">
        <v>112</v>
      </c>
      <c r="K1140" s="80">
        <v>112.25</v>
      </c>
      <c r="L1140" s="224">
        <f t="shared" si="83"/>
        <v>1499999.63638</v>
      </c>
      <c r="M1140" s="223"/>
      <c r="N1140" s="223"/>
      <c r="O1140" s="61"/>
      <c r="P1140" s="69" t="str">
        <f t="shared" si="81"/>
        <v>Piutang Usaha</v>
      </c>
      <c r="Q1140" s="61"/>
    </row>
    <row r="1141" spans="1:17" hidden="1" x14ac:dyDescent="0.25">
      <c r="A1141" s="60" t="str">
        <f t="shared" si="79"/>
        <v>204112</v>
      </c>
      <c r="B1141" s="60">
        <f>COUNTIF($J$7:J1141,J1141)</f>
        <v>204</v>
      </c>
      <c r="C1141" s="60" t="str">
        <f t="shared" si="80"/>
        <v>1112,71</v>
      </c>
      <c r="D1141" s="60">
        <f>COUNTIF($K$7:K1141,K1141)</f>
        <v>1</v>
      </c>
      <c r="E1141" s="61"/>
      <c r="F1141" s="227">
        <v>44613</v>
      </c>
      <c r="G1141" s="229">
        <f>F1141+30</f>
        <v>44643</v>
      </c>
      <c r="H1141" s="228" t="s">
        <v>830</v>
      </c>
      <c r="I1141" s="228" t="s">
        <v>831</v>
      </c>
      <c r="J1141" s="64">
        <v>112</v>
      </c>
      <c r="K1141" s="80">
        <v>112.71</v>
      </c>
      <c r="L1141" s="224">
        <f t="shared" si="83"/>
        <v>1210000</v>
      </c>
      <c r="M1141" s="223"/>
      <c r="N1141" s="223"/>
      <c r="O1141" s="61"/>
      <c r="P1141" s="69" t="str">
        <f t="shared" si="81"/>
        <v>Piutang Usaha</v>
      </c>
      <c r="Q1141" s="61"/>
    </row>
    <row r="1142" spans="1:17" hidden="1" x14ac:dyDescent="0.25">
      <c r="A1142" s="60" t="str">
        <f t="shared" si="79"/>
        <v>205112</v>
      </c>
      <c r="B1142" s="60">
        <f>COUNTIF($J$7:J1142,J1142)</f>
        <v>205</v>
      </c>
      <c r="C1142" s="60" t="str">
        <f t="shared" si="80"/>
        <v>6112,61</v>
      </c>
      <c r="D1142" s="60">
        <f>COUNTIF($K$7:K1142,K1142)</f>
        <v>6</v>
      </c>
      <c r="E1142" s="61"/>
      <c r="F1142" s="227">
        <v>44617</v>
      </c>
      <c r="G1142" s="72">
        <f t="shared" ref="G1142:G1143" si="84">F1142+30</f>
        <v>44647</v>
      </c>
      <c r="H1142" s="228" t="s">
        <v>832</v>
      </c>
      <c r="I1142" s="228" t="s">
        <v>58</v>
      </c>
      <c r="J1142" s="64">
        <v>112</v>
      </c>
      <c r="K1142" s="80">
        <v>112.61</v>
      </c>
      <c r="L1142" s="224">
        <f t="shared" si="83"/>
        <v>962500</v>
      </c>
      <c r="M1142" s="223"/>
      <c r="N1142" s="223"/>
      <c r="O1142" s="61"/>
      <c r="P1142" s="69" t="str">
        <f t="shared" si="81"/>
        <v>Piutang Usaha</v>
      </c>
      <c r="Q1142" s="61"/>
    </row>
    <row r="1143" spans="1:17" hidden="1" x14ac:dyDescent="0.25">
      <c r="A1143" s="60" t="str">
        <f t="shared" si="79"/>
        <v>206112</v>
      </c>
      <c r="B1143" s="60">
        <f>COUNTIF($J$7:J1143,J1143)</f>
        <v>206</v>
      </c>
      <c r="C1143" s="60" t="str">
        <f t="shared" si="80"/>
        <v>7112,61</v>
      </c>
      <c r="D1143" s="60">
        <f>COUNTIF($K$7:K1143,K1143)</f>
        <v>7</v>
      </c>
      <c r="E1143" s="61"/>
      <c r="F1143" s="227">
        <v>44617</v>
      </c>
      <c r="G1143" s="72">
        <f t="shared" si="84"/>
        <v>44647</v>
      </c>
      <c r="H1143" s="228" t="s">
        <v>832</v>
      </c>
      <c r="I1143" s="228" t="s">
        <v>58</v>
      </c>
      <c r="J1143" s="64">
        <v>112</v>
      </c>
      <c r="K1143" s="80">
        <v>112.61</v>
      </c>
      <c r="L1143" s="224">
        <f t="shared" si="83"/>
        <v>962500</v>
      </c>
      <c r="M1143" s="223"/>
      <c r="N1143" s="223"/>
      <c r="O1143" s="61"/>
      <c r="P1143" s="69" t="str">
        <f t="shared" si="81"/>
        <v>Piutang Usaha</v>
      </c>
      <c r="Q1143" s="61"/>
    </row>
    <row r="1144" spans="1:17" hidden="1" x14ac:dyDescent="0.25">
      <c r="A1144" s="60" t="str">
        <f t="shared" si="79"/>
        <v>207112</v>
      </c>
      <c r="B1144" s="60">
        <f>COUNTIF($J$7:J1144,J1144)</f>
        <v>207</v>
      </c>
      <c r="C1144" s="60" t="str">
        <f t="shared" si="80"/>
        <v>1112,11</v>
      </c>
      <c r="D1144" s="60">
        <f>COUNTIF($K$7:K1144,K1144)</f>
        <v>1</v>
      </c>
      <c r="E1144" s="61"/>
      <c r="F1144" s="227">
        <v>44617</v>
      </c>
      <c r="G1144" s="227">
        <f>F1144+60</f>
        <v>44677</v>
      </c>
      <c r="H1144" s="228" t="s">
        <v>833</v>
      </c>
      <c r="I1144" s="228" t="s">
        <v>834</v>
      </c>
      <c r="J1144" s="64">
        <v>112</v>
      </c>
      <c r="K1144" s="80">
        <v>112.11</v>
      </c>
      <c r="L1144" s="224">
        <f t="shared" si="83"/>
        <v>68640000</v>
      </c>
      <c r="M1144" s="223"/>
      <c r="N1144" s="223"/>
      <c r="O1144" s="61"/>
      <c r="P1144" s="69" t="str">
        <f t="shared" si="81"/>
        <v>Piutang Usaha</v>
      </c>
      <c r="Q1144" s="61"/>
    </row>
    <row r="1145" spans="1:17" hidden="1" x14ac:dyDescent="0.25">
      <c r="A1145" s="60" t="str">
        <f t="shared" si="79"/>
        <v>208112</v>
      </c>
      <c r="B1145" s="60">
        <f>COUNTIF($J$7:J1145,J1145)</f>
        <v>208</v>
      </c>
      <c r="C1145" s="60" t="str">
        <f t="shared" si="80"/>
        <v>2112,11</v>
      </c>
      <c r="D1145" s="60">
        <f>COUNTIF($K$7:K1145,K1145)</f>
        <v>2</v>
      </c>
      <c r="E1145" s="61"/>
      <c r="F1145" s="227">
        <v>44617</v>
      </c>
      <c r="G1145" s="227">
        <f t="shared" ref="G1145:G1149" si="85">F1145+60</f>
        <v>44677</v>
      </c>
      <c r="H1145" s="228" t="s">
        <v>833</v>
      </c>
      <c r="I1145" s="228" t="s">
        <v>834</v>
      </c>
      <c r="J1145" s="64">
        <v>112</v>
      </c>
      <c r="K1145" s="80">
        <v>112.11</v>
      </c>
      <c r="L1145" s="224">
        <f t="shared" si="83"/>
        <v>85800000</v>
      </c>
      <c r="M1145" s="223"/>
      <c r="N1145" s="223"/>
      <c r="O1145" s="61"/>
      <c r="P1145" s="69" t="str">
        <f t="shared" si="81"/>
        <v>Piutang Usaha</v>
      </c>
      <c r="Q1145" s="61"/>
    </row>
    <row r="1146" spans="1:17" hidden="1" x14ac:dyDescent="0.25">
      <c r="A1146" s="60" t="str">
        <f t="shared" si="79"/>
        <v>209112</v>
      </c>
      <c r="B1146" s="60">
        <f>COUNTIF($J$7:J1146,J1146)</f>
        <v>209</v>
      </c>
      <c r="C1146" s="60" t="str">
        <f t="shared" si="80"/>
        <v>3112,11</v>
      </c>
      <c r="D1146" s="60">
        <f>COUNTIF($K$7:K1146,K1146)</f>
        <v>3</v>
      </c>
      <c r="E1146" s="61"/>
      <c r="F1146" s="227">
        <v>44617</v>
      </c>
      <c r="G1146" s="227">
        <f t="shared" si="85"/>
        <v>44677</v>
      </c>
      <c r="H1146" s="228" t="s">
        <v>833</v>
      </c>
      <c r="I1146" s="228" t="s">
        <v>834</v>
      </c>
      <c r="J1146" s="64">
        <v>112</v>
      </c>
      <c r="K1146" s="80">
        <v>112.11</v>
      </c>
      <c r="L1146" s="224">
        <f t="shared" si="83"/>
        <v>34320000</v>
      </c>
      <c r="M1146" s="223"/>
      <c r="N1146" s="223"/>
      <c r="O1146" s="61"/>
      <c r="P1146" s="69" t="str">
        <f t="shared" si="81"/>
        <v>Piutang Usaha</v>
      </c>
      <c r="Q1146" s="61"/>
    </row>
    <row r="1147" spans="1:17" hidden="1" x14ac:dyDescent="0.25">
      <c r="A1147" s="60" t="str">
        <f t="shared" si="79"/>
        <v>210112</v>
      </c>
      <c r="B1147" s="60">
        <f>COUNTIF($J$7:J1147,J1147)</f>
        <v>210</v>
      </c>
      <c r="C1147" s="60" t="str">
        <f t="shared" si="80"/>
        <v>4112,11</v>
      </c>
      <c r="D1147" s="60">
        <f>COUNTIF($K$7:K1147,K1147)</f>
        <v>4</v>
      </c>
      <c r="E1147" s="61"/>
      <c r="F1147" s="227">
        <v>44599</v>
      </c>
      <c r="G1147" s="227">
        <f t="shared" si="85"/>
        <v>44659</v>
      </c>
      <c r="H1147" s="228" t="s">
        <v>835</v>
      </c>
      <c r="I1147" s="228" t="s">
        <v>834</v>
      </c>
      <c r="J1147" s="64">
        <v>112</v>
      </c>
      <c r="K1147" s="80">
        <v>112.11</v>
      </c>
      <c r="L1147" s="224">
        <f t="shared" si="83"/>
        <v>20592000</v>
      </c>
      <c r="M1147" s="223"/>
      <c r="N1147" s="223"/>
      <c r="O1147" s="61"/>
      <c r="P1147" s="69" t="str">
        <f t="shared" si="81"/>
        <v>Piutang Usaha</v>
      </c>
      <c r="Q1147" s="61"/>
    </row>
    <row r="1148" spans="1:17" hidden="1" x14ac:dyDescent="0.25">
      <c r="A1148" s="60" t="str">
        <f t="shared" si="79"/>
        <v>211112</v>
      </c>
      <c r="B1148" s="60">
        <f>COUNTIF($J$7:J1148,J1148)</f>
        <v>211</v>
      </c>
      <c r="C1148" s="60" t="str">
        <f t="shared" si="80"/>
        <v>5112,11</v>
      </c>
      <c r="D1148" s="60">
        <f>COUNTIF($K$7:K1148,K1148)</f>
        <v>5</v>
      </c>
      <c r="E1148" s="61"/>
      <c r="F1148" s="227">
        <v>44599</v>
      </c>
      <c r="G1148" s="227">
        <f t="shared" si="85"/>
        <v>44659</v>
      </c>
      <c r="H1148" s="228" t="s">
        <v>835</v>
      </c>
      <c r="I1148" s="228" t="s">
        <v>834</v>
      </c>
      <c r="J1148" s="64">
        <v>112</v>
      </c>
      <c r="K1148" s="80">
        <v>112.11</v>
      </c>
      <c r="L1148" s="224">
        <f t="shared" si="83"/>
        <v>13728000</v>
      </c>
      <c r="M1148" s="223"/>
      <c r="N1148" s="223"/>
      <c r="O1148" s="61"/>
      <c r="P1148" s="69" t="str">
        <f t="shared" si="81"/>
        <v>Piutang Usaha</v>
      </c>
      <c r="Q1148" s="61"/>
    </row>
    <row r="1149" spans="1:17" hidden="1" x14ac:dyDescent="0.25">
      <c r="A1149" s="60" t="str">
        <f t="shared" si="79"/>
        <v>212112</v>
      </c>
      <c r="B1149" s="60">
        <f>COUNTIF($J$7:J1149,J1149)</f>
        <v>212</v>
      </c>
      <c r="C1149" s="60" t="str">
        <f t="shared" si="80"/>
        <v>6112,11</v>
      </c>
      <c r="D1149" s="60">
        <f>COUNTIF($K$7:K1149,K1149)</f>
        <v>6</v>
      </c>
      <c r="E1149" s="61"/>
      <c r="F1149" s="227">
        <v>44599</v>
      </c>
      <c r="G1149" s="227">
        <f t="shared" si="85"/>
        <v>44659</v>
      </c>
      <c r="H1149" s="228" t="s">
        <v>835</v>
      </c>
      <c r="I1149" s="228" t="s">
        <v>834</v>
      </c>
      <c r="J1149" s="64">
        <v>112</v>
      </c>
      <c r="K1149" s="80">
        <v>112.11</v>
      </c>
      <c r="L1149" s="224">
        <f t="shared" si="83"/>
        <v>85800000</v>
      </c>
      <c r="M1149" s="223"/>
      <c r="N1149" s="223"/>
      <c r="O1149" s="61"/>
      <c r="P1149" s="69" t="str">
        <f t="shared" si="81"/>
        <v>Piutang Usaha</v>
      </c>
      <c r="Q1149" s="61"/>
    </row>
    <row r="1150" spans="1:17" hidden="1" x14ac:dyDescent="0.25">
      <c r="A1150" s="60" t="str">
        <f t="shared" si="79"/>
        <v>213112</v>
      </c>
      <c r="B1150" s="60">
        <f>COUNTIF($J$7:J1150,J1150)</f>
        <v>213</v>
      </c>
      <c r="C1150" s="60" t="str">
        <f t="shared" si="80"/>
        <v>25112,01</v>
      </c>
      <c r="D1150" s="60">
        <f>COUNTIF($K$7:K1150,K1150)</f>
        <v>25</v>
      </c>
      <c r="E1150" s="61"/>
      <c r="F1150" s="227">
        <v>44594</v>
      </c>
      <c r="G1150" s="72">
        <f t="shared" ref="G1150:G1151" si="86">F1150+45</f>
        <v>44639</v>
      </c>
      <c r="H1150" s="228" t="s">
        <v>836</v>
      </c>
      <c r="I1150" s="228" t="s">
        <v>18</v>
      </c>
      <c r="J1150" s="64">
        <v>112</v>
      </c>
      <c r="K1150" s="65">
        <v>112.01</v>
      </c>
      <c r="L1150" s="224">
        <f t="shared" si="83"/>
        <v>15097500</v>
      </c>
      <c r="M1150" s="223"/>
      <c r="N1150" s="223"/>
      <c r="O1150" s="61"/>
      <c r="P1150" s="69" t="str">
        <f t="shared" si="81"/>
        <v>Piutang Usaha</v>
      </c>
      <c r="Q1150" s="61"/>
    </row>
    <row r="1151" spans="1:17" hidden="1" x14ac:dyDescent="0.25">
      <c r="A1151" s="60" t="str">
        <f t="shared" si="79"/>
        <v>214112</v>
      </c>
      <c r="B1151" s="60">
        <f>COUNTIF($J$7:J1151,J1151)</f>
        <v>214</v>
      </c>
      <c r="C1151" s="60" t="str">
        <f t="shared" si="80"/>
        <v>26112,01</v>
      </c>
      <c r="D1151" s="60">
        <f>COUNTIF($K$7:K1151,K1151)</f>
        <v>26</v>
      </c>
      <c r="E1151" s="61"/>
      <c r="F1151" s="227">
        <v>44594</v>
      </c>
      <c r="G1151" s="72">
        <f t="shared" si="86"/>
        <v>44639</v>
      </c>
      <c r="H1151" s="228" t="s">
        <v>837</v>
      </c>
      <c r="I1151" s="228" t="s">
        <v>18</v>
      </c>
      <c r="J1151" s="64">
        <v>112</v>
      </c>
      <c r="K1151" s="65">
        <v>112.01</v>
      </c>
      <c r="L1151" s="224">
        <f t="shared" si="83"/>
        <v>1947000</v>
      </c>
      <c r="M1151" s="223"/>
      <c r="N1151" s="223"/>
      <c r="O1151" s="61"/>
      <c r="P1151" s="69" t="str">
        <f t="shared" si="81"/>
        <v>Piutang Usaha</v>
      </c>
      <c r="Q1151" s="61"/>
    </row>
    <row r="1152" spans="1:17" hidden="1" x14ac:dyDescent="0.25">
      <c r="A1152" s="60" t="str">
        <f t="shared" si="79"/>
        <v>215112</v>
      </c>
      <c r="B1152" s="60">
        <f>COUNTIF($J$7:J1152,J1152)</f>
        <v>215</v>
      </c>
      <c r="C1152" s="60" t="str">
        <f t="shared" si="80"/>
        <v>27112,01</v>
      </c>
      <c r="D1152" s="60">
        <f>COUNTIF($K$7:K1152,K1152)</f>
        <v>27</v>
      </c>
      <c r="E1152" s="61"/>
      <c r="F1152" s="227">
        <v>44594</v>
      </c>
      <c r="G1152" s="164" t="s">
        <v>149</v>
      </c>
      <c r="H1152" s="228" t="s">
        <v>838</v>
      </c>
      <c r="I1152" s="228" t="s">
        <v>18</v>
      </c>
      <c r="J1152" s="64">
        <v>112</v>
      </c>
      <c r="K1152" s="65">
        <v>112.01</v>
      </c>
      <c r="L1152" s="224">
        <f t="shared" si="83"/>
        <v>0</v>
      </c>
      <c r="M1152" s="223"/>
      <c r="N1152" s="223"/>
      <c r="O1152" s="61"/>
      <c r="P1152" s="69" t="str">
        <f t="shared" si="81"/>
        <v>Piutang Usaha</v>
      </c>
      <c r="Q1152" s="61"/>
    </row>
    <row r="1153" spans="1:17" hidden="1" x14ac:dyDescent="0.25">
      <c r="A1153" s="60" t="str">
        <f t="shared" si="79"/>
        <v>216112</v>
      </c>
      <c r="B1153" s="60">
        <f>COUNTIF($J$7:J1153,J1153)</f>
        <v>216</v>
      </c>
      <c r="C1153" s="60" t="str">
        <f t="shared" si="80"/>
        <v>28112,01</v>
      </c>
      <c r="D1153" s="60">
        <f>COUNTIF($K$7:K1153,K1153)</f>
        <v>28</v>
      </c>
      <c r="E1153" s="61"/>
      <c r="F1153" s="227">
        <v>44594</v>
      </c>
      <c r="G1153" s="72">
        <f t="shared" ref="G1153:G1204" si="87">F1153+45</f>
        <v>44639</v>
      </c>
      <c r="H1153" s="228" t="s">
        <v>839</v>
      </c>
      <c r="I1153" s="228" t="s">
        <v>18</v>
      </c>
      <c r="J1153" s="64">
        <v>112</v>
      </c>
      <c r="K1153" s="65">
        <v>112.01</v>
      </c>
      <c r="L1153" s="224">
        <f t="shared" si="83"/>
        <v>45100000</v>
      </c>
      <c r="M1153" s="223"/>
      <c r="N1153" s="223"/>
      <c r="O1153" s="61"/>
      <c r="P1153" s="69" t="str">
        <f t="shared" si="81"/>
        <v>Piutang Usaha</v>
      </c>
      <c r="Q1153" s="61"/>
    </row>
    <row r="1154" spans="1:17" hidden="1" x14ac:dyDescent="0.25">
      <c r="A1154" s="60" t="str">
        <f t="shared" si="79"/>
        <v>217112</v>
      </c>
      <c r="B1154" s="60">
        <f>COUNTIF($J$7:J1154,J1154)</f>
        <v>217</v>
      </c>
      <c r="C1154" s="60" t="str">
        <f t="shared" si="80"/>
        <v>29112,01</v>
      </c>
      <c r="D1154" s="60">
        <f>COUNTIF($K$7:K1154,K1154)</f>
        <v>29</v>
      </c>
      <c r="E1154" s="61"/>
      <c r="F1154" s="227">
        <v>44594</v>
      </c>
      <c r="G1154" s="72">
        <f t="shared" si="87"/>
        <v>44639</v>
      </c>
      <c r="H1154" s="228" t="s">
        <v>840</v>
      </c>
      <c r="I1154" s="228" t="s">
        <v>18</v>
      </c>
      <c r="J1154" s="64">
        <v>112</v>
      </c>
      <c r="K1154" s="65">
        <v>112.01</v>
      </c>
      <c r="L1154" s="224">
        <f t="shared" si="83"/>
        <v>1674750</v>
      </c>
      <c r="M1154" s="223"/>
      <c r="N1154" s="223"/>
      <c r="O1154" s="61"/>
      <c r="P1154" s="69" t="str">
        <f t="shared" si="81"/>
        <v>Piutang Usaha</v>
      </c>
      <c r="Q1154" s="61"/>
    </row>
    <row r="1155" spans="1:17" hidden="1" x14ac:dyDescent="0.25">
      <c r="A1155" s="60" t="str">
        <f t="shared" si="79"/>
        <v>218112</v>
      </c>
      <c r="B1155" s="60">
        <f>COUNTIF($J$7:J1155,J1155)</f>
        <v>218</v>
      </c>
      <c r="C1155" s="60" t="str">
        <f t="shared" si="80"/>
        <v>30112,01</v>
      </c>
      <c r="D1155" s="60">
        <f>COUNTIF($K$7:K1155,K1155)</f>
        <v>30</v>
      </c>
      <c r="E1155" s="61"/>
      <c r="F1155" s="227">
        <v>44594</v>
      </c>
      <c r="G1155" s="72">
        <f t="shared" si="87"/>
        <v>44639</v>
      </c>
      <c r="H1155" s="228" t="s">
        <v>840</v>
      </c>
      <c r="I1155" s="228" t="s">
        <v>18</v>
      </c>
      <c r="J1155" s="64">
        <v>112</v>
      </c>
      <c r="K1155" s="65">
        <v>112.01</v>
      </c>
      <c r="L1155" s="224">
        <f t="shared" si="83"/>
        <v>5024250</v>
      </c>
      <c r="M1155" s="223"/>
      <c r="N1155" s="223"/>
      <c r="O1155" s="61"/>
      <c r="P1155" s="69" t="str">
        <f t="shared" si="81"/>
        <v>Piutang Usaha</v>
      </c>
      <c r="Q1155" s="61"/>
    </row>
    <row r="1156" spans="1:17" hidden="1" x14ac:dyDescent="0.25">
      <c r="A1156" s="60" t="str">
        <f t="shared" si="79"/>
        <v>219112</v>
      </c>
      <c r="B1156" s="60">
        <f>COUNTIF($J$7:J1156,J1156)</f>
        <v>219</v>
      </c>
      <c r="C1156" s="60" t="str">
        <f t="shared" si="80"/>
        <v>31112,01</v>
      </c>
      <c r="D1156" s="60">
        <f>COUNTIF($K$7:K1156,K1156)</f>
        <v>31</v>
      </c>
      <c r="E1156" s="61"/>
      <c r="F1156" s="227">
        <v>44594</v>
      </c>
      <c r="G1156" s="72">
        <f t="shared" si="87"/>
        <v>44639</v>
      </c>
      <c r="H1156" s="228" t="s">
        <v>840</v>
      </c>
      <c r="I1156" s="228" t="s">
        <v>18</v>
      </c>
      <c r="J1156" s="64">
        <v>112</v>
      </c>
      <c r="K1156" s="65">
        <v>112.01</v>
      </c>
      <c r="L1156" s="224">
        <f t="shared" si="83"/>
        <v>6699000</v>
      </c>
      <c r="M1156" s="223"/>
      <c r="N1156" s="223"/>
      <c r="O1156" s="61"/>
      <c r="P1156" s="69" t="str">
        <f t="shared" si="81"/>
        <v>Piutang Usaha</v>
      </c>
      <c r="Q1156" s="61"/>
    </row>
    <row r="1157" spans="1:17" hidden="1" x14ac:dyDescent="0.25">
      <c r="A1157" s="60" t="str">
        <f t="shared" si="79"/>
        <v>220112</v>
      </c>
      <c r="B1157" s="60">
        <f>COUNTIF($J$7:J1157,J1157)</f>
        <v>220</v>
      </c>
      <c r="C1157" s="60" t="str">
        <f t="shared" si="80"/>
        <v>32112,01</v>
      </c>
      <c r="D1157" s="60">
        <f>COUNTIF($K$7:K1157,K1157)</f>
        <v>32</v>
      </c>
      <c r="E1157" s="61"/>
      <c r="F1157" s="227">
        <v>44594</v>
      </c>
      <c r="G1157" s="72">
        <f t="shared" si="87"/>
        <v>44639</v>
      </c>
      <c r="H1157" s="228" t="s">
        <v>840</v>
      </c>
      <c r="I1157" s="228" t="s">
        <v>18</v>
      </c>
      <c r="J1157" s="64">
        <v>112</v>
      </c>
      <c r="K1157" s="65">
        <v>112.01</v>
      </c>
      <c r="L1157" s="224">
        <f t="shared" si="83"/>
        <v>1674750</v>
      </c>
      <c r="M1157" s="223"/>
      <c r="N1157" s="223"/>
      <c r="O1157" s="61"/>
      <c r="P1157" s="69" t="str">
        <f t="shared" si="81"/>
        <v>Piutang Usaha</v>
      </c>
      <c r="Q1157" s="61"/>
    </row>
    <row r="1158" spans="1:17" hidden="1" x14ac:dyDescent="0.25">
      <c r="A1158" s="60" t="str">
        <f t="shared" si="79"/>
        <v>221112</v>
      </c>
      <c r="B1158" s="60">
        <f>COUNTIF($J$7:J1158,J1158)</f>
        <v>221</v>
      </c>
      <c r="C1158" s="60" t="str">
        <f t="shared" si="80"/>
        <v>33112,01</v>
      </c>
      <c r="D1158" s="60">
        <f>COUNTIF($K$7:K1158,K1158)</f>
        <v>33</v>
      </c>
      <c r="E1158" s="61"/>
      <c r="F1158" s="227">
        <v>44596</v>
      </c>
      <c r="G1158" s="72">
        <f t="shared" si="87"/>
        <v>44641</v>
      </c>
      <c r="H1158" s="228" t="s">
        <v>841</v>
      </c>
      <c r="I1158" s="228" t="s">
        <v>18</v>
      </c>
      <c r="J1158" s="64">
        <v>112</v>
      </c>
      <c r="K1158" s="65">
        <v>112.01</v>
      </c>
      <c r="L1158" s="224">
        <f t="shared" si="83"/>
        <v>2706000</v>
      </c>
      <c r="M1158" s="223"/>
      <c r="N1158" s="223"/>
      <c r="O1158" s="61"/>
      <c r="P1158" s="69" t="str">
        <f t="shared" si="81"/>
        <v>Piutang Usaha</v>
      </c>
      <c r="Q1158" s="61"/>
    </row>
    <row r="1159" spans="1:17" hidden="1" x14ac:dyDescent="0.25">
      <c r="A1159" s="60" t="str">
        <f t="shared" ref="A1159:A1222" si="88">B1159&amp;J1159</f>
        <v>222112</v>
      </c>
      <c r="B1159" s="60">
        <f>COUNTIF($J$7:J1159,J1159)</f>
        <v>222</v>
      </c>
      <c r="C1159" s="60" t="str">
        <f t="shared" ref="C1159:C1222" si="89">D1159&amp;K1159</f>
        <v>34112,01</v>
      </c>
      <c r="D1159" s="60">
        <f>COUNTIF($K$7:K1159,K1159)</f>
        <v>34</v>
      </c>
      <c r="E1159" s="61"/>
      <c r="F1159" s="227">
        <v>44596</v>
      </c>
      <c r="G1159" s="72">
        <f t="shared" si="87"/>
        <v>44641</v>
      </c>
      <c r="H1159" s="228" t="s">
        <v>841</v>
      </c>
      <c r="I1159" s="228" t="s">
        <v>18</v>
      </c>
      <c r="J1159" s="64">
        <v>112</v>
      </c>
      <c r="K1159" s="65">
        <v>112.01</v>
      </c>
      <c r="L1159" s="224">
        <f t="shared" si="83"/>
        <v>4510000</v>
      </c>
      <c r="M1159" s="223"/>
      <c r="N1159" s="223"/>
      <c r="O1159" s="61"/>
      <c r="P1159" s="69" t="str">
        <f t="shared" ref="P1159:P1222" si="90">IF(J1159=0,"-",+VLOOKUP(J1159,DAF_AKUN,2,FALSE))</f>
        <v>Piutang Usaha</v>
      </c>
      <c r="Q1159" s="61"/>
    </row>
    <row r="1160" spans="1:17" hidden="1" x14ac:dyDescent="0.25">
      <c r="A1160" s="60" t="str">
        <f t="shared" si="88"/>
        <v>223112</v>
      </c>
      <c r="B1160" s="60">
        <f>COUNTIF($J$7:J1160,J1160)</f>
        <v>223</v>
      </c>
      <c r="C1160" s="60" t="str">
        <f t="shared" si="89"/>
        <v>35112,01</v>
      </c>
      <c r="D1160" s="60">
        <f>COUNTIF($K$7:K1160,K1160)</f>
        <v>35</v>
      </c>
      <c r="E1160" s="61"/>
      <c r="F1160" s="227">
        <v>44596</v>
      </c>
      <c r="G1160" s="72">
        <f t="shared" si="87"/>
        <v>44641</v>
      </c>
      <c r="H1160" s="228" t="s">
        <v>842</v>
      </c>
      <c r="I1160" s="228" t="s">
        <v>18</v>
      </c>
      <c r="J1160" s="64">
        <v>112</v>
      </c>
      <c r="K1160" s="65">
        <v>112.01</v>
      </c>
      <c r="L1160" s="224">
        <f t="shared" si="83"/>
        <v>9858750</v>
      </c>
      <c r="M1160" s="223"/>
      <c r="N1160" s="223"/>
      <c r="O1160" s="61"/>
      <c r="P1160" s="69" t="str">
        <f t="shared" si="90"/>
        <v>Piutang Usaha</v>
      </c>
      <c r="Q1160" s="61"/>
    </row>
    <row r="1161" spans="1:17" hidden="1" x14ac:dyDescent="0.25">
      <c r="A1161" s="60" t="str">
        <f t="shared" si="88"/>
        <v>224112</v>
      </c>
      <c r="B1161" s="60">
        <f>COUNTIF($J$7:J1161,J1161)</f>
        <v>224</v>
      </c>
      <c r="C1161" s="60" t="str">
        <f t="shared" si="89"/>
        <v>36112,01</v>
      </c>
      <c r="D1161" s="60">
        <f>COUNTIF($K$7:K1161,K1161)</f>
        <v>36</v>
      </c>
      <c r="E1161" s="61"/>
      <c r="F1161" s="227">
        <v>44596</v>
      </c>
      <c r="G1161" s="72">
        <f t="shared" si="87"/>
        <v>44641</v>
      </c>
      <c r="H1161" s="228" t="s">
        <v>842</v>
      </c>
      <c r="I1161" s="228" t="s">
        <v>18</v>
      </c>
      <c r="J1161" s="64">
        <v>112</v>
      </c>
      <c r="K1161" s="65">
        <v>112.01</v>
      </c>
      <c r="L1161" s="224">
        <f t="shared" si="83"/>
        <v>3943500</v>
      </c>
      <c r="M1161" s="223"/>
      <c r="N1161" s="223"/>
      <c r="O1161" s="61"/>
      <c r="P1161" s="69" t="str">
        <f t="shared" si="90"/>
        <v>Piutang Usaha</v>
      </c>
      <c r="Q1161" s="61"/>
    </row>
    <row r="1162" spans="1:17" hidden="1" x14ac:dyDescent="0.25">
      <c r="A1162" s="60" t="str">
        <f t="shared" si="88"/>
        <v>225112</v>
      </c>
      <c r="B1162" s="60">
        <f>COUNTIF($J$7:J1162,J1162)</f>
        <v>225</v>
      </c>
      <c r="C1162" s="60" t="str">
        <f t="shared" si="89"/>
        <v>37112,01</v>
      </c>
      <c r="D1162" s="60">
        <f>COUNTIF($K$7:K1162,K1162)</f>
        <v>37</v>
      </c>
      <c r="E1162" s="61"/>
      <c r="F1162" s="227">
        <v>44596</v>
      </c>
      <c r="G1162" s="72">
        <f t="shared" si="87"/>
        <v>44641</v>
      </c>
      <c r="H1162" s="228" t="s">
        <v>842</v>
      </c>
      <c r="I1162" s="228" t="s">
        <v>18</v>
      </c>
      <c r="J1162" s="64">
        <v>112</v>
      </c>
      <c r="K1162" s="65">
        <v>112.01</v>
      </c>
      <c r="L1162" s="224">
        <f t="shared" si="83"/>
        <v>3943500</v>
      </c>
      <c r="M1162" s="223"/>
      <c r="N1162" s="223"/>
      <c r="O1162" s="61"/>
      <c r="P1162" s="69" t="str">
        <f t="shared" si="90"/>
        <v>Piutang Usaha</v>
      </c>
      <c r="Q1162" s="61"/>
    </row>
    <row r="1163" spans="1:17" hidden="1" x14ac:dyDescent="0.25">
      <c r="A1163" s="60" t="str">
        <f t="shared" si="88"/>
        <v>226112</v>
      </c>
      <c r="B1163" s="60">
        <f>COUNTIF($J$7:J1163,J1163)</f>
        <v>226</v>
      </c>
      <c r="C1163" s="60" t="str">
        <f t="shared" si="89"/>
        <v>38112,01</v>
      </c>
      <c r="D1163" s="60">
        <f>COUNTIF($K$7:K1163,K1163)</f>
        <v>38</v>
      </c>
      <c r="E1163" s="61"/>
      <c r="F1163" s="227">
        <v>44596</v>
      </c>
      <c r="G1163" s="72">
        <f t="shared" si="87"/>
        <v>44641</v>
      </c>
      <c r="H1163" s="228" t="s">
        <v>842</v>
      </c>
      <c r="I1163" s="228" t="s">
        <v>18</v>
      </c>
      <c r="J1163" s="64">
        <v>112</v>
      </c>
      <c r="K1163" s="65">
        <v>112.01</v>
      </c>
      <c r="L1163" s="224">
        <f t="shared" si="83"/>
        <v>1971750</v>
      </c>
      <c r="M1163" s="223"/>
      <c r="N1163" s="223"/>
      <c r="O1163" s="61"/>
      <c r="P1163" s="69" t="str">
        <f t="shared" si="90"/>
        <v>Piutang Usaha</v>
      </c>
      <c r="Q1163" s="61"/>
    </row>
    <row r="1164" spans="1:17" hidden="1" x14ac:dyDescent="0.25">
      <c r="A1164" s="60" t="str">
        <f t="shared" si="88"/>
        <v>227112</v>
      </c>
      <c r="B1164" s="60">
        <f>COUNTIF($J$7:J1164,J1164)</f>
        <v>227</v>
      </c>
      <c r="C1164" s="60" t="str">
        <f t="shared" si="89"/>
        <v>39112,01</v>
      </c>
      <c r="D1164" s="60">
        <f>COUNTIF($K$7:K1164,K1164)</f>
        <v>39</v>
      </c>
      <c r="E1164" s="61"/>
      <c r="F1164" s="227">
        <v>44601</v>
      </c>
      <c r="G1164" s="72">
        <f t="shared" si="87"/>
        <v>44646</v>
      </c>
      <c r="H1164" s="228" t="s">
        <v>843</v>
      </c>
      <c r="I1164" s="228" t="s">
        <v>18</v>
      </c>
      <c r="J1164" s="64">
        <v>112</v>
      </c>
      <c r="K1164" s="65">
        <v>112.01</v>
      </c>
      <c r="L1164" s="224">
        <f t="shared" si="83"/>
        <v>7887000</v>
      </c>
      <c r="M1164" s="223"/>
      <c r="N1164" s="223"/>
      <c r="O1164" s="61"/>
      <c r="P1164" s="69" t="str">
        <f t="shared" si="90"/>
        <v>Piutang Usaha</v>
      </c>
      <c r="Q1164" s="61"/>
    </row>
    <row r="1165" spans="1:17" hidden="1" x14ac:dyDescent="0.25">
      <c r="A1165" s="60" t="str">
        <f t="shared" si="88"/>
        <v>228112</v>
      </c>
      <c r="B1165" s="60">
        <f>COUNTIF($J$7:J1165,J1165)</f>
        <v>228</v>
      </c>
      <c r="C1165" s="60" t="str">
        <f t="shared" si="89"/>
        <v>40112,01</v>
      </c>
      <c r="D1165" s="60">
        <f>COUNTIF($K$7:K1165,K1165)</f>
        <v>40</v>
      </c>
      <c r="E1165" s="61"/>
      <c r="F1165" s="227">
        <v>44601</v>
      </c>
      <c r="G1165" s="72">
        <f t="shared" si="87"/>
        <v>44646</v>
      </c>
      <c r="H1165" s="228" t="s">
        <v>843</v>
      </c>
      <c r="I1165" s="228" t="s">
        <v>18</v>
      </c>
      <c r="J1165" s="64">
        <v>112</v>
      </c>
      <c r="K1165" s="65">
        <v>112.01</v>
      </c>
      <c r="L1165" s="224">
        <f t="shared" si="83"/>
        <v>3943500</v>
      </c>
      <c r="M1165" s="223"/>
      <c r="N1165" s="223"/>
      <c r="O1165" s="61"/>
      <c r="P1165" s="69" t="str">
        <f t="shared" si="90"/>
        <v>Piutang Usaha</v>
      </c>
      <c r="Q1165" s="61"/>
    </row>
    <row r="1166" spans="1:17" hidden="1" x14ac:dyDescent="0.25">
      <c r="A1166" s="60" t="str">
        <f t="shared" si="88"/>
        <v>229112</v>
      </c>
      <c r="B1166" s="60">
        <f>COUNTIF($J$7:J1166,J1166)</f>
        <v>229</v>
      </c>
      <c r="C1166" s="60" t="str">
        <f t="shared" si="89"/>
        <v>41112,01</v>
      </c>
      <c r="D1166" s="60">
        <f>COUNTIF($K$7:K1166,K1166)</f>
        <v>41</v>
      </c>
      <c r="E1166" s="61"/>
      <c r="F1166" s="227">
        <v>44601</v>
      </c>
      <c r="G1166" s="72">
        <f t="shared" si="87"/>
        <v>44646</v>
      </c>
      <c r="H1166" s="228" t="s">
        <v>843</v>
      </c>
      <c r="I1166" s="228" t="s">
        <v>18</v>
      </c>
      <c r="J1166" s="64">
        <v>112</v>
      </c>
      <c r="K1166" s="65">
        <v>112.01</v>
      </c>
      <c r="L1166" s="224">
        <f t="shared" si="83"/>
        <v>7887000</v>
      </c>
      <c r="M1166" s="223"/>
      <c r="N1166" s="223"/>
      <c r="O1166" s="61"/>
      <c r="P1166" s="69" t="str">
        <f t="shared" si="90"/>
        <v>Piutang Usaha</v>
      </c>
      <c r="Q1166" s="61"/>
    </row>
    <row r="1167" spans="1:17" hidden="1" x14ac:dyDescent="0.25">
      <c r="A1167" s="60" t="str">
        <f t="shared" si="88"/>
        <v>230112</v>
      </c>
      <c r="B1167" s="60">
        <f>COUNTIF($J$7:J1167,J1167)</f>
        <v>230</v>
      </c>
      <c r="C1167" s="60" t="str">
        <f t="shared" si="89"/>
        <v>42112,01</v>
      </c>
      <c r="D1167" s="60">
        <f>COUNTIF($K$7:K1167,K1167)</f>
        <v>42</v>
      </c>
      <c r="E1167" s="61"/>
      <c r="F1167" s="227">
        <v>44601</v>
      </c>
      <c r="G1167" s="72">
        <f t="shared" si="87"/>
        <v>44646</v>
      </c>
      <c r="H1167" s="228" t="s">
        <v>844</v>
      </c>
      <c r="I1167" s="228" t="s">
        <v>18</v>
      </c>
      <c r="J1167" s="64">
        <v>112</v>
      </c>
      <c r="K1167" s="65">
        <v>112.01</v>
      </c>
      <c r="L1167" s="224">
        <f t="shared" si="83"/>
        <v>4603500</v>
      </c>
      <c r="M1167" s="223"/>
      <c r="N1167" s="223"/>
      <c r="O1167" s="61"/>
      <c r="P1167" s="69" t="str">
        <f t="shared" si="90"/>
        <v>Piutang Usaha</v>
      </c>
      <c r="Q1167" s="61"/>
    </row>
    <row r="1168" spans="1:17" hidden="1" x14ac:dyDescent="0.25">
      <c r="A1168" s="60" t="str">
        <f t="shared" si="88"/>
        <v>231112</v>
      </c>
      <c r="B1168" s="60">
        <f>COUNTIF($J$7:J1168,J1168)</f>
        <v>231</v>
      </c>
      <c r="C1168" s="60" t="str">
        <f t="shared" si="89"/>
        <v>43112,01</v>
      </c>
      <c r="D1168" s="60">
        <f>COUNTIF($K$7:K1168,K1168)</f>
        <v>43</v>
      </c>
      <c r="E1168" s="61"/>
      <c r="F1168" s="227">
        <v>44601</v>
      </c>
      <c r="G1168" s="72">
        <f t="shared" si="87"/>
        <v>44646</v>
      </c>
      <c r="H1168" s="228" t="s">
        <v>844</v>
      </c>
      <c r="I1168" s="228" t="s">
        <v>18</v>
      </c>
      <c r="J1168" s="64">
        <v>112</v>
      </c>
      <c r="K1168" s="65">
        <v>112.01</v>
      </c>
      <c r="L1168" s="224">
        <f t="shared" si="83"/>
        <v>4603500</v>
      </c>
      <c r="M1168" s="223"/>
      <c r="N1168" s="223"/>
      <c r="O1168" s="61"/>
      <c r="P1168" s="69" t="str">
        <f t="shared" si="90"/>
        <v>Piutang Usaha</v>
      </c>
      <c r="Q1168" s="61"/>
    </row>
    <row r="1169" spans="1:17" hidden="1" x14ac:dyDescent="0.25">
      <c r="A1169" s="60" t="str">
        <f t="shared" si="88"/>
        <v>232112</v>
      </c>
      <c r="B1169" s="60">
        <f>COUNTIF($J$7:J1169,J1169)</f>
        <v>232</v>
      </c>
      <c r="C1169" s="60" t="str">
        <f t="shared" si="89"/>
        <v>44112,01</v>
      </c>
      <c r="D1169" s="60">
        <f>COUNTIF($K$7:K1169,K1169)</f>
        <v>44</v>
      </c>
      <c r="E1169" s="61"/>
      <c r="F1169" s="227">
        <v>44601</v>
      </c>
      <c r="G1169" s="72">
        <f t="shared" si="87"/>
        <v>44646</v>
      </c>
      <c r="H1169" s="228" t="s">
        <v>844</v>
      </c>
      <c r="I1169" s="228" t="s">
        <v>18</v>
      </c>
      <c r="J1169" s="64">
        <v>112</v>
      </c>
      <c r="K1169" s="65">
        <v>112.01</v>
      </c>
      <c r="L1169" s="224">
        <f t="shared" si="83"/>
        <v>2301750</v>
      </c>
      <c r="M1169" s="223"/>
      <c r="N1169" s="223"/>
      <c r="O1169" s="61"/>
      <c r="P1169" s="69" t="str">
        <f t="shared" si="90"/>
        <v>Piutang Usaha</v>
      </c>
      <c r="Q1169" s="61"/>
    </row>
    <row r="1170" spans="1:17" hidden="1" x14ac:dyDescent="0.25">
      <c r="A1170" s="60" t="str">
        <f t="shared" si="88"/>
        <v>233112</v>
      </c>
      <c r="B1170" s="60">
        <f>COUNTIF($J$7:J1170,J1170)</f>
        <v>233</v>
      </c>
      <c r="C1170" s="60" t="str">
        <f t="shared" si="89"/>
        <v>45112,01</v>
      </c>
      <c r="D1170" s="60">
        <f>COUNTIF($K$7:K1170,K1170)</f>
        <v>45</v>
      </c>
      <c r="E1170" s="61"/>
      <c r="F1170" s="227">
        <v>44601</v>
      </c>
      <c r="G1170" s="72">
        <f t="shared" si="87"/>
        <v>44646</v>
      </c>
      <c r="H1170" s="228" t="s">
        <v>844</v>
      </c>
      <c r="I1170" s="228" t="s">
        <v>18</v>
      </c>
      <c r="J1170" s="64">
        <v>112</v>
      </c>
      <c r="K1170" s="65">
        <v>112.01</v>
      </c>
      <c r="L1170" s="224">
        <f t="shared" si="83"/>
        <v>2301750</v>
      </c>
      <c r="M1170" s="223"/>
      <c r="N1170" s="223"/>
      <c r="O1170" s="61"/>
      <c r="P1170" s="69" t="str">
        <f t="shared" si="90"/>
        <v>Piutang Usaha</v>
      </c>
      <c r="Q1170" s="61"/>
    </row>
    <row r="1171" spans="1:17" hidden="1" x14ac:dyDescent="0.25">
      <c r="A1171" s="60" t="str">
        <f t="shared" si="88"/>
        <v>234112</v>
      </c>
      <c r="B1171" s="60">
        <f>COUNTIF($J$7:J1171,J1171)</f>
        <v>234</v>
      </c>
      <c r="C1171" s="60" t="str">
        <f t="shared" si="89"/>
        <v>46112,01</v>
      </c>
      <c r="D1171" s="60">
        <f>COUNTIF($K$7:K1171,K1171)</f>
        <v>46</v>
      </c>
      <c r="E1171" s="61"/>
      <c r="F1171" s="227">
        <v>44601</v>
      </c>
      <c r="G1171" s="72">
        <f t="shared" si="87"/>
        <v>44646</v>
      </c>
      <c r="H1171" s="228" t="s">
        <v>844</v>
      </c>
      <c r="I1171" s="228" t="s">
        <v>18</v>
      </c>
      <c r="J1171" s="64">
        <v>112</v>
      </c>
      <c r="K1171" s="65">
        <v>112.01</v>
      </c>
      <c r="L1171" s="224">
        <f t="shared" si="83"/>
        <v>2301750</v>
      </c>
      <c r="M1171" s="223"/>
      <c r="N1171" s="223"/>
      <c r="O1171" s="61"/>
      <c r="P1171" s="69" t="str">
        <f t="shared" si="90"/>
        <v>Piutang Usaha</v>
      </c>
      <c r="Q1171" s="61"/>
    </row>
    <row r="1172" spans="1:17" hidden="1" x14ac:dyDescent="0.25">
      <c r="A1172" s="60" t="str">
        <f t="shared" si="88"/>
        <v>235112</v>
      </c>
      <c r="B1172" s="60">
        <f>COUNTIF($J$7:J1172,J1172)</f>
        <v>235</v>
      </c>
      <c r="C1172" s="60" t="str">
        <f t="shared" si="89"/>
        <v>47112,01</v>
      </c>
      <c r="D1172" s="60">
        <f>COUNTIF($K$7:K1172,K1172)</f>
        <v>47</v>
      </c>
      <c r="E1172" s="61"/>
      <c r="F1172" s="227">
        <v>44601</v>
      </c>
      <c r="G1172" s="72">
        <f t="shared" si="87"/>
        <v>44646</v>
      </c>
      <c r="H1172" s="228" t="s">
        <v>844</v>
      </c>
      <c r="I1172" s="228" t="s">
        <v>18</v>
      </c>
      <c r="J1172" s="64">
        <v>112</v>
      </c>
      <c r="K1172" s="65">
        <v>112.01</v>
      </c>
      <c r="L1172" s="224">
        <f t="shared" si="83"/>
        <v>3894000</v>
      </c>
      <c r="M1172" s="223"/>
      <c r="N1172" s="223"/>
      <c r="O1172" s="61"/>
      <c r="P1172" s="69" t="str">
        <f t="shared" si="90"/>
        <v>Piutang Usaha</v>
      </c>
      <c r="Q1172" s="61"/>
    </row>
    <row r="1173" spans="1:17" hidden="1" x14ac:dyDescent="0.25">
      <c r="A1173" s="60" t="str">
        <f t="shared" si="88"/>
        <v>236112</v>
      </c>
      <c r="B1173" s="60">
        <f>COUNTIF($J$7:J1173,J1173)</f>
        <v>236</v>
      </c>
      <c r="C1173" s="60" t="str">
        <f t="shared" si="89"/>
        <v>48112,01</v>
      </c>
      <c r="D1173" s="60">
        <f>COUNTIF($K$7:K1173,K1173)</f>
        <v>48</v>
      </c>
      <c r="E1173" s="61"/>
      <c r="F1173" s="227">
        <v>44601</v>
      </c>
      <c r="G1173" s="72">
        <f t="shared" si="87"/>
        <v>44646</v>
      </c>
      <c r="H1173" s="228" t="s">
        <v>844</v>
      </c>
      <c r="I1173" s="228" t="s">
        <v>18</v>
      </c>
      <c r="J1173" s="64">
        <v>112</v>
      </c>
      <c r="K1173" s="65">
        <v>112.01</v>
      </c>
      <c r="L1173" s="224">
        <f t="shared" si="83"/>
        <v>3894000</v>
      </c>
      <c r="M1173" s="223"/>
      <c r="N1173" s="223"/>
      <c r="O1173" s="61"/>
      <c r="P1173" s="69" t="str">
        <f t="shared" si="90"/>
        <v>Piutang Usaha</v>
      </c>
      <c r="Q1173" s="61"/>
    </row>
    <row r="1174" spans="1:17" hidden="1" x14ac:dyDescent="0.25">
      <c r="A1174" s="60" t="str">
        <f t="shared" si="88"/>
        <v>237112</v>
      </c>
      <c r="B1174" s="60">
        <f>COUNTIF($J$7:J1174,J1174)</f>
        <v>237</v>
      </c>
      <c r="C1174" s="60" t="str">
        <f t="shared" si="89"/>
        <v>49112,01</v>
      </c>
      <c r="D1174" s="60">
        <f>COUNTIF($K$7:K1174,K1174)</f>
        <v>49</v>
      </c>
      <c r="E1174" s="61"/>
      <c r="F1174" s="227">
        <v>44601</v>
      </c>
      <c r="G1174" s="72">
        <f t="shared" si="87"/>
        <v>44646</v>
      </c>
      <c r="H1174" s="228" t="s">
        <v>844</v>
      </c>
      <c r="I1174" s="228" t="s">
        <v>18</v>
      </c>
      <c r="J1174" s="64">
        <v>112</v>
      </c>
      <c r="K1174" s="65">
        <v>112.01</v>
      </c>
      <c r="L1174" s="224">
        <f t="shared" si="83"/>
        <v>3894000</v>
      </c>
      <c r="M1174" s="223"/>
      <c r="N1174" s="223"/>
      <c r="O1174" s="61"/>
      <c r="P1174" s="69" t="str">
        <f t="shared" si="90"/>
        <v>Piutang Usaha</v>
      </c>
      <c r="Q1174" s="61"/>
    </row>
    <row r="1175" spans="1:17" hidden="1" x14ac:dyDescent="0.25">
      <c r="A1175" s="60" t="str">
        <f t="shared" si="88"/>
        <v>238112</v>
      </c>
      <c r="B1175" s="60">
        <f>COUNTIF($J$7:J1175,J1175)</f>
        <v>238</v>
      </c>
      <c r="C1175" s="60" t="str">
        <f t="shared" si="89"/>
        <v>50112,01</v>
      </c>
      <c r="D1175" s="60">
        <f>COUNTIF($K$7:K1175,K1175)</f>
        <v>50</v>
      </c>
      <c r="E1175" s="61"/>
      <c r="F1175" s="227">
        <v>44601</v>
      </c>
      <c r="G1175" s="72">
        <f t="shared" si="87"/>
        <v>44646</v>
      </c>
      <c r="H1175" s="228" t="s">
        <v>845</v>
      </c>
      <c r="I1175" s="228" t="s">
        <v>18</v>
      </c>
      <c r="J1175" s="64">
        <v>112</v>
      </c>
      <c r="K1175" s="65">
        <v>112.01</v>
      </c>
      <c r="L1175" s="224">
        <f t="shared" si="83"/>
        <v>1674750</v>
      </c>
      <c r="M1175" s="223"/>
      <c r="N1175" s="223"/>
      <c r="O1175" s="61"/>
      <c r="P1175" s="69" t="str">
        <f t="shared" si="90"/>
        <v>Piutang Usaha</v>
      </c>
      <c r="Q1175" s="61"/>
    </row>
    <row r="1176" spans="1:17" hidden="1" x14ac:dyDescent="0.25">
      <c r="A1176" s="60" t="str">
        <f t="shared" si="88"/>
        <v>239112</v>
      </c>
      <c r="B1176" s="60">
        <f>COUNTIF($J$7:J1176,J1176)</f>
        <v>239</v>
      </c>
      <c r="C1176" s="60" t="str">
        <f t="shared" si="89"/>
        <v>51112,01</v>
      </c>
      <c r="D1176" s="60">
        <f>COUNTIF($K$7:K1176,K1176)</f>
        <v>51</v>
      </c>
      <c r="E1176" s="61"/>
      <c r="F1176" s="227">
        <v>44602</v>
      </c>
      <c r="G1176" s="72">
        <f t="shared" si="87"/>
        <v>44647</v>
      </c>
      <c r="H1176" s="228" t="s">
        <v>846</v>
      </c>
      <c r="I1176" s="228" t="s">
        <v>18</v>
      </c>
      <c r="J1176" s="64">
        <v>112</v>
      </c>
      <c r="K1176" s="65">
        <v>112.01</v>
      </c>
      <c r="L1176" s="224">
        <f t="shared" si="83"/>
        <v>45100000</v>
      </c>
      <c r="M1176" s="223"/>
      <c r="N1176" s="223"/>
      <c r="O1176" s="61"/>
      <c r="P1176" s="69" t="str">
        <f t="shared" si="90"/>
        <v>Piutang Usaha</v>
      </c>
      <c r="Q1176" s="61"/>
    </row>
    <row r="1177" spans="1:17" hidden="1" x14ac:dyDescent="0.25">
      <c r="A1177" s="60" t="str">
        <f t="shared" si="88"/>
        <v>240112</v>
      </c>
      <c r="B1177" s="60">
        <f>COUNTIF($J$7:J1177,J1177)</f>
        <v>240</v>
      </c>
      <c r="C1177" s="60" t="str">
        <f t="shared" si="89"/>
        <v>52112,01</v>
      </c>
      <c r="D1177" s="60">
        <f>COUNTIF($K$7:K1177,K1177)</f>
        <v>52</v>
      </c>
      <c r="E1177" s="61"/>
      <c r="F1177" s="227">
        <v>44602</v>
      </c>
      <c r="G1177" s="72">
        <f t="shared" si="87"/>
        <v>44647</v>
      </c>
      <c r="H1177" s="228" t="s">
        <v>847</v>
      </c>
      <c r="I1177" s="228" t="s">
        <v>18</v>
      </c>
      <c r="J1177" s="64">
        <v>112</v>
      </c>
      <c r="K1177" s="65">
        <v>112.01</v>
      </c>
      <c r="L1177" s="224">
        <f t="shared" si="83"/>
        <v>13802250</v>
      </c>
      <c r="M1177" s="223"/>
      <c r="N1177" s="223"/>
      <c r="O1177" s="61"/>
      <c r="P1177" s="69" t="str">
        <f t="shared" si="90"/>
        <v>Piutang Usaha</v>
      </c>
      <c r="Q1177" s="61"/>
    </row>
    <row r="1178" spans="1:17" hidden="1" x14ac:dyDescent="0.25">
      <c r="A1178" s="60" t="str">
        <f t="shared" si="88"/>
        <v>241112</v>
      </c>
      <c r="B1178" s="60">
        <f>COUNTIF($J$7:J1178,J1178)</f>
        <v>241</v>
      </c>
      <c r="C1178" s="60" t="str">
        <f t="shared" si="89"/>
        <v>53112,01</v>
      </c>
      <c r="D1178" s="60">
        <f>COUNTIF($K$7:K1178,K1178)</f>
        <v>53</v>
      </c>
      <c r="E1178" s="61"/>
      <c r="F1178" s="227">
        <v>44602</v>
      </c>
      <c r="G1178" s="72">
        <f t="shared" si="87"/>
        <v>44647</v>
      </c>
      <c r="H1178" s="228" t="s">
        <v>847</v>
      </c>
      <c r="I1178" s="228" t="s">
        <v>18</v>
      </c>
      <c r="J1178" s="64">
        <v>112</v>
      </c>
      <c r="K1178" s="65">
        <v>112.01</v>
      </c>
      <c r="L1178" s="224">
        <f t="shared" si="83"/>
        <v>13802250</v>
      </c>
      <c r="M1178" s="223"/>
      <c r="N1178" s="223"/>
      <c r="O1178" s="61"/>
      <c r="P1178" s="69" t="str">
        <f t="shared" si="90"/>
        <v>Piutang Usaha</v>
      </c>
      <c r="Q1178" s="61"/>
    </row>
    <row r="1179" spans="1:17" hidden="1" x14ac:dyDescent="0.25">
      <c r="A1179" s="60" t="str">
        <f t="shared" si="88"/>
        <v>242112</v>
      </c>
      <c r="B1179" s="60">
        <f>COUNTIF($J$7:J1179,J1179)</f>
        <v>242</v>
      </c>
      <c r="C1179" s="60" t="str">
        <f t="shared" si="89"/>
        <v>54112,01</v>
      </c>
      <c r="D1179" s="60">
        <f>COUNTIF($K$7:K1179,K1179)</f>
        <v>54</v>
      </c>
      <c r="E1179" s="61"/>
      <c r="F1179" s="227">
        <v>44602</v>
      </c>
      <c r="G1179" s="72">
        <f t="shared" si="87"/>
        <v>44647</v>
      </c>
      <c r="H1179" s="228" t="s">
        <v>848</v>
      </c>
      <c r="I1179" s="228" t="s">
        <v>18</v>
      </c>
      <c r="J1179" s="64">
        <v>112</v>
      </c>
      <c r="K1179" s="65">
        <v>112.01</v>
      </c>
      <c r="L1179" s="224">
        <f t="shared" si="83"/>
        <v>902000</v>
      </c>
      <c r="M1179" s="223"/>
      <c r="N1179" s="223"/>
      <c r="O1179" s="61"/>
      <c r="P1179" s="69" t="str">
        <f t="shared" si="90"/>
        <v>Piutang Usaha</v>
      </c>
      <c r="Q1179" s="61"/>
    </row>
    <row r="1180" spans="1:17" hidden="1" x14ac:dyDescent="0.25">
      <c r="A1180" s="60" t="str">
        <f t="shared" si="88"/>
        <v>243112</v>
      </c>
      <c r="B1180" s="60">
        <f>COUNTIF($J$7:J1180,J1180)</f>
        <v>243</v>
      </c>
      <c r="C1180" s="60" t="str">
        <f t="shared" si="89"/>
        <v>55112,01</v>
      </c>
      <c r="D1180" s="60">
        <f>COUNTIF($K$7:K1180,K1180)</f>
        <v>55</v>
      </c>
      <c r="E1180" s="61"/>
      <c r="F1180" s="227">
        <v>44602</v>
      </c>
      <c r="G1180" s="72">
        <f t="shared" si="87"/>
        <v>44647</v>
      </c>
      <c r="H1180" s="228" t="s">
        <v>848</v>
      </c>
      <c r="I1180" s="228" t="s">
        <v>18</v>
      </c>
      <c r="J1180" s="64">
        <v>112</v>
      </c>
      <c r="K1180" s="65">
        <v>112.01</v>
      </c>
      <c r="L1180" s="224">
        <f t="shared" si="83"/>
        <v>1804000</v>
      </c>
      <c r="M1180" s="223"/>
      <c r="N1180" s="223"/>
      <c r="O1180" s="61"/>
      <c r="P1180" s="69" t="str">
        <f t="shared" si="90"/>
        <v>Piutang Usaha</v>
      </c>
      <c r="Q1180" s="61"/>
    </row>
    <row r="1181" spans="1:17" hidden="1" x14ac:dyDescent="0.25">
      <c r="A1181" s="60" t="str">
        <f t="shared" si="88"/>
        <v>244112</v>
      </c>
      <c r="B1181" s="60">
        <f>COUNTIF($J$7:J1181,J1181)</f>
        <v>244</v>
      </c>
      <c r="C1181" s="60" t="str">
        <f t="shared" si="89"/>
        <v>56112,01</v>
      </c>
      <c r="D1181" s="60">
        <f>COUNTIF($K$7:K1181,K1181)</f>
        <v>56</v>
      </c>
      <c r="E1181" s="61"/>
      <c r="F1181" s="227">
        <v>44602</v>
      </c>
      <c r="G1181" s="72">
        <f t="shared" si="87"/>
        <v>44647</v>
      </c>
      <c r="H1181" s="228" t="s">
        <v>848</v>
      </c>
      <c r="I1181" s="228" t="s">
        <v>18</v>
      </c>
      <c r="J1181" s="64">
        <v>112</v>
      </c>
      <c r="K1181" s="65">
        <v>112.01</v>
      </c>
      <c r="L1181" s="224">
        <f t="shared" si="83"/>
        <v>902000</v>
      </c>
      <c r="M1181" s="223"/>
      <c r="N1181" s="223"/>
      <c r="O1181" s="61"/>
      <c r="P1181" s="69" t="str">
        <f t="shared" si="90"/>
        <v>Piutang Usaha</v>
      </c>
      <c r="Q1181" s="61"/>
    </row>
    <row r="1182" spans="1:17" hidden="1" x14ac:dyDescent="0.25">
      <c r="A1182" s="60" t="str">
        <f t="shared" si="88"/>
        <v>245112</v>
      </c>
      <c r="B1182" s="60">
        <f>COUNTIF($J$7:J1182,J1182)</f>
        <v>245</v>
      </c>
      <c r="C1182" s="60" t="str">
        <f t="shared" si="89"/>
        <v>57112,01</v>
      </c>
      <c r="D1182" s="60">
        <f>COUNTIF($K$7:K1182,K1182)</f>
        <v>57</v>
      </c>
      <c r="E1182" s="61"/>
      <c r="F1182" s="227">
        <v>44606</v>
      </c>
      <c r="G1182" s="72">
        <f t="shared" si="87"/>
        <v>44651</v>
      </c>
      <c r="H1182" s="228" t="s">
        <v>849</v>
      </c>
      <c r="I1182" s="228" t="s">
        <v>18</v>
      </c>
      <c r="J1182" s="64">
        <v>112</v>
      </c>
      <c r="K1182" s="65">
        <v>112.01</v>
      </c>
      <c r="L1182" s="224">
        <f t="shared" si="83"/>
        <v>18040000</v>
      </c>
      <c r="M1182" s="223"/>
      <c r="N1182" s="223"/>
      <c r="O1182" s="61"/>
      <c r="P1182" s="69" t="str">
        <f t="shared" si="90"/>
        <v>Piutang Usaha</v>
      </c>
      <c r="Q1182" s="61"/>
    </row>
    <row r="1183" spans="1:17" hidden="1" x14ac:dyDescent="0.25">
      <c r="A1183" s="60" t="str">
        <f t="shared" si="88"/>
        <v>246112</v>
      </c>
      <c r="B1183" s="60">
        <f>COUNTIF($J$7:J1183,J1183)</f>
        <v>246</v>
      </c>
      <c r="C1183" s="60" t="str">
        <f t="shared" si="89"/>
        <v>58112,01</v>
      </c>
      <c r="D1183" s="60">
        <f>COUNTIF($K$7:K1183,K1183)</f>
        <v>58</v>
      </c>
      <c r="E1183" s="61"/>
      <c r="F1183" s="227">
        <v>44606</v>
      </c>
      <c r="G1183" s="72">
        <f t="shared" si="87"/>
        <v>44651</v>
      </c>
      <c r="H1183" s="228" t="s">
        <v>850</v>
      </c>
      <c r="I1183" s="228" t="s">
        <v>18</v>
      </c>
      <c r="J1183" s="64">
        <v>112</v>
      </c>
      <c r="K1183" s="65">
        <v>112.01</v>
      </c>
      <c r="L1183" s="224">
        <f t="shared" si="83"/>
        <v>6699000</v>
      </c>
      <c r="M1183" s="223"/>
      <c r="N1183" s="223"/>
      <c r="O1183" s="61"/>
      <c r="P1183" s="69" t="str">
        <f t="shared" si="90"/>
        <v>Piutang Usaha</v>
      </c>
      <c r="Q1183" s="61"/>
    </row>
    <row r="1184" spans="1:17" hidden="1" x14ac:dyDescent="0.25">
      <c r="A1184" s="60" t="str">
        <f t="shared" si="88"/>
        <v>247112</v>
      </c>
      <c r="B1184" s="60">
        <f>COUNTIF($J$7:J1184,J1184)</f>
        <v>247</v>
      </c>
      <c r="C1184" s="60" t="str">
        <f t="shared" si="89"/>
        <v>59112,01</v>
      </c>
      <c r="D1184" s="60">
        <f>COUNTIF($K$7:K1184,K1184)</f>
        <v>59</v>
      </c>
      <c r="E1184" s="61"/>
      <c r="F1184" s="227">
        <v>44606</v>
      </c>
      <c r="G1184" s="72">
        <f t="shared" si="87"/>
        <v>44651</v>
      </c>
      <c r="H1184" s="228" t="s">
        <v>850</v>
      </c>
      <c r="I1184" s="228" t="s">
        <v>18</v>
      </c>
      <c r="J1184" s="64">
        <v>112</v>
      </c>
      <c r="K1184" s="65">
        <v>112.01</v>
      </c>
      <c r="L1184" s="224">
        <f t="shared" si="83"/>
        <v>1674750</v>
      </c>
      <c r="M1184" s="223"/>
      <c r="N1184" s="223"/>
      <c r="O1184" s="61"/>
      <c r="P1184" s="69" t="str">
        <f t="shared" si="90"/>
        <v>Piutang Usaha</v>
      </c>
      <c r="Q1184" s="61"/>
    </row>
    <row r="1185" spans="1:17" hidden="1" x14ac:dyDescent="0.25">
      <c r="A1185" s="60" t="str">
        <f t="shared" si="88"/>
        <v>248112</v>
      </c>
      <c r="B1185" s="60">
        <f>COUNTIF($J$7:J1185,J1185)</f>
        <v>248</v>
      </c>
      <c r="C1185" s="60" t="str">
        <f t="shared" si="89"/>
        <v>60112,01</v>
      </c>
      <c r="D1185" s="60">
        <f>COUNTIF($K$7:K1185,K1185)</f>
        <v>60</v>
      </c>
      <c r="E1185" s="61"/>
      <c r="F1185" s="227">
        <v>44606</v>
      </c>
      <c r="G1185" s="72">
        <f t="shared" si="87"/>
        <v>44651</v>
      </c>
      <c r="H1185" s="228" t="s">
        <v>850</v>
      </c>
      <c r="I1185" s="228" t="s">
        <v>18</v>
      </c>
      <c r="J1185" s="64">
        <v>112</v>
      </c>
      <c r="K1185" s="65">
        <v>112.01</v>
      </c>
      <c r="L1185" s="224">
        <f t="shared" si="83"/>
        <v>3349500</v>
      </c>
      <c r="M1185" s="223"/>
      <c r="N1185" s="223"/>
      <c r="O1185" s="61"/>
      <c r="P1185" s="69" t="str">
        <f t="shared" si="90"/>
        <v>Piutang Usaha</v>
      </c>
      <c r="Q1185" s="61"/>
    </row>
    <row r="1186" spans="1:17" hidden="1" x14ac:dyDescent="0.25">
      <c r="A1186" s="60" t="str">
        <f t="shared" si="88"/>
        <v>249112</v>
      </c>
      <c r="B1186" s="60">
        <f>COUNTIF($J$7:J1186,J1186)</f>
        <v>249</v>
      </c>
      <c r="C1186" s="60" t="str">
        <f t="shared" si="89"/>
        <v>61112,01</v>
      </c>
      <c r="D1186" s="60">
        <f>COUNTIF($K$7:K1186,K1186)</f>
        <v>61</v>
      </c>
      <c r="E1186" s="61"/>
      <c r="F1186" s="227">
        <v>44606</v>
      </c>
      <c r="G1186" s="72">
        <f t="shared" si="87"/>
        <v>44651</v>
      </c>
      <c r="H1186" s="228" t="s">
        <v>850</v>
      </c>
      <c r="I1186" s="228" t="s">
        <v>18</v>
      </c>
      <c r="J1186" s="64">
        <v>112</v>
      </c>
      <c r="K1186" s="65">
        <v>112.01</v>
      </c>
      <c r="L1186" s="224">
        <f t="shared" si="83"/>
        <v>6699000</v>
      </c>
      <c r="M1186" s="223"/>
      <c r="N1186" s="223"/>
      <c r="O1186" s="61"/>
      <c r="P1186" s="69" t="str">
        <f t="shared" si="90"/>
        <v>Piutang Usaha</v>
      </c>
      <c r="Q1186" s="61"/>
    </row>
    <row r="1187" spans="1:17" hidden="1" x14ac:dyDescent="0.25">
      <c r="A1187" s="60" t="str">
        <f t="shared" si="88"/>
        <v>250112</v>
      </c>
      <c r="B1187" s="60">
        <f>COUNTIF($J$7:J1187,J1187)</f>
        <v>250</v>
      </c>
      <c r="C1187" s="60" t="str">
        <f t="shared" si="89"/>
        <v>62112,01</v>
      </c>
      <c r="D1187" s="60">
        <f>COUNTIF($K$7:K1187,K1187)</f>
        <v>62</v>
      </c>
      <c r="E1187" s="61"/>
      <c r="F1187" s="227">
        <v>44608</v>
      </c>
      <c r="G1187" s="72">
        <f t="shared" si="87"/>
        <v>44653</v>
      </c>
      <c r="H1187" s="228" t="s">
        <v>851</v>
      </c>
      <c r="I1187" s="228" t="s">
        <v>18</v>
      </c>
      <c r="J1187" s="64">
        <v>112</v>
      </c>
      <c r="K1187" s="65">
        <v>112.01</v>
      </c>
      <c r="L1187" s="224">
        <f t="shared" si="83"/>
        <v>3608000</v>
      </c>
      <c r="M1187" s="223"/>
      <c r="N1187" s="223"/>
      <c r="O1187" s="61"/>
      <c r="P1187" s="69" t="str">
        <f t="shared" si="90"/>
        <v>Piutang Usaha</v>
      </c>
      <c r="Q1187" s="61"/>
    </row>
    <row r="1188" spans="1:17" hidden="1" x14ac:dyDescent="0.25">
      <c r="A1188" s="60" t="str">
        <f t="shared" si="88"/>
        <v>251112</v>
      </c>
      <c r="B1188" s="60">
        <f>COUNTIF($J$7:J1188,J1188)</f>
        <v>251</v>
      </c>
      <c r="C1188" s="60" t="str">
        <f t="shared" si="89"/>
        <v>63112,01</v>
      </c>
      <c r="D1188" s="60">
        <f>COUNTIF($K$7:K1188,K1188)</f>
        <v>63</v>
      </c>
      <c r="E1188" s="61"/>
      <c r="F1188" s="227">
        <v>44608</v>
      </c>
      <c r="G1188" s="72">
        <f t="shared" si="87"/>
        <v>44653</v>
      </c>
      <c r="H1188" s="228" t="s">
        <v>851</v>
      </c>
      <c r="I1188" s="228" t="s">
        <v>18</v>
      </c>
      <c r="J1188" s="64">
        <v>112</v>
      </c>
      <c r="K1188" s="65">
        <v>112.01</v>
      </c>
      <c r="L1188" s="224">
        <f t="shared" si="83"/>
        <v>3608000</v>
      </c>
      <c r="M1188" s="223"/>
      <c r="N1188" s="223"/>
      <c r="O1188" s="61"/>
      <c r="P1188" s="69" t="str">
        <f t="shared" si="90"/>
        <v>Piutang Usaha</v>
      </c>
      <c r="Q1188" s="61"/>
    </row>
    <row r="1189" spans="1:17" hidden="1" x14ac:dyDescent="0.25">
      <c r="A1189" s="60" t="str">
        <f t="shared" si="88"/>
        <v>252112</v>
      </c>
      <c r="B1189" s="60">
        <f>COUNTIF($J$7:J1189,J1189)</f>
        <v>252</v>
      </c>
      <c r="C1189" s="60" t="str">
        <f t="shared" si="89"/>
        <v>64112,01</v>
      </c>
      <c r="D1189" s="60">
        <f>COUNTIF($K$7:K1189,K1189)</f>
        <v>64</v>
      </c>
      <c r="E1189" s="61"/>
      <c r="F1189" s="227">
        <v>44613</v>
      </c>
      <c r="G1189" s="72">
        <f t="shared" si="87"/>
        <v>44658</v>
      </c>
      <c r="H1189" s="228" t="s">
        <v>852</v>
      </c>
      <c r="I1189" s="228" t="s">
        <v>18</v>
      </c>
      <c r="J1189" s="64">
        <v>112</v>
      </c>
      <c r="K1189" s="65">
        <v>112.01</v>
      </c>
      <c r="L1189" s="224">
        <f t="shared" si="83"/>
        <v>5915250</v>
      </c>
      <c r="M1189" s="223"/>
      <c r="N1189" s="223"/>
      <c r="O1189" s="61"/>
      <c r="P1189" s="69" t="str">
        <f t="shared" si="90"/>
        <v>Piutang Usaha</v>
      </c>
      <c r="Q1189" s="61"/>
    </row>
    <row r="1190" spans="1:17" hidden="1" x14ac:dyDescent="0.25">
      <c r="A1190" s="60" t="str">
        <f t="shared" si="88"/>
        <v>253112</v>
      </c>
      <c r="B1190" s="60">
        <f>COUNTIF($J$7:J1190,J1190)</f>
        <v>253</v>
      </c>
      <c r="C1190" s="60" t="str">
        <f t="shared" si="89"/>
        <v>65112,01</v>
      </c>
      <c r="D1190" s="60">
        <f>COUNTIF($K$7:K1190,K1190)</f>
        <v>65</v>
      </c>
      <c r="E1190" s="61"/>
      <c r="F1190" s="227">
        <v>44613</v>
      </c>
      <c r="G1190" s="72">
        <f t="shared" si="87"/>
        <v>44658</v>
      </c>
      <c r="H1190" s="228" t="s">
        <v>852</v>
      </c>
      <c r="I1190" s="228" t="s">
        <v>18</v>
      </c>
      <c r="J1190" s="64">
        <v>112</v>
      </c>
      <c r="K1190" s="65">
        <v>112.01</v>
      </c>
      <c r="L1190" s="224">
        <f t="shared" si="83"/>
        <v>7887000</v>
      </c>
      <c r="M1190" s="223"/>
      <c r="N1190" s="223"/>
      <c r="O1190" s="61"/>
      <c r="P1190" s="69" t="str">
        <f t="shared" si="90"/>
        <v>Piutang Usaha</v>
      </c>
      <c r="Q1190" s="61"/>
    </row>
    <row r="1191" spans="1:17" hidden="1" x14ac:dyDescent="0.25">
      <c r="A1191" s="60" t="str">
        <f t="shared" si="88"/>
        <v>254112</v>
      </c>
      <c r="B1191" s="60">
        <f>COUNTIF($J$7:J1191,J1191)</f>
        <v>254</v>
      </c>
      <c r="C1191" s="60" t="str">
        <f t="shared" si="89"/>
        <v>66112,01</v>
      </c>
      <c r="D1191" s="60">
        <f>COUNTIF($K$7:K1191,K1191)</f>
        <v>66</v>
      </c>
      <c r="E1191" s="61"/>
      <c r="F1191" s="227">
        <v>44613</v>
      </c>
      <c r="G1191" s="72">
        <f t="shared" si="87"/>
        <v>44658</v>
      </c>
      <c r="H1191" s="228" t="s">
        <v>852</v>
      </c>
      <c r="I1191" s="228" t="s">
        <v>18</v>
      </c>
      <c r="J1191" s="64">
        <v>112</v>
      </c>
      <c r="K1191" s="65">
        <v>112.01</v>
      </c>
      <c r="L1191" s="224">
        <f t="shared" si="83"/>
        <v>7887000</v>
      </c>
      <c r="M1191" s="223"/>
      <c r="N1191" s="223"/>
      <c r="O1191" s="61"/>
      <c r="P1191" s="69" t="str">
        <f t="shared" si="90"/>
        <v>Piutang Usaha</v>
      </c>
      <c r="Q1191" s="61"/>
    </row>
    <row r="1192" spans="1:17" hidden="1" x14ac:dyDescent="0.25">
      <c r="A1192" s="60" t="str">
        <f t="shared" si="88"/>
        <v>255112</v>
      </c>
      <c r="B1192" s="60">
        <f>COUNTIF($J$7:J1192,J1192)</f>
        <v>255</v>
      </c>
      <c r="C1192" s="60" t="str">
        <f t="shared" si="89"/>
        <v>67112,01</v>
      </c>
      <c r="D1192" s="60">
        <f>COUNTIF($K$7:K1192,K1192)</f>
        <v>67</v>
      </c>
      <c r="E1192" s="61"/>
      <c r="F1192" s="227">
        <v>44613</v>
      </c>
      <c r="G1192" s="72">
        <f t="shared" si="87"/>
        <v>44658</v>
      </c>
      <c r="H1192" s="228" t="s">
        <v>852</v>
      </c>
      <c r="I1192" s="228" t="s">
        <v>18</v>
      </c>
      <c r="J1192" s="64">
        <v>112</v>
      </c>
      <c r="K1192" s="65">
        <v>112.01</v>
      </c>
      <c r="L1192" s="224">
        <f t="shared" si="83"/>
        <v>3943500</v>
      </c>
      <c r="M1192" s="223"/>
      <c r="N1192" s="223"/>
      <c r="O1192" s="61"/>
      <c r="P1192" s="69" t="str">
        <f t="shared" si="90"/>
        <v>Piutang Usaha</v>
      </c>
      <c r="Q1192" s="61"/>
    </row>
    <row r="1193" spans="1:17" hidden="1" x14ac:dyDescent="0.25">
      <c r="A1193" s="60" t="str">
        <f t="shared" si="88"/>
        <v>256112</v>
      </c>
      <c r="B1193" s="60">
        <f>COUNTIF($J$7:J1193,J1193)</f>
        <v>256</v>
      </c>
      <c r="C1193" s="60" t="str">
        <f t="shared" si="89"/>
        <v>68112,01</v>
      </c>
      <c r="D1193" s="60">
        <f>COUNTIF($K$7:K1193,K1193)</f>
        <v>68</v>
      </c>
      <c r="E1193" s="61"/>
      <c r="F1193" s="227">
        <v>44615</v>
      </c>
      <c r="G1193" s="72">
        <f t="shared" si="87"/>
        <v>44660</v>
      </c>
      <c r="H1193" s="228" t="s">
        <v>853</v>
      </c>
      <c r="I1193" s="228" t="s">
        <v>18</v>
      </c>
      <c r="J1193" s="64">
        <v>112</v>
      </c>
      <c r="K1193" s="65">
        <v>112.01</v>
      </c>
      <c r="L1193" s="224">
        <f t="shared" si="83"/>
        <v>5915250</v>
      </c>
      <c r="M1193" s="223"/>
      <c r="N1193" s="223"/>
      <c r="O1193" s="61"/>
      <c r="P1193" s="69" t="str">
        <f t="shared" si="90"/>
        <v>Piutang Usaha</v>
      </c>
      <c r="Q1193" s="61"/>
    </row>
    <row r="1194" spans="1:17" hidden="1" x14ac:dyDescent="0.25">
      <c r="A1194" s="60" t="str">
        <f t="shared" si="88"/>
        <v>257112</v>
      </c>
      <c r="B1194" s="60">
        <f>COUNTIF($J$7:J1194,J1194)</f>
        <v>257</v>
      </c>
      <c r="C1194" s="60" t="str">
        <f t="shared" si="89"/>
        <v>69112,01</v>
      </c>
      <c r="D1194" s="60">
        <f>COUNTIF($K$7:K1194,K1194)</f>
        <v>69</v>
      </c>
      <c r="E1194" s="61"/>
      <c r="F1194" s="227">
        <v>44615</v>
      </c>
      <c r="G1194" s="72">
        <f t="shared" si="87"/>
        <v>44660</v>
      </c>
      <c r="H1194" s="228" t="s">
        <v>853</v>
      </c>
      <c r="I1194" s="228" t="s">
        <v>18</v>
      </c>
      <c r="J1194" s="64">
        <v>112</v>
      </c>
      <c r="K1194" s="65">
        <v>112.01</v>
      </c>
      <c r="L1194" s="224">
        <f t="shared" si="83"/>
        <v>9858750</v>
      </c>
      <c r="M1194" s="223"/>
      <c r="N1194" s="223"/>
      <c r="O1194" s="61"/>
      <c r="P1194" s="69" t="str">
        <f t="shared" si="90"/>
        <v>Piutang Usaha</v>
      </c>
      <c r="Q1194" s="61"/>
    </row>
    <row r="1195" spans="1:17" hidden="1" x14ac:dyDescent="0.25">
      <c r="A1195" s="60" t="str">
        <f t="shared" si="88"/>
        <v>258112</v>
      </c>
      <c r="B1195" s="60">
        <f>COUNTIF($J$7:J1195,J1195)</f>
        <v>258</v>
      </c>
      <c r="C1195" s="60" t="str">
        <f t="shared" si="89"/>
        <v>70112,01</v>
      </c>
      <c r="D1195" s="60">
        <f>COUNTIF($K$7:K1195,K1195)</f>
        <v>70</v>
      </c>
      <c r="E1195" s="61"/>
      <c r="F1195" s="227">
        <v>44615</v>
      </c>
      <c r="G1195" s="72">
        <f t="shared" si="87"/>
        <v>44660</v>
      </c>
      <c r="H1195" s="228" t="s">
        <v>853</v>
      </c>
      <c r="I1195" s="228" t="s">
        <v>18</v>
      </c>
      <c r="J1195" s="64">
        <v>112</v>
      </c>
      <c r="K1195" s="65">
        <v>112.01</v>
      </c>
      <c r="L1195" s="224">
        <f t="shared" si="83"/>
        <v>5915250</v>
      </c>
      <c r="M1195" s="223"/>
      <c r="N1195" s="223"/>
      <c r="O1195" s="61"/>
      <c r="P1195" s="69" t="str">
        <f t="shared" si="90"/>
        <v>Piutang Usaha</v>
      </c>
      <c r="Q1195" s="61"/>
    </row>
    <row r="1196" spans="1:17" hidden="1" x14ac:dyDescent="0.25">
      <c r="A1196" s="60" t="str">
        <f t="shared" si="88"/>
        <v>259112</v>
      </c>
      <c r="B1196" s="60">
        <f>COUNTIF($J$7:J1196,J1196)</f>
        <v>259</v>
      </c>
      <c r="C1196" s="60" t="str">
        <f t="shared" si="89"/>
        <v>71112,01</v>
      </c>
      <c r="D1196" s="60">
        <f>COUNTIF($K$7:K1196,K1196)</f>
        <v>71</v>
      </c>
      <c r="E1196" s="61"/>
      <c r="F1196" s="227">
        <v>44617</v>
      </c>
      <c r="G1196" s="72">
        <f t="shared" si="87"/>
        <v>44662</v>
      </c>
      <c r="H1196" s="228" t="s">
        <v>854</v>
      </c>
      <c r="I1196" s="228" t="s">
        <v>18</v>
      </c>
      <c r="J1196" s="64">
        <v>112</v>
      </c>
      <c r="K1196" s="65">
        <v>112.01</v>
      </c>
      <c r="L1196" s="224">
        <f t="shared" ref="L1196:L1259" si="91">M1439+M1682</f>
        <v>902000</v>
      </c>
      <c r="M1196" s="223"/>
      <c r="N1196" s="223"/>
      <c r="O1196" s="61"/>
      <c r="P1196" s="69" t="str">
        <f t="shared" si="90"/>
        <v>Piutang Usaha</v>
      </c>
      <c r="Q1196" s="61"/>
    </row>
    <row r="1197" spans="1:17" hidden="1" x14ac:dyDescent="0.25">
      <c r="A1197" s="60" t="str">
        <f t="shared" si="88"/>
        <v>260112</v>
      </c>
      <c r="B1197" s="60">
        <f>COUNTIF($J$7:J1197,J1197)</f>
        <v>260</v>
      </c>
      <c r="C1197" s="60" t="str">
        <f t="shared" si="89"/>
        <v>72112,01</v>
      </c>
      <c r="D1197" s="60">
        <f>COUNTIF($K$7:K1197,K1197)</f>
        <v>72</v>
      </c>
      <c r="E1197" s="61"/>
      <c r="F1197" s="227">
        <v>44617</v>
      </c>
      <c r="G1197" s="72">
        <f t="shared" si="87"/>
        <v>44662</v>
      </c>
      <c r="H1197" s="228" t="s">
        <v>855</v>
      </c>
      <c r="I1197" s="228" t="s">
        <v>18</v>
      </c>
      <c r="J1197" s="64">
        <v>112</v>
      </c>
      <c r="K1197" s="65">
        <v>112.01</v>
      </c>
      <c r="L1197" s="224">
        <f t="shared" si="91"/>
        <v>1947000</v>
      </c>
      <c r="M1197" s="223"/>
      <c r="N1197" s="223"/>
      <c r="O1197" s="61"/>
      <c r="P1197" s="69" t="str">
        <f t="shared" si="90"/>
        <v>Piutang Usaha</v>
      </c>
      <c r="Q1197" s="61"/>
    </row>
    <row r="1198" spans="1:17" hidden="1" x14ac:dyDescent="0.25">
      <c r="A1198" s="60" t="str">
        <f t="shared" si="88"/>
        <v>261112</v>
      </c>
      <c r="B1198" s="60">
        <f>COUNTIF($J$7:J1198,J1198)</f>
        <v>261</v>
      </c>
      <c r="C1198" s="60" t="str">
        <f t="shared" si="89"/>
        <v>73112,01</v>
      </c>
      <c r="D1198" s="60">
        <f>COUNTIF($K$7:K1198,K1198)</f>
        <v>73</v>
      </c>
      <c r="E1198" s="61"/>
      <c r="F1198" s="227">
        <v>44617</v>
      </c>
      <c r="G1198" s="72">
        <f t="shared" si="87"/>
        <v>44662</v>
      </c>
      <c r="H1198" s="228" t="s">
        <v>855</v>
      </c>
      <c r="I1198" s="228" t="s">
        <v>18</v>
      </c>
      <c r="J1198" s="64">
        <v>112</v>
      </c>
      <c r="K1198" s="65">
        <v>112.01</v>
      </c>
      <c r="L1198" s="224">
        <f t="shared" si="91"/>
        <v>3894000</v>
      </c>
      <c r="M1198" s="223"/>
      <c r="N1198" s="223"/>
      <c r="O1198" s="61"/>
      <c r="P1198" s="69" t="str">
        <f t="shared" si="90"/>
        <v>Piutang Usaha</v>
      </c>
      <c r="Q1198" s="61"/>
    </row>
    <row r="1199" spans="1:17" hidden="1" x14ac:dyDescent="0.25">
      <c r="A1199" s="60" t="str">
        <f t="shared" si="88"/>
        <v>262112</v>
      </c>
      <c r="B1199" s="60">
        <f>COUNTIF($J$7:J1199,J1199)</f>
        <v>262</v>
      </c>
      <c r="C1199" s="60" t="str">
        <f t="shared" si="89"/>
        <v>74112,01</v>
      </c>
      <c r="D1199" s="60">
        <f>COUNTIF($K$7:K1199,K1199)</f>
        <v>74</v>
      </c>
      <c r="E1199" s="61"/>
      <c r="F1199" s="227">
        <v>44617</v>
      </c>
      <c r="G1199" s="72">
        <f t="shared" si="87"/>
        <v>44662</v>
      </c>
      <c r="H1199" s="228" t="s">
        <v>855</v>
      </c>
      <c r="I1199" s="228" t="s">
        <v>18</v>
      </c>
      <c r="J1199" s="64">
        <v>112</v>
      </c>
      <c r="K1199" s="65">
        <v>112.01</v>
      </c>
      <c r="L1199" s="224">
        <f t="shared" si="91"/>
        <v>3894000</v>
      </c>
      <c r="M1199" s="223"/>
      <c r="N1199" s="223"/>
      <c r="O1199" s="61"/>
      <c r="P1199" s="69" t="str">
        <f t="shared" si="90"/>
        <v>Piutang Usaha</v>
      </c>
      <c r="Q1199" s="61"/>
    </row>
    <row r="1200" spans="1:17" hidden="1" x14ac:dyDescent="0.25">
      <c r="A1200" s="60" t="str">
        <f t="shared" si="88"/>
        <v>263112</v>
      </c>
      <c r="B1200" s="60">
        <f>COUNTIF($J$7:J1200,J1200)</f>
        <v>263</v>
      </c>
      <c r="C1200" s="60" t="str">
        <f t="shared" si="89"/>
        <v>75112,01</v>
      </c>
      <c r="D1200" s="60">
        <f>COUNTIF($K$7:K1200,K1200)</f>
        <v>75</v>
      </c>
      <c r="E1200" s="61"/>
      <c r="F1200" s="227">
        <v>44617</v>
      </c>
      <c r="G1200" s="72">
        <f t="shared" si="87"/>
        <v>44662</v>
      </c>
      <c r="H1200" s="228" t="s">
        <v>855</v>
      </c>
      <c r="I1200" s="228" t="s">
        <v>18</v>
      </c>
      <c r="J1200" s="64">
        <v>112</v>
      </c>
      <c r="K1200" s="65">
        <v>112.01</v>
      </c>
      <c r="L1200" s="224">
        <f t="shared" si="91"/>
        <v>1947000</v>
      </c>
      <c r="M1200" s="223"/>
      <c r="N1200" s="223"/>
      <c r="O1200" s="61"/>
      <c r="P1200" s="69" t="str">
        <f t="shared" si="90"/>
        <v>Piutang Usaha</v>
      </c>
      <c r="Q1200" s="61"/>
    </row>
    <row r="1201" spans="1:17" hidden="1" x14ac:dyDescent="0.25">
      <c r="A1201" s="60" t="str">
        <f t="shared" si="88"/>
        <v>264112</v>
      </c>
      <c r="B1201" s="60">
        <f>COUNTIF($J$7:J1201,J1201)</f>
        <v>264</v>
      </c>
      <c r="C1201" s="60" t="str">
        <f t="shared" si="89"/>
        <v>76112,01</v>
      </c>
      <c r="D1201" s="60">
        <f>COUNTIF($K$7:K1201,K1201)</f>
        <v>76</v>
      </c>
      <c r="E1201" s="61"/>
      <c r="F1201" s="227">
        <v>44617</v>
      </c>
      <c r="G1201" s="72">
        <f t="shared" si="87"/>
        <v>44662</v>
      </c>
      <c r="H1201" s="228" t="s">
        <v>855</v>
      </c>
      <c r="I1201" s="228" t="s">
        <v>18</v>
      </c>
      <c r="J1201" s="64">
        <v>112</v>
      </c>
      <c r="K1201" s="65">
        <v>112.01</v>
      </c>
      <c r="L1201" s="224">
        <f t="shared" si="91"/>
        <v>2301750</v>
      </c>
      <c r="M1201" s="223"/>
      <c r="N1201" s="223"/>
      <c r="O1201" s="61"/>
      <c r="P1201" s="69" t="str">
        <f t="shared" si="90"/>
        <v>Piutang Usaha</v>
      </c>
      <c r="Q1201" s="61"/>
    </row>
    <row r="1202" spans="1:17" hidden="1" x14ac:dyDescent="0.25">
      <c r="A1202" s="60" t="str">
        <f t="shared" si="88"/>
        <v>265112</v>
      </c>
      <c r="B1202" s="60">
        <f>COUNTIF($J$7:J1202,J1202)</f>
        <v>265</v>
      </c>
      <c r="C1202" s="60" t="str">
        <f t="shared" si="89"/>
        <v>77112,01</v>
      </c>
      <c r="D1202" s="60">
        <f>COUNTIF($K$7:K1202,K1202)</f>
        <v>77</v>
      </c>
      <c r="E1202" s="61"/>
      <c r="F1202" s="227">
        <v>44617</v>
      </c>
      <c r="G1202" s="72">
        <f t="shared" si="87"/>
        <v>44662</v>
      </c>
      <c r="H1202" s="228" t="s">
        <v>855</v>
      </c>
      <c r="I1202" s="228" t="s">
        <v>18</v>
      </c>
      <c r="J1202" s="64">
        <v>112</v>
      </c>
      <c r="K1202" s="65">
        <v>112.01</v>
      </c>
      <c r="L1202" s="224">
        <f t="shared" si="91"/>
        <v>2301750</v>
      </c>
      <c r="M1202" s="223"/>
      <c r="N1202" s="223"/>
      <c r="O1202" s="61"/>
      <c r="P1202" s="69" t="str">
        <f t="shared" si="90"/>
        <v>Piutang Usaha</v>
      </c>
      <c r="Q1202" s="61"/>
    </row>
    <row r="1203" spans="1:17" hidden="1" x14ac:dyDescent="0.25">
      <c r="A1203" s="60" t="str">
        <f t="shared" si="88"/>
        <v>266112</v>
      </c>
      <c r="B1203" s="60">
        <f>COUNTIF($J$7:J1203,J1203)</f>
        <v>266</v>
      </c>
      <c r="C1203" s="60" t="str">
        <f t="shared" si="89"/>
        <v>78112,01</v>
      </c>
      <c r="D1203" s="60">
        <f>COUNTIF($K$7:K1203,K1203)</f>
        <v>78</v>
      </c>
      <c r="E1203" s="61"/>
      <c r="F1203" s="227">
        <v>44617</v>
      </c>
      <c r="G1203" s="72">
        <f t="shared" si="87"/>
        <v>44662</v>
      </c>
      <c r="H1203" s="228" t="s">
        <v>855</v>
      </c>
      <c r="I1203" s="228" t="s">
        <v>18</v>
      </c>
      <c r="J1203" s="64">
        <v>112</v>
      </c>
      <c r="K1203" s="65">
        <v>112.01</v>
      </c>
      <c r="L1203" s="224">
        <f t="shared" si="91"/>
        <v>2301750</v>
      </c>
      <c r="M1203" s="223"/>
      <c r="N1203" s="223"/>
      <c r="O1203" s="61"/>
      <c r="P1203" s="69" t="str">
        <f t="shared" si="90"/>
        <v>Piutang Usaha</v>
      </c>
      <c r="Q1203" s="61"/>
    </row>
    <row r="1204" spans="1:17" hidden="1" x14ac:dyDescent="0.25">
      <c r="A1204" s="60" t="str">
        <f t="shared" si="88"/>
        <v>267112</v>
      </c>
      <c r="B1204" s="60">
        <f>COUNTIF($J$7:J1204,J1204)</f>
        <v>267</v>
      </c>
      <c r="C1204" s="60" t="str">
        <f t="shared" si="89"/>
        <v>79112,01</v>
      </c>
      <c r="D1204" s="60">
        <f>COUNTIF($K$7:K1204,K1204)</f>
        <v>79</v>
      </c>
      <c r="E1204" s="61"/>
      <c r="F1204" s="227">
        <v>44617</v>
      </c>
      <c r="G1204" s="72">
        <f t="shared" si="87"/>
        <v>44662</v>
      </c>
      <c r="H1204" s="228" t="s">
        <v>855</v>
      </c>
      <c r="I1204" s="228" t="s">
        <v>18</v>
      </c>
      <c r="J1204" s="64">
        <v>112</v>
      </c>
      <c r="K1204" s="65">
        <v>112.01</v>
      </c>
      <c r="L1204" s="224">
        <f t="shared" si="91"/>
        <v>2301750</v>
      </c>
      <c r="M1204" s="223"/>
      <c r="N1204" s="223"/>
      <c r="O1204" s="61"/>
      <c r="P1204" s="69" t="str">
        <f t="shared" si="90"/>
        <v>Piutang Usaha</v>
      </c>
      <c r="Q1204" s="61"/>
    </row>
    <row r="1205" spans="1:17" hidden="1" x14ac:dyDescent="0.25">
      <c r="A1205" s="60" t="str">
        <f t="shared" si="88"/>
        <v>268112</v>
      </c>
      <c r="B1205" s="60">
        <f>COUNTIF($J$7:J1205,J1205)</f>
        <v>268</v>
      </c>
      <c r="C1205" s="60" t="str">
        <f t="shared" si="89"/>
        <v>26112,02</v>
      </c>
      <c r="D1205" s="60">
        <f>COUNTIF($K$7:K1205,K1205)</f>
        <v>26</v>
      </c>
      <c r="E1205" s="61"/>
      <c r="F1205" s="227">
        <v>44599</v>
      </c>
      <c r="G1205" s="72">
        <f t="shared" ref="G1205:G1226" si="92">F1205+30</f>
        <v>44629</v>
      </c>
      <c r="H1205" s="228" t="s">
        <v>856</v>
      </c>
      <c r="I1205" s="228" t="s">
        <v>20</v>
      </c>
      <c r="J1205" s="64">
        <v>112</v>
      </c>
      <c r="K1205" s="80">
        <v>112.02</v>
      </c>
      <c r="L1205" s="224">
        <f t="shared" si="91"/>
        <v>3608000</v>
      </c>
      <c r="M1205" s="223"/>
      <c r="N1205" s="223"/>
      <c r="O1205" s="61"/>
      <c r="P1205" s="69" t="str">
        <f t="shared" si="90"/>
        <v>Piutang Usaha</v>
      </c>
      <c r="Q1205" s="61"/>
    </row>
    <row r="1206" spans="1:17" hidden="1" x14ac:dyDescent="0.25">
      <c r="A1206" s="60" t="str">
        <f t="shared" si="88"/>
        <v>269112</v>
      </c>
      <c r="B1206" s="60">
        <f>COUNTIF($J$7:J1206,J1206)</f>
        <v>269</v>
      </c>
      <c r="C1206" s="60" t="str">
        <f t="shared" si="89"/>
        <v>27112,02</v>
      </c>
      <c r="D1206" s="60">
        <f>COUNTIF($K$7:K1206,K1206)</f>
        <v>27</v>
      </c>
      <c r="E1206" s="61"/>
      <c r="F1206" s="227">
        <v>44599</v>
      </c>
      <c r="G1206" s="72">
        <f t="shared" si="92"/>
        <v>44629</v>
      </c>
      <c r="H1206" s="228" t="s">
        <v>856</v>
      </c>
      <c r="I1206" s="228" t="s">
        <v>20</v>
      </c>
      <c r="J1206" s="64">
        <v>112</v>
      </c>
      <c r="K1206" s="80">
        <v>112.02</v>
      </c>
      <c r="L1206" s="224">
        <f t="shared" si="91"/>
        <v>902000</v>
      </c>
      <c r="M1206" s="223"/>
      <c r="N1206" s="223"/>
      <c r="O1206" s="61"/>
      <c r="P1206" s="69" t="str">
        <f t="shared" si="90"/>
        <v>Piutang Usaha</v>
      </c>
      <c r="Q1206" s="61"/>
    </row>
    <row r="1207" spans="1:17" hidden="1" x14ac:dyDescent="0.25">
      <c r="A1207" s="60" t="str">
        <f t="shared" si="88"/>
        <v>270112</v>
      </c>
      <c r="B1207" s="60">
        <f>COUNTIF($J$7:J1207,J1207)</f>
        <v>270</v>
      </c>
      <c r="C1207" s="60" t="str">
        <f t="shared" si="89"/>
        <v>28112,02</v>
      </c>
      <c r="D1207" s="60">
        <f>COUNTIF($K$7:K1207,K1207)</f>
        <v>28</v>
      </c>
      <c r="E1207" s="61"/>
      <c r="F1207" s="227">
        <v>44599</v>
      </c>
      <c r="G1207" s="72">
        <f t="shared" si="92"/>
        <v>44629</v>
      </c>
      <c r="H1207" s="228" t="s">
        <v>857</v>
      </c>
      <c r="I1207" s="228" t="s">
        <v>20</v>
      </c>
      <c r="J1207" s="64">
        <v>112</v>
      </c>
      <c r="K1207" s="80">
        <v>112.02</v>
      </c>
      <c r="L1207" s="224">
        <f t="shared" si="91"/>
        <v>5841000</v>
      </c>
      <c r="M1207" s="223"/>
      <c r="N1207" s="223"/>
      <c r="O1207" s="61"/>
      <c r="P1207" s="69" t="str">
        <f t="shared" si="90"/>
        <v>Piutang Usaha</v>
      </c>
      <c r="Q1207" s="61"/>
    </row>
    <row r="1208" spans="1:17" hidden="1" x14ac:dyDescent="0.25">
      <c r="A1208" s="60" t="str">
        <f t="shared" si="88"/>
        <v>271112</v>
      </c>
      <c r="B1208" s="60">
        <f>COUNTIF($J$7:J1208,J1208)</f>
        <v>271</v>
      </c>
      <c r="C1208" s="60" t="str">
        <f t="shared" si="89"/>
        <v>29112,02</v>
      </c>
      <c r="D1208" s="60">
        <f>COUNTIF($K$7:K1208,K1208)</f>
        <v>29</v>
      </c>
      <c r="E1208" s="61"/>
      <c r="F1208" s="227">
        <v>44599</v>
      </c>
      <c r="G1208" s="72">
        <f t="shared" si="92"/>
        <v>44629</v>
      </c>
      <c r="H1208" s="228" t="s">
        <v>857</v>
      </c>
      <c r="I1208" s="228" t="s">
        <v>20</v>
      </c>
      <c r="J1208" s="64">
        <v>112</v>
      </c>
      <c r="K1208" s="80">
        <v>112.02</v>
      </c>
      <c r="L1208" s="224">
        <f t="shared" si="91"/>
        <v>1947000</v>
      </c>
      <c r="M1208" s="223"/>
      <c r="N1208" s="223"/>
      <c r="O1208" s="61"/>
      <c r="P1208" s="69" t="str">
        <f t="shared" si="90"/>
        <v>Piutang Usaha</v>
      </c>
      <c r="Q1208" s="61"/>
    </row>
    <row r="1209" spans="1:17" hidden="1" x14ac:dyDescent="0.25">
      <c r="A1209" s="60" t="str">
        <f t="shared" si="88"/>
        <v>272112</v>
      </c>
      <c r="B1209" s="60">
        <f>COUNTIF($J$7:J1209,J1209)</f>
        <v>272</v>
      </c>
      <c r="C1209" s="60" t="str">
        <f t="shared" si="89"/>
        <v>30112,02</v>
      </c>
      <c r="D1209" s="60">
        <f>COUNTIF($K$7:K1209,K1209)</f>
        <v>30</v>
      </c>
      <c r="E1209" s="61"/>
      <c r="F1209" s="227">
        <v>44599</v>
      </c>
      <c r="G1209" s="72">
        <f t="shared" si="92"/>
        <v>44629</v>
      </c>
      <c r="H1209" s="228" t="s">
        <v>857</v>
      </c>
      <c r="I1209" s="228" t="s">
        <v>20</v>
      </c>
      <c r="J1209" s="64">
        <v>112</v>
      </c>
      <c r="K1209" s="80">
        <v>112.02</v>
      </c>
      <c r="L1209" s="224">
        <f t="shared" si="91"/>
        <v>1947000</v>
      </c>
      <c r="M1209" s="223"/>
      <c r="N1209" s="223"/>
      <c r="O1209" s="61"/>
      <c r="P1209" s="69" t="str">
        <f t="shared" si="90"/>
        <v>Piutang Usaha</v>
      </c>
      <c r="Q1209" s="61"/>
    </row>
    <row r="1210" spans="1:17" hidden="1" x14ac:dyDescent="0.25">
      <c r="A1210" s="60" t="str">
        <f t="shared" si="88"/>
        <v>273112</v>
      </c>
      <c r="B1210" s="60">
        <f>COUNTIF($J$7:J1210,J1210)</f>
        <v>273</v>
      </c>
      <c r="C1210" s="60" t="str">
        <f t="shared" si="89"/>
        <v>31112,02</v>
      </c>
      <c r="D1210" s="60">
        <f>COUNTIF($K$7:K1210,K1210)</f>
        <v>31</v>
      </c>
      <c r="E1210" s="61"/>
      <c r="F1210" s="227">
        <v>44599</v>
      </c>
      <c r="G1210" s="72">
        <f t="shared" si="92"/>
        <v>44629</v>
      </c>
      <c r="H1210" s="228" t="s">
        <v>857</v>
      </c>
      <c r="I1210" s="228" t="s">
        <v>20</v>
      </c>
      <c r="J1210" s="64">
        <v>112</v>
      </c>
      <c r="K1210" s="80">
        <v>112.02</v>
      </c>
      <c r="L1210" s="224">
        <f t="shared" si="91"/>
        <v>6905250</v>
      </c>
      <c r="M1210" s="223"/>
      <c r="N1210" s="223"/>
      <c r="O1210" s="61"/>
      <c r="P1210" s="69" t="str">
        <f t="shared" si="90"/>
        <v>Piutang Usaha</v>
      </c>
      <c r="Q1210" s="61"/>
    </row>
    <row r="1211" spans="1:17" hidden="1" x14ac:dyDescent="0.25">
      <c r="A1211" s="60" t="str">
        <f t="shared" si="88"/>
        <v>274112</v>
      </c>
      <c r="B1211" s="60">
        <f>COUNTIF($J$7:J1211,J1211)</f>
        <v>274</v>
      </c>
      <c r="C1211" s="60" t="str">
        <f t="shared" si="89"/>
        <v>32112,02</v>
      </c>
      <c r="D1211" s="60">
        <f>COUNTIF($K$7:K1211,K1211)</f>
        <v>32</v>
      </c>
      <c r="E1211" s="61"/>
      <c r="F1211" s="227">
        <v>44599</v>
      </c>
      <c r="G1211" s="72">
        <f t="shared" si="92"/>
        <v>44629</v>
      </c>
      <c r="H1211" s="228" t="s">
        <v>857</v>
      </c>
      <c r="I1211" s="228" t="s">
        <v>20</v>
      </c>
      <c r="J1211" s="64">
        <v>112</v>
      </c>
      <c r="K1211" s="80">
        <v>112.02</v>
      </c>
      <c r="L1211" s="224">
        <f t="shared" si="91"/>
        <v>6905250</v>
      </c>
      <c r="M1211" s="223"/>
      <c r="N1211" s="223"/>
      <c r="O1211" s="61"/>
      <c r="P1211" s="69" t="str">
        <f t="shared" si="90"/>
        <v>Piutang Usaha</v>
      </c>
      <c r="Q1211" s="61"/>
    </row>
    <row r="1212" spans="1:17" hidden="1" x14ac:dyDescent="0.25">
      <c r="A1212" s="60" t="str">
        <f t="shared" si="88"/>
        <v>275112</v>
      </c>
      <c r="B1212" s="60">
        <f>COUNTIF($J$7:J1212,J1212)</f>
        <v>275</v>
      </c>
      <c r="C1212" s="60" t="str">
        <f t="shared" si="89"/>
        <v>33112,02</v>
      </c>
      <c r="D1212" s="60">
        <f>COUNTIF($K$7:K1212,K1212)</f>
        <v>33</v>
      </c>
      <c r="E1212" s="61"/>
      <c r="F1212" s="227">
        <v>44599</v>
      </c>
      <c r="G1212" s="72">
        <f t="shared" si="92"/>
        <v>44629</v>
      </c>
      <c r="H1212" s="228" t="s">
        <v>857</v>
      </c>
      <c r="I1212" s="228" t="s">
        <v>20</v>
      </c>
      <c r="J1212" s="64">
        <v>112</v>
      </c>
      <c r="K1212" s="80">
        <v>112.02</v>
      </c>
      <c r="L1212" s="224">
        <f t="shared" si="91"/>
        <v>2301750</v>
      </c>
      <c r="M1212" s="223"/>
      <c r="N1212" s="223"/>
      <c r="O1212" s="61"/>
      <c r="P1212" s="69" t="str">
        <f t="shared" si="90"/>
        <v>Piutang Usaha</v>
      </c>
      <c r="Q1212" s="61"/>
    </row>
    <row r="1213" spans="1:17" hidden="1" x14ac:dyDescent="0.25">
      <c r="A1213" s="60" t="str">
        <f t="shared" si="88"/>
        <v>276112</v>
      </c>
      <c r="B1213" s="60">
        <f>COUNTIF($J$7:J1213,J1213)</f>
        <v>276</v>
      </c>
      <c r="C1213" s="60" t="str">
        <f t="shared" si="89"/>
        <v>34112,02</v>
      </c>
      <c r="D1213" s="60">
        <f>COUNTIF($K$7:K1213,K1213)</f>
        <v>34</v>
      </c>
      <c r="E1213" s="61"/>
      <c r="F1213" s="227">
        <v>44601</v>
      </c>
      <c r="G1213" s="72">
        <f t="shared" si="92"/>
        <v>44631</v>
      </c>
      <c r="H1213" s="228" t="s">
        <v>858</v>
      </c>
      <c r="I1213" s="228" t="s">
        <v>20</v>
      </c>
      <c r="J1213" s="64">
        <v>112</v>
      </c>
      <c r="K1213" s="80">
        <v>112.02</v>
      </c>
      <c r="L1213" s="224">
        <f t="shared" si="91"/>
        <v>5841000</v>
      </c>
      <c r="M1213" s="223"/>
      <c r="N1213" s="223"/>
      <c r="O1213" s="61"/>
      <c r="P1213" s="69" t="str">
        <f t="shared" si="90"/>
        <v>Piutang Usaha</v>
      </c>
      <c r="Q1213" s="61"/>
    </row>
    <row r="1214" spans="1:17" hidden="1" x14ac:dyDescent="0.25">
      <c r="A1214" s="60" t="str">
        <f t="shared" si="88"/>
        <v>277112</v>
      </c>
      <c r="B1214" s="60">
        <f>COUNTIF($J$7:J1214,J1214)</f>
        <v>277</v>
      </c>
      <c r="C1214" s="60" t="str">
        <f t="shared" si="89"/>
        <v>35112,02</v>
      </c>
      <c r="D1214" s="60">
        <f>COUNTIF($K$7:K1214,K1214)</f>
        <v>35</v>
      </c>
      <c r="E1214" s="61"/>
      <c r="F1214" s="227">
        <v>44601</v>
      </c>
      <c r="G1214" s="72">
        <f t="shared" si="92"/>
        <v>44631</v>
      </c>
      <c r="H1214" s="228" t="s">
        <v>858</v>
      </c>
      <c r="I1214" s="228" t="s">
        <v>20</v>
      </c>
      <c r="J1214" s="64">
        <v>112</v>
      </c>
      <c r="K1214" s="80">
        <v>112.02</v>
      </c>
      <c r="L1214" s="224">
        <f t="shared" si="91"/>
        <v>4603500</v>
      </c>
      <c r="M1214" s="223"/>
      <c r="N1214" s="223"/>
      <c r="O1214" s="61"/>
      <c r="P1214" s="69" t="str">
        <f t="shared" si="90"/>
        <v>Piutang Usaha</v>
      </c>
      <c r="Q1214" s="61"/>
    </row>
    <row r="1215" spans="1:17" hidden="1" x14ac:dyDescent="0.25">
      <c r="A1215" s="60" t="str">
        <f t="shared" si="88"/>
        <v>278112</v>
      </c>
      <c r="B1215" s="60">
        <f>COUNTIF($J$7:J1215,J1215)</f>
        <v>278</v>
      </c>
      <c r="C1215" s="60" t="str">
        <f t="shared" si="89"/>
        <v>36112,02</v>
      </c>
      <c r="D1215" s="60">
        <f>COUNTIF($K$7:K1215,K1215)</f>
        <v>36</v>
      </c>
      <c r="E1215" s="61"/>
      <c r="F1215" s="227">
        <v>44601</v>
      </c>
      <c r="G1215" s="72">
        <f t="shared" si="92"/>
        <v>44631</v>
      </c>
      <c r="H1215" s="228" t="s">
        <v>858</v>
      </c>
      <c r="I1215" s="228" t="s">
        <v>20</v>
      </c>
      <c r="J1215" s="64">
        <v>112</v>
      </c>
      <c r="K1215" s="80">
        <v>112.02</v>
      </c>
      <c r="L1215" s="224">
        <f t="shared" si="91"/>
        <v>4603500</v>
      </c>
      <c r="M1215" s="223"/>
      <c r="N1215" s="223"/>
      <c r="O1215" s="61"/>
      <c r="P1215" s="69" t="str">
        <f t="shared" si="90"/>
        <v>Piutang Usaha</v>
      </c>
      <c r="Q1215" s="61"/>
    </row>
    <row r="1216" spans="1:17" hidden="1" x14ac:dyDescent="0.25">
      <c r="A1216" s="60" t="str">
        <f t="shared" si="88"/>
        <v>279112</v>
      </c>
      <c r="B1216" s="60">
        <f>COUNTIF($J$7:J1216,J1216)</f>
        <v>279</v>
      </c>
      <c r="C1216" s="60" t="str">
        <f t="shared" si="89"/>
        <v>37112,02</v>
      </c>
      <c r="D1216" s="60">
        <f>COUNTIF($K$7:K1216,K1216)</f>
        <v>37</v>
      </c>
      <c r="E1216" s="61"/>
      <c r="F1216" s="227">
        <v>44601</v>
      </c>
      <c r="G1216" s="72">
        <f t="shared" si="92"/>
        <v>44631</v>
      </c>
      <c r="H1216" s="228" t="s">
        <v>858</v>
      </c>
      <c r="I1216" s="228" t="s">
        <v>20</v>
      </c>
      <c r="J1216" s="64">
        <v>112</v>
      </c>
      <c r="K1216" s="80">
        <v>112.02</v>
      </c>
      <c r="L1216" s="224">
        <f t="shared" si="91"/>
        <v>4603500</v>
      </c>
      <c r="M1216" s="223"/>
      <c r="N1216" s="223"/>
      <c r="O1216" s="61"/>
      <c r="P1216" s="69" t="str">
        <f t="shared" si="90"/>
        <v>Piutang Usaha</v>
      </c>
      <c r="Q1216" s="61"/>
    </row>
    <row r="1217" spans="1:17" hidden="1" x14ac:dyDescent="0.25">
      <c r="A1217" s="60" t="str">
        <f t="shared" si="88"/>
        <v>280112</v>
      </c>
      <c r="B1217" s="60">
        <f>COUNTIF($J$7:J1217,J1217)</f>
        <v>280</v>
      </c>
      <c r="C1217" s="60" t="str">
        <f t="shared" si="89"/>
        <v>38112,02</v>
      </c>
      <c r="D1217" s="60">
        <f>COUNTIF($K$7:K1217,K1217)</f>
        <v>38</v>
      </c>
      <c r="E1217" s="61"/>
      <c r="F1217" s="227">
        <v>44601</v>
      </c>
      <c r="G1217" s="72">
        <f t="shared" si="92"/>
        <v>44631</v>
      </c>
      <c r="H1217" s="228" t="s">
        <v>859</v>
      </c>
      <c r="I1217" s="228" t="s">
        <v>20</v>
      </c>
      <c r="J1217" s="64">
        <v>112</v>
      </c>
      <c r="K1217" s="80">
        <v>112.02</v>
      </c>
      <c r="L1217" s="224">
        <f t="shared" si="91"/>
        <v>11508750</v>
      </c>
      <c r="M1217" s="223"/>
      <c r="N1217" s="223"/>
      <c r="O1217" s="61"/>
      <c r="P1217" s="69" t="str">
        <f t="shared" si="90"/>
        <v>Piutang Usaha</v>
      </c>
      <c r="Q1217" s="61"/>
    </row>
    <row r="1218" spans="1:17" hidden="1" x14ac:dyDescent="0.25">
      <c r="A1218" s="60" t="str">
        <f t="shared" si="88"/>
        <v>281112</v>
      </c>
      <c r="B1218" s="60">
        <f>COUNTIF($J$7:J1218,J1218)</f>
        <v>281</v>
      </c>
      <c r="C1218" s="60" t="str">
        <f t="shared" si="89"/>
        <v>39112,02</v>
      </c>
      <c r="D1218" s="60">
        <f>COUNTIF($K$7:K1218,K1218)</f>
        <v>39</v>
      </c>
      <c r="E1218" s="61"/>
      <c r="F1218" s="227">
        <v>44601</v>
      </c>
      <c r="G1218" s="72">
        <f t="shared" si="92"/>
        <v>44631</v>
      </c>
      <c r="H1218" s="228" t="s">
        <v>859</v>
      </c>
      <c r="I1218" s="228" t="s">
        <v>20</v>
      </c>
      <c r="J1218" s="64">
        <v>112</v>
      </c>
      <c r="K1218" s="80">
        <v>112.02</v>
      </c>
      <c r="L1218" s="224">
        <f t="shared" si="91"/>
        <v>11508750</v>
      </c>
      <c r="M1218" s="223"/>
      <c r="N1218" s="223"/>
      <c r="O1218" s="61"/>
      <c r="P1218" s="69" t="str">
        <f t="shared" si="90"/>
        <v>Piutang Usaha</v>
      </c>
      <c r="Q1218" s="61"/>
    </row>
    <row r="1219" spans="1:17" hidden="1" x14ac:dyDescent="0.25">
      <c r="A1219" s="60" t="str">
        <f t="shared" si="88"/>
        <v>282112</v>
      </c>
      <c r="B1219" s="60">
        <f>COUNTIF($J$7:J1219,J1219)</f>
        <v>282</v>
      </c>
      <c r="C1219" s="60" t="str">
        <f t="shared" si="89"/>
        <v>40112,02</v>
      </c>
      <c r="D1219" s="60">
        <f>COUNTIF($K$7:K1219,K1219)</f>
        <v>40</v>
      </c>
      <c r="E1219" s="61"/>
      <c r="F1219" s="227">
        <v>44601</v>
      </c>
      <c r="G1219" s="72">
        <f t="shared" si="92"/>
        <v>44631</v>
      </c>
      <c r="H1219" s="228" t="s">
        <v>859</v>
      </c>
      <c r="I1219" s="228" t="s">
        <v>20</v>
      </c>
      <c r="J1219" s="64">
        <v>112</v>
      </c>
      <c r="K1219" s="80">
        <v>112.02</v>
      </c>
      <c r="L1219" s="224">
        <f t="shared" si="91"/>
        <v>2301750</v>
      </c>
      <c r="M1219" s="223"/>
      <c r="N1219" s="223"/>
      <c r="O1219" s="61"/>
      <c r="P1219" s="69" t="str">
        <f t="shared" si="90"/>
        <v>Piutang Usaha</v>
      </c>
      <c r="Q1219" s="61"/>
    </row>
    <row r="1220" spans="1:17" hidden="1" x14ac:dyDescent="0.25">
      <c r="A1220" s="60" t="str">
        <f t="shared" si="88"/>
        <v>283112</v>
      </c>
      <c r="B1220" s="60">
        <f>COUNTIF($J$7:J1220,J1220)</f>
        <v>283</v>
      </c>
      <c r="C1220" s="60" t="str">
        <f t="shared" si="89"/>
        <v>41112,02</v>
      </c>
      <c r="D1220" s="60">
        <f>COUNTIF($K$7:K1220,K1220)</f>
        <v>41</v>
      </c>
      <c r="E1220" s="61"/>
      <c r="F1220" s="227">
        <v>44610</v>
      </c>
      <c r="G1220" s="72">
        <f t="shared" si="92"/>
        <v>44640</v>
      </c>
      <c r="H1220" s="228" t="s">
        <v>860</v>
      </c>
      <c r="I1220" s="228" t="s">
        <v>20</v>
      </c>
      <c r="J1220" s="64">
        <v>112</v>
      </c>
      <c r="K1220" s="80">
        <v>112.02</v>
      </c>
      <c r="L1220" s="224">
        <f t="shared" si="91"/>
        <v>4603500</v>
      </c>
      <c r="M1220" s="223"/>
      <c r="N1220" s="223"/>
      <c r="O1220" s="61"/>
      <c r="P1220" s="69" t="str">
        <f t="shared" si="90"/>
        <v>Piutang Usaha</v>
      </c>
      <c r="Q1220" s="61"/>
    </row>
    <row r="1221" spans="1:17" hidden="1" x14ac:dyDescent="0.25">
      <c r="A1221" s="60" t="str">
        <f t="shared" si="88"/>
        <v>284112</v>
      </c>
      <c r="B1221" s="60">
        <f>COUNTIF($J$7:J1221,J1221)</f>
        <v>284</v>
      </c>
      <c r="C1221" s="60" t="str">
        <f t="shared" si="89"/>
        <v>42112,02</v>
      </c>
      <c r="D1221" s="60">
        <f>COUNTIF($K$7:K1221,K1221)</f>
        <v>42</v>
      </c>
      <c r="E1221" s="61"/>
      <c r="F1221" s="227">
        <v>44610</v>
      </c>
      <c r="G1221" s="72">
        <f t="shared" si="92"/>
        <v>44640</v>
      </c>
      <c r="H1221" s="228" t="s">
        <v>860</v>
      </c>
      <c r="I1221" s="228" t="s">
        <v>20</v>
      </c>
      <c r="J1221" s="64">
        <v>112</v>
      </c>
      <c r="K1221" s="80">
        <v>112.02</v>
      </c>
      <c r="L1221" s="224">
        <f t="shared" si="91"/>
        <v>6905250</v>
      </c>
      <c r="M1221" s="223"/>
      <c r="N1221" s="223"/>
      <c r="O1221" s="61"/>
      <c r="P1221" s="69" t="str">
        <f t="shared" si="90"/>
        <v>Piutang Usaha</v>
      </c>
      <c r="Q1221" s="61"/>
    </row>
    <row r="1222" spans="1:17" hidden="1" x14ac:dyDescent="0.25">
      <c r="A1222" s="60" t="str">
        <f t="shared" si="88"/>
        <v>285112</v>
      </c>
      <c r="B1222" s="60">
        <f>COUNTIF($J$7:J1222,J1222)</f>
        <v>285</v>
      </c>
      <c r="C1222" s="60" t="str">
        <f t="shared" si="89"/>
        <v>43112,02</v>
      </c>
      <c r="D1222" s="60">
        <f>COUNTIF($K$7:K1222,K1222)</f>
        <v>43</v>
      </c>
      <c r="E1222" s="61"/>
      <c r="F1222" s="227">
        <v>44610</v>
      </c>
      <c r="G1222" s="72">
        <f t="shared" si="92"/>
        <v>44640</v>
      </c>
      <c r="H1222" s="228" t="s">
        <v>860</v>
      </c>
      <c r="I1222" s="228" t="s">
        <v>20</v>
      </c>
      <c r="J1222" s="64">
        <v>112</v>
      </c>
      <c r="K1222" s="80">
        <v>112.02</v>
      </c>
      <c r="L1222" s="224">
        <f t="shared" si="91"/>
        <v>6905250</v>
      </c>
      <c r="M1222" s="223"/>
      <c r="N1222" s="223"/>
      <c r="O1222" s="61"/>
      <c r="P1222" s="69" t="str">
        <f t="shared" si="90"/>
        <v>Piutang Usaha</v>
      </c>
      <c r="Q1222" s="61"/>
    </row>
    <row r="1223" spans="1:17" hidden="1" x14ac:dyDescent="0.25">
      <c r="A1223" s="60" t="str">
        <f t="shared" ref="A1223:A1286" si="93">B1223&amp;J1223</f>
        <v>286112</v>
      </c>
      <c r="B1223" s="60">
        <f>COUNTIF($J$7:J1223,J1223)</f>
        <v>286</v>
      </c>
      <c r="C1223" s="60" t="str">
        <f t="shared" ref="C1223:C1286" si="94">D1223&amp;K1223</f>
        <v>44112,02</v>
      </c>
      <c r="D1223" s="60">
        <f>COUNTIF($K$7:K1223,K1223)</f>
        <v>44</v>
      </c>
      <c r="E1223" s="61"/>
      <c r="F1223" s="227">
        <v>44610</v>
      </c>
      <c r="G1223" s="72">
        <f t="shared" si="92"/>
        <v>44640</v>
      </c>
      <c r="H1223" s="228" t="s">
        <v>860</v>
      </c>
      <c r="I1223" s="228" t="s">
        <v>20</v>
      </c>
      <c r="J1223" s="64">
        <v>112</v>
      </c>
      <c r="K1223" s="80">
        <v>112.02</v>
      </c>
      <c r="L1223" s="224">
        <f t="shared" si="91"/>
        <v>2301750</v>
      </c>
      <c r="M1223" s="223"/>
      <c r="N1223" s="223"/>
      <c r="O1223" s="61"/>
      <c r="P1223" s="69" t="str">
        <f t="shared" ref="P1223:P1286" si="95">IF(J1223=0,"-",+VLOOKUP(J1223,DAF_AKUN,2,FALSE))</f>
        <v>Piutang Usaha</v>
      </c>
      <c r="Q1223" s="61"/>
    </row>
    <row r="1224" spans="1:17" hidden="1" x14ac:dyDescent="0.25">
      <c r="A1224" s="60" t="str">
        <f t="shared" si="93"/>
        <v>287112</v>
      </c>
      <c r="B1224" s="60">
        <f>COUNTIF($J$7:J1224,J1224)</f>
        <v>287</v>
      </c>
      <c r="C1224" s="60" t="str">
        <f t="shared" si="94"/>
        <v>45112,02</v>
      </c>
      <c r="D1224" s="60">
        <f>COUNTIF($K$7:K1224,K1224)</f>
        <v>45</v>
      </c>
      <c r="E1224" s="61"/>
      <c r="F1224" s="227">
        <v>44610</v>
      </c>
      <c r="G1224" s="72">
        <f t="shared" si="92"/>
        <v>44640</v>
      </c>
      <c r="H1224" s="228" t="s">
        <v>860</v>
      </c>
      <c r="I1224" s="228" t="s">
        <v>20</v>
      </c>
      <c r="J1224" s="64">
        <v>112</v>
      </c>
      <c r="K1224" s="80">
        <v>112.02</v>
      </c>
      <c r="L1224" s="224">
        <f t="shared" si="91"/>
        <v>3894000</v>
      </c>
      <c r="M1224" s="223"/>
      <c r="N1224" s="223"/>
      <c r="O1224" s="61"/>
      <c r="P1224" s="69" t="str">
        <f t="shared" si="95"/>
        <v>Piutang Usaha</v>
      </c>
      <c r="Q1224" s="61"/>
    </row>
    <row r="1225" spans="1:17" hidden="1" x14ac:dyDescent="0.25">
      <c r="A1225" s="60" t="str">
        <f t="shared" si="93"/>
        <v>288112</v>
      </c>
      <c r="B1225" s="60">
        <f>COUNTIF($J$7:J1225,J1225)</f>
        <v>288</v>
      </c>
      <c r="C1225" s="60" t="str">
        <f t="shared" si="94"/>
        <v>46112,02</v>
      </c>
      <c r="D1225" s="60">
        <f>COUNTIF($K$7:K1225,K1225)</f>
        <v>46</v>
      </c>
      <c r="E1225" s="61"/>
      <c r="F1225" s="227">
        <v>44610</v>
      </c>
      <c r="G1225" s="72">
        <f t="shared" si="92"/>
        <v>44640</v>
      </c>
      <c r="H1225" s="228" t="s">
        <v>861</v>
      </c>
      <c r="I1225" s="228" t="s">
        <v>20</v>
      </c>
      <c r="J1225" s="64">
        <v>112</v>
      </c>
      <c r="K1225" s="80">
        <v>112.02</v>
      </c>
      <c r="L1225" s="224">
        <f t="shared" si="91"/>
        <v>3608000</v>
      </c>
      <c r="M1225" s="223"/>
      <c r="N1225" s="223"/>
      <c r="O1225" s="61"/>
      <c r="P1225" s="69" t="str">
        <f t="shared" si="95"/>
        <v>Piutang Usaha</v>
      </c>
      <c r="Q1225" s="61"/>
    </row>
    <row r="1226" spans="1:17" hidden="1" x14ac:dyDescent="0.25">
      <c r="A1226" s="60" t="str">
        <f t="shared" si="93"/>
        <v>289112</v>
      </c>
      <c r="B1226" s="60">
        <f>COUNTIF($J$7:J1226,J1226)</f>
        <v>289</v>
      </c>
      <c r="C1226" s="60" t="str">
        <f t="shared" si="94"/>
        <v>47112,02</v>
      </c>
      <c r="D1226" s="60">
        <f>COUNTIF($K$7:K1226,K1226)</f>
        <v>47</v>
      </c>
      <c r="E1226" s="61"/>
      <c r="F1226" s="227">
        <v>44610</v>
      </c>
      <c r="G1226" s="72">
        <f t="shared" si="92"/>
        <v>44640</v>
      </c>
      <c r="H1226" s="228" t="s">
        <v>861</v>
      </c>
      <c r="I1226" s="228" t="s">
        <v>20</v>
      </c>
      <c r="J1226" s="64">
        <v>112</v>
      </c>
      <c r="K1226" s="80">
        <v>112.02</v>
      </c>
      <c r="L1226" s="224">
        <f t="shared" si="91"/>
        <v>902000</v>
      </c>
      <c r="M1226" s="223"/>
      <c r="N1226" s="223"/>
      <c r="O1226" s="61"/>
      <c r="P1226" s="69" t="str">
        <f t="shared" si="95"/>
        <v>Piutang Usaha</v>
      </c>
      <c r="Q1226" s="61"/>
    </row>
    <row r="1227" spans="1:17" hidden="1" x14ac:dyDescent="0.25">
      <c r="A1227" s="60" t="str">
        <f t="shared" si="93"/>
        <v>290112</v>
      </c>
      <c r="B1227" s="60">
        <f>COUNTIF($J$7:J1227,J1227)</f>
        <v>290</v>
      </c>
      <c r="C1227" s="60" t="str">
        <f t="shared" si="94"/>
        <v>1112,09</v>
      </c>
      <c r="D1227" s="60">
        <f>COUNTIF($K$7:K1227,K1227)</f>
        <v>1</v>
      </c>
      <c r="E1227" s="61"/>
      <c r="F1227" s="227">
        <v>44600</v>
      </c>
      <c r="G1227" s="229">
        <f>F1227+30</f>
        <v>44630</v>
      </c>
      <c r="H1227" s="228" t="s">
        <v>862</v>
      </c>
      <c r="I1227" s="228" t="s">
        <v>863</v>
      </c>
      <c r="J1227" s="64">
        <v>112</v>
      </c>
      <c r="K1227" s="80">
        <v>112.09</v>
      </c>
      <c r="L1227" s="224">
        <f t="shared" si="91"/>
        <v>24090000</v>
      </c>
      <c r="M1227" s="223"/>
      <c r="N1227" s="223"/>
      <c r="O1227" s="61"/>
      <c r="P1227" s="69" t="str">
        <f t="shared" si="95"/>
        <v>Piutang Usaha</v>
      </c>
      <c r="Q1227" s="61"/>
    </row>
    <row r="1228" spans="1:17" hidden="1" x14ac:dyDescent="0.25">
      <c r="A1228" s="60" t="str">
        <f t="shared" si="93"/>
        <v>291112</v>
      </c>
      <c r="B1228" s="60">
        <f>COUNTIF($J$7:J1228,J1228)</f>
        <v>291</v>
      </c>
      <c r="C1228" s="60" t="str">
        <f t="shared" si="94"/>
        <v>2112,09</v>
      </c>
      <c r="D1228" s="60">
        <f>COUNTIF($K$7:K1228,K1228)</f>
        <v>2</v>
      </c>
      <c r="E1228" s="61"/>
      <c r="F1228" s="227">
        <v>44600</v>
      </c>
      <c r="G1228" s="229">
        <f t="shared" ref="G1228:G1233" si="96">F1228+30</f>
        <v>44630</v>
      </c>
      <c r="H1228" s="228" t="s">
        <v>862</v>
      </c>
      <c r="I1228" s="228" t="s">
        <v>863</v>
      </c>
      <c r="J1228" s="64">
        <v>112</v>
      </c>
      <c r="K1228" s="80">
        <v>112.09</v>
      </c>
      <c r="L1228" s="224">
        <f t="shared" si="91"/>
        <v>12045000</v>
      </c>
      <c r="M1228" s="223"/>
      <c r="N1228" s="223"/>
      <c r="O1228" s="61"/>
      <c r="P1228" s="69" t="str">
        <f t="shared" si="95"/>
        <v>Piutang Usaha</v>
      </c>
      <c r="Q1228" s="61"/>
    </row>
    <row r="1229" spans="1:17" hidden="1" x14ac:dyDescent="0.25">
      <c r="A1229" s="60" t="str">
        <f t="shared" si="93"/>
        <v>292112</v>
      </c>
      <c r="B1229" s="60">
        <f>COUNTIF($J$7:J1229,J1229)</f>
        <v>292</v>
      </c>
      <c r="C1229" s="60" t="str">
        <f t="shared" si="94"/>
        <v>3112,09</v>
      </c>
      <c r="D1229" s="60">
        <f>COUNTIF($K$7:K1229,K1229)</f>
        <v>3</v>
      </c>
      <c r="E1229" s="61"/>
      <c r="F1229" s="227">
        <v>44600</v>
      </c>
      <c r="G1229" s="229">
        <f t="shared" si="96"/>
        <v>44630</v>
      </c>
      <c r="H1229" s="228" t="s">
        <v>862</v>
      </c>
      <c r="I1229" s="228" t="s">
        <v>863</v>
      </c>
      <c r="J1229" s="64">
        <v>112</v>
      </c>
      <c r="K1229" s="80">
        <v>112.09</v>
      </c>
      <c r="L1229" s="224">
        <f t="shared" si="91"/>
        <v>7227000</v>
      </c>
      <c r="M1229" s="223"/>
      <c r="N1229" s="223"/>
      <c r="O1229" s="61"/>
      <c r="P1229" s="69" t="str">
        <f t="shared" si="95"/>
        <v>Piutang Usaha</v>
      </c>
      <c r="Q1229" s="61"/>
    </row>
    <row r="1230" spans="1:17" hidden="1" x14ac:dyDescent="0.25">
      <c r="A1230" s="60" t="str">
        <f t="shared" si="93"/>
        <v>293112</v>
      </c>
      <c r="B1230" s="60">
        <f>COUNTIF($J$7:J1230,J1230)</f>
        <v>293</v>
      </c>
      <c r="C1230" s="60" t="str">
        <f t="shared" si="94"/>
        <v>4112,09</v>
      </c>
      <c r="D1230" s="60">
        <f>COUNTIF($K$7:K1230,K1230)</f>
        <v>4</v>
      </c>
      <c r="E1230" s="61"/>
      <c r="F1230" s="227">
        <v>44600</v>
      </c>
      <c r="G1230" s="229">
        <f t="shared" si="96"/>
        <v>44630</v>
      </c>
      <c r="H1230" s="228" t="s">
        <v>862</v>
      </c>
      <c r="I1230" s="228" t="s">
        <v>863</v>
      </c>
      <c r="J1230" s="64">
        <v>112</v>
      </c>
      <c r="K1230" s="80">
        <v>112.09</v>
      </c>
      <c r="L1230" s="224">
        <f t="shared" si="91"/>
        <v>19965000</v>
      </c>
      <c r="M1230" s="223"/>
      <c r="N1230" s="223"/>
      <c r="O1230" s="61"/>
      <c r="P1230" s="69" t="str">
        <f t="shared" si="95"/>
        <v>Piutang Usaha</v>
      </c>
      <c r="Q1230" s="61"/>
    </row>
    <row r="1231" spans="1:17" hidden="1" x14ac:dyDescent="0.25">
      <c r="A1231" s="60" t="str">
        <f t="shared" si="93"/>
        <v>294112</v>
      </c>
      <c r="B1231" s="60">
        <f>COUNTIF($J$7:J1231,J1231)</f>
        <v>294</v>
      </c>
      <c r="C1231" s="60" t="str">
        <f t="shared" si="94"/>
        <v>5112,09</v>
      </c>
      <c r="D1231" s="60">
        <f>COUNTIF($K$7:K1231,K1231)</f>
        <v>5</v>
      </c>
      <c r="E1231" s="61"/>
      <c r="F1231" s="227">
        <v>44600</v>
      </c>
      <c r="G1231" s="229">
        <f t="shared" si="96"/>
        <v>44630</v>
      </c>
      <c r="H1231" s="228" t="s">
        <v>862</v>
      </c>
      <c r="I1231" s="228" t="s">
        <v>863</v>
      </c>
      <c r="J1231" s="64">
        <v>112</v>
      </c>
      <c r="K1231" s="80">
        <v>112.09</v>
      </c>
      <c r="L1231" s="224">
        <f t="shared" si="91"/>
        <v>9982500</v>
      </c>
      <c r="M1231" s="223"/>
      <c r="N1231" s="223"/>
      <c r="O1231" s="61"/>
      <c r="P1231" s="69" t="str">
        <f t="shared" si="95"/>
        <v>Piutang Usaha</v>
      </c>
      <c r="Q1231" s="61"/>
    </row>
    <row r="1232" spans="1:17" hidden="1" x14ac:dyDescent="0.25">
      <c r="A1232" s="60" t="str">
        <f t="shared" si="93"/>
        <v>295112</v>
      </c>
      <c r="B1232" s="60">
        <f>COUNTIF($J$7:J1232,J1232)</f>
        <v>295</v>
      </c>
      <c r="C1232" s="60" t="str">
        <f t="shared" si="94"/>
        <v>6112,09</v>
      </c>
      <c r="D1232" s="60">
        <f>COUNTIF($K$7:K1232,K1232)</f>
        <v>6</v>
      </c>
      <c r="E1232" s="61"/>
      <c r="F1232" s="227">
        <v>44600</v>
      </c>
      <c r="G1232" s="229">
        <f t="shared" si="96"/>
        <v>44630</v>
      </c>
      <c r="H1232" s="228" t="s">
        <v>862</v>
      </c>
      <c r="I1232" s="228" t="s">
        <v>863</v>
      </c>
      <c r="J1232" s="64">
        <v>112</v>
      </c>
      <c r="K1232" s="80">
        <v>112.09</v>
      </c>
      <c r="L1232" s="224">
        <f t="shared" si="91"/>
        <v>43362000</v>
      </c>
      <c r="M1232" s="223"/>
      <c r="N1232" s="223"/>
      <c r="O1232" s="61"/>
      <c r="P1232" s="69" t="str">
        <f t="shared" si="95"/>
        <v>Piutang Usaha</v>
      </c>
      <c r="Q1232" s="61"/>
    </row>
    <row r="1233" spans="1:17" hidden="1" x14ac:dyDescent="0.25">
      <c r="A1233" s="60" t="str">
        <f t="shared" si="93"/>
        <v>296112</v>
      </c>
      <c r="B1233" s="60">
        <f>COUNTIF($J$7:J1233,J1233)</f>
        <v>296</v>
      </c>
      <c r="C1233" s="60" t="str">
        <f t="shared" si="94"/>
        <v>7112,09</v>
      </c>
      <c r="D1233" s="60">
        <f>COUNTIF($K$7:K1233,K1233)</f>
        <v>7</v>
      </c>
      <c r="E1233" s="61"/>
      <c r="F1233" s="227">
        <v>44600</v>
      </c>
      <c r="G1233" s="229">
        <f t="shared" si="96"/>
        <v>44630</v>
      </c>
      <c r="H1233" s="228" t="s">
        <v>862</v>
      </c>
      <c r="I1233" s="228" t="s">
        <v>863</v>
      </c>
      <c r="J1233" s="64">
        <v>112</v>
      </c>
      <c r="K1233" s="80">
        <v>112.09</v>
      </c>
      <c r="L1233" s="224">
        <f t="shared" si="91"/>
        <v>4818000</v>
      </c>
      <c r="M1233" s="223"/>
      <c r="N1233" s="223"/>
      <c r="O1233" s="61"/>
      <c r="P1233" s="69" t="str">
        <f t="shared" si="95"/>
        <v>Piutang Usaha</v>
      </c>
      <c r="Q1233" s="61"/>
    </row>
    <row r="1234" spans="1:17" hidden="1" x14ac:dyDescent="0.25">
      <c r="A1234" s="60" t="str">
        <f t="shared" si="93"/>
        <v>297112</v>
      </c>
      <c r="B1234" s="60">
        <f>COUNTIF($J$7:J1234,J1234)</f>
        <v>297</v>
      </c>
      <c r="C1234" s="60" t="str">
        <f t="shared" si="94"/>
        <v>5112,04</v>
      </c>
      <c r="D1234" s="60">
        <f>COUNTIF($K$7:K1234,K1234)</f>
        <v>5</v>
      </c>
      <c r="E1234" s="61"/>
      <c r="F1234" s="227">
        <v>44594</v>
      </c>
      <c r="G1234" s="229">
        <f>F1234+30</f>
        <v>44624</v>
      </c>
      <c r="H1234" s="228" t="s">
        <v>864</v>
      </c>
      <c r="I1234" s="228" t="s">
        <v>26</v>
      </c>
      <c r="J1234" s="64">
        <v>112</v>
      </c>
      <c r="K1234" s="80">
        <v>112.04</v>
      </c>
      <c r="L1234" s="224">
        <f t="shared" si="91"/>
        <v>1870000</v>
      </c>
      <c r="M1234" s="223"/>
      <c r="N1234" s="223"/>
      <c r="O1234" s="61"/>
      <c r="P1234" s="69" t="str">
        <f t="shared" si="95"/>
        <v>Piutang Usaha</v>
      </c>
      <c r="Q1234" s="61"/>
    </row>
    <row r="1235" spans="1:17" hidden="1" x14ac:dyDescent="0.25">
      <c r="A1235" s="60" t="str">
        <f t="shared" si="93"/>
        <v>298112</v>
      </c>
      <c r="B1235" s="60">
        <f>COUNTIF($J$7:J1235,J1235)</f>
        <v>298</v>
      </c>
      <c r="C1235" s="60" t="str">
        <f t="shared" si="94"/>
        <v>6112,04</v>
      </c>
      <c r="D1235" s="60">
        <f>COUNTIF($K$7:K1235,K1235)</f>
        <v>6</v>
      </c>
      <c r="E1235" s="61"/>
      <c r="F1235" s="227">
        <v>44601</v>
      </c>
      <c r="G1235" s="229">
        <f t="shared" ref="G1235:G1272" si="97">F1235+30</f>
        <v>44631</v>
      </c>
      <c r="H1235" s="228" t="s">
        <v>865</v>
      </c>
      <c r="I1235" s="228" t="s">
        <v>26</v>
      </c>
      <c r="J1235" s="64">
        <v>112</v>
      </c>
      <c r="K1235" s="80">
        <v>112.04</v>
      </c>
      <c r="L1235" s="224">
        <f t="shared" si="91"/>
        <v>935000</v>
      </c>
      <c r="M1235" s="223"/>
      <c r="N1235" s="223"/>
      <c r="O1235" s="61"/>
      <c r="P1235" s="69" t="str">
        <f t="shared" si="95"/>
        <v>Piutang Usaha</v>
      </c>
      <c r="Q1235" s="61"/>
    </row>
    <row r="1236" spans="1:17" hidden="1" x14ac:dyDescent="0.25">
      <c r="A1236" s="60" t="str">
        <f t="shared" si="93"/>
        <v>299112</v>
      </c>
      <c r="B1236" s="60">
        <f>COUNTIF($J$7:J1236,J1236)</f>
        <v>299</v>
      </c>
      <c r="C1236" s="60" t="str">
        <f t="shared" si="94"/>
        <v>7112,04</v>
      </c>
      <c r="D1236" s="60">
        <f>COUNTIF($K$7:K1236,K1236)</f>
        <v>7</v>
      </c>
      <c r="E1236" s="61"/>
      <c r="F1236" s="227">
        <v>44601</v>
      </c>
      <c r="G1236" s="229">
        <f t="shared" si="97"/>
        <v>44631</v>
      </c>
      <c r="H1236" s="228" t="s">
        <v>865</v>
      </c>
      <c r="I1236" s="228" t="s">
        <v>26</v>
      </c>
      <c r="J1236" s="64">
        <v>112</v>
      </c>
      <c r="K1236" s="80">
        <v>112.04</v>
      </c>
      <c r="L1236" s="224">
        <f t="shared" si="91"/>
        <v>935000</v>
      </c>
      <c r="M1236" s="223"/>
      <c r="N1236" s="223"/>
      <c r="O1236" s="61"/>
      <c r="P1236" s="69" t="str">
        <f t="shared" si="95"/>
        <v>Piutang Usaha</v>
      </c>
      <c r="Q1236" s="61"/>
    </row>
    <row r="1237" spans="1:17" hidden="1" x14ac:dyDescent="0.25">
      <c r="A1237" s="60" t="str">
        <f t="shared" si="93"/>
        <v>300112</v>
      </c>
      <c r="B1237" s="60">
        <f>COUNTIF($J$7:J1237,J1237)</f>
        <v>300</v>
      </c>
      <c r="C1237" s="60" t="str">
        <f t="shared" si="94"/>
        <v>8112,04</v>
      </c>
      <c r="D1237" s="60">
        <f>COUNTIF($K$7:K1237,K1237)</f>
        <v>8</v>
      </c>
      <c r="E1237" s="61"/>
      <c r="F1237" s="227">
        <v>44613</v>
      </c>
      <c r="G1237" s="229">
        <f t="shared" si="97"/>
        <v>44643</v>
      </c>
      <c r="H1237" s="228" t="s">
        <v>866</v>
      </c>
      <c r="I1237" s="228" t="s">
        <v>26</v>
      </c>
      <c r="J1237" s="64">
        <v>112</v>
      </c>
      <c r="K1237" s="80">
        <v>112.04</v>
      </c>
      <c r="L1237" s="224">
        <f t="shared" si="91"/>
        <v>9982500</v>
      </c>
      <c r="M1237" s="223"/>
      <c r="N1237" s="223"/>
      <c r="O1237" s="61"/>
      <c r="P1237" s="69" t="str">
        <f t="shared" si="95"/>
        <v>Piutang Usaha</v>
      </c>
      <c r="Q1237" s="61"/>
    </row>
    <row r="1238" spans="1:17" hidden="1" x14ac:dyDescent="0.25">
      <c r="A1238" s="60" t="str">
        <f t="shared" si="93"/>
        <v>301112</v>
      </c>
      <c r="B1238" s="60">
        <f>COUNTIF($J$7:J1238,J1238)</f>
        <v>301</v>
      </c>
      <c r="C1238" s="60" t="str">
        <f t="shared" si="94"/>
        <v>9112,04</v>
      </c>
      <c r="D1238" s="60">
        <f>COUNTIF($K$7:K1238,K1238)</f>
        <v>9</v>
      </c>
      <c r="E1238" s="61"/>
      <c r="F1238" s="227">
        <v>44613</v>
      </c>
      <c r="G1238" s="229">
        <f t="shared" si="97"/>
        <v>44643</v>
      </c>
      <c r="H1238" s="228" t="s">
        <v>866</v>
      </c>
      <c r="I1238" s="228" t="s">
        <v>26</v>
      </c>
      <c r="J1238" s="64">
        <v>112</v>
      </c>
      <c r="K1238" s="80">
        <v>112.04</v>
      </c>
      <c r="L1238" s="224">
        <f t="shared" si="91"/>
        <v>9982500</v>
      </c>
      <c r="M1238" s="223"/>
      <c r="N1238" s="223"/>
      <c r="O1238" s="61"/>
      <c r="P1238" s="69" t="str">
        <f t="shared" si="95"/>
        <v>Piutang Usaha</v>
      </c>
      <c r="Q1238" s="61"/>
    </row>
    <row r="1239" spans="1:17" hidden="1" x14ac:dyDescent="0.25">
      <c r="A1239" s="60" t="str">
        <f t="shared" si="93"/>
        <v>302112</v>
      </c>
      <c r="B1239" s="60">
        <f>COUNTIF($J$7:J1239,J1239)</f>
        <v>302</v>
      </c>
      <c r="C1239" s="60" t="str">
        <f t="shared" si="94"/>
        <v>10112,04</v>
      </c>
      <c r="D1239" s="60">
        <f>COUNTIF($K$7:K1239,K1239)</f>
        <v>10</v>
      </c>
      <c r="E1239" s="61"/>
      <c r="F1239" s="227">
        <v>44613</v>
      </c>
      <c r="G1239" s="229">
        <f t="shared" si="97"/>
        <v>44643</v>
      </c>
      <c r="H1239" s="228" t="s">
        <v>866</v>
      </c>
      <c r="I1239" s="228" t="s">
        <v>26</v>
      </c>
      <c r="J1239" s="64">
        <v>112</v>
      </c>
      <c r="K1239" s="80">
        <v>112.04</v>
      </c>
      <c r="L1239" s="224">
        <f t="shared" si="91"/>
        <v>1996500</v>
      </c>
      <c r="M1239" s="223"/>
      <c r="N1239" s="223"/>
      <c r="O1239" s="61"/>
      <c r="P1239" s="69" t="str">
        <f t="shared" si="95"/>
        <v>Piutang Usaha</v>
      </c>
      <c r="Q1239" s="61"/>
    </row>
    <row r="1240" spans="1:17" hidden="1" x14ac:dyDescent="0.25">
      <c r="A1240" s="60" t="str">
        <f t="shared" si="93"/>
        <v>303112</v>
      </c>
      <c r="B1240" s="60">
        <f>COUNTIF($J$7:J1240,J1240)</f>
        <v>303</v>
      </c>
      <c r="C1240" s="60" t="str">
        <f t="shared" si="94"/>
        <v>11112,04</v>
      </c>
      <c r="D1240" s="60">
        <f>COUNTIF($K$7:K1240,K1240)</f>
        <v>11</v>
      </c>
      <c r="E1240" s="61"/>
      <c r="F1240" s="227">
        <v>44613</v>
      </c>
      <c r="G1240" s="229">
        <f t="shared" si="97"/>
        <v>44643</v>
      </c>
      <c r="H1240" s="228" t="s">
        <v>866</v>
      </c>
      <c r="I1240" s="228" t="s">
        <v>26</v>
      </c>
      <c r="J1240" s="64">
        <v>112</v>
      </c>
      <c r="K1240" s="80">
        <v>112.04</v>
      </c>
      <c r="L1240" s="224">
        <f t="shared" si="91"/>
        <v>2409000</v>
      </c>
      <c r="M1240" s="223"/>
      <c r="N1240" s="223"/>
      <c r="O1240" s="61"/>
      <c r="P1240" s="69" t="str">
        <f t="shared" si="95"/>
        <v>Piutang Usaha</v>
      </c>
      <c r="Q1240" s="61"/>
    </row>
    <row r="1241" spans="1:17" hidden="1" x14ac:dyDescent="0.25">
      <c r="A1241" s="60" t="str">
        <f t="shared" si="93"/>
        <v>304112</v>
      </c>
      <c r="B1241" s="60">
        <f>COUNTIF($J$7:J1241,J1241)</f>
        <v>304</v>
      </c>
      <c r="C1241" s="60" t="str">
        <f t="shared" si="94"/>
        <v>12112,04</v>
      </c>
      <c r="D1241" s="60">
        <f>COUNTIF($K$7:K1241,K1241)</f>
        <v>12</v>
      </c>
      <c r="E1241" s="61"/>
      <c r="F1241" s="227">
        <v>44613</v>
      </c>
      <c r="G1241" s="229">
        <f t="shared" si="97"/>
        <v>44643</v>
      </c>
      <c r="H1241" s="228" t="s">
        <v>866</v>
      </c>
      <c r="I1241" s="228" t="s">
        <v>26</v>
      </c>
      <c r="J1241" s="64">
        <v>112</v>
      </c>
      <c r="K1241" s="80">
        <v>112.04</v>
      </c>
      <c r="L1241" s="224">
        <f t="shared" si="91"/>
        <v>4818000</v>
      </c>
      <c r="M1241" s="223"/>
      <c r="N1241" s="223"/>
      <c r="O1241" s="61"/>
      <c r="P1241" s="69" t="str">
        <f t="shared" si="95"/>
        <v>Piutang Usaha</v>
      </c>
      <c r="Q1241" s="61"/>
    </row>
    <row r="1242" spans="1:17" hidden="1" x14ac:dyDescent="0.25">
      <c r="A1242" s="60" t="str">
        <f t="shared" si="93"/>
        <v>305112</v>
      </c>
      <c r="B1242" s="60">
        <f>COUNTIF($J$7:J1242,J1242)</f>
        <v>305</v>
      </c>
      <c r="C1242" s="60" t="str">
        <f t="shared" si="94"/>
        <v>13112,04</v>
      </c>
      <c r="D1242" s="60">
        <f>COUNTIF($K$7:K1242,K1242)</f>
        <v>13</v>
      </c>
      <c r="E1242" s="61"/>
      <c r="F1242" s="227">
        <v>44616</v>
      </c>
      <c r="G1242" s="229">
        <f t="shared" si="97"/>
        <v>44646</v>
      </c>
      <c r="H1242" s="228" t="s">
        <v>867</v>
      </c>
      <c r="I1242" s="228" t="s">
        <v>26</v>
      </c>
      <c r="J1242" s="64">
        <v>112</v>
      </c>
      <c r="K1242" s="80">
        <v>112.04</v>
      </c>
      <c r="L1242" s="224">
        <f t="shared" si="91"/>
        <v>1870000</v>
      </c>
      <c r="M1242" s="223"/>
      <c r="N1242" s="223"/>
      <c r="O1242" s="61"/>
      <c r="P1242" s="69" t="str">
        <f t="shared" si="95"/>
        <v>Piutang Usaha</v>
      </c>
      <c r="Q1242" s="61"/>
    </row>
    <row r="1243" spans="1:17" hidden="1" x14ac:dyDescent="0.25">
      <c r="A1243" s="60" t="str">
        <f t="shared" si="93"/>
        <v>306112</v>
      </c>
      <c r="B1243" s="60">
        <f>COUNTIF($J$7:J1243,J1243)</f>
        <v>306</v>
      </c>
      <c r="C1243" s="60" t="str">
        <f t="shared" si="94"/>
        <v>13112,45</v>
      </c>
      <c r="D1243" s="60">
        <f>COUNTIF($K$7:K1243,K1243)</f>
        <v>13</v>
      </c>
      <c r="E1243" s="61"/>
      <c r="F1243" s="227">
        <v>44594</v>
      </c>
      <c r="G1243" s="72">
        <f t="shared" si="97"/>
        <v>44624</v>
      </c>
      <c r="H1243" s="228" t="s">
        <v>868</v>
      </c>
      <c r="I1243" s="228" t="s">
        <v>32</v>
      </c>
      <c r="J1243" s="64">
        <v>112</v>
      </c>
      <c r="K1243" s="80">
        <v>112.45</v>
      </c>
      <c r="L1243" s="224">
        <f t="shared" si="91"/>
        <v>9240000</v>
      </c>
      <c r="M1243" s="223"/>
      <c r="N1243" s="223"/>
      <c r="O1243" s="61"/>
      <c r="P1243" s="69" t="str">
        <f t="shared" si="95"/>
        <v>Piutang Usaha</v>
      </c>
      <c r="Q1243" s="61"/>
    </row>
    <row r="1244" spans="1:17" hidden="1" x14ac:dyDescent="0.25">
      <c r="A1244" s="60" t="str">
        <f t="shared" si="93"/>
        <v>307112</v>
      </c>
      <c r="B1244" s="60">
        <f>COUNTIF($J$7:J1244,J1244)</f>
        <v>307</v>
      </c>
      <c r="C1244" s="60" t="str">
        <f t="shared" si="94"/>
        <v>14112,45</v>
      </c>
      <c r="D1244" s="60">
        <f>COUNTIF($K$7:K1244,K1244)</f>
        <v>14</v>
      </c>
      <c r="E1244" s="61"/>
      <c r="F1244" s="227">
        <v>44594</v>
      </c>
      <c r="G1244" s="72">
        <f t="shared" si="97"/>
        <v>44624</v>
      </c>
      <c r="H1244" s="228" t="s">
        <v>868</v>
      </c>
      <c r="I1244" s="228" t="s">
        <v>32</v>
      </c>
      <c r="J1244" s="64">
        <v>112</v>
      </c>
      <c r="K1244" s="80">
        <v>112.45</v>
      </c>
      <c r="L1244" s="224">
        <f t="shared" si="91"/>
        <v>6600000</v>
      </c>
      <c r="M1244" s="223"/>
      <c r="N1244" s="223"/>
      <c r="O1244" s="61"/>
      <c r="P1244" s="69" t="str">
        <f t="shared" si="95"/>
        <v>Piutang Usaha</v>
      </c>
      <c r="Q1244" s="61"/>
    </row>
    <row r="1245" spans="1:17" hidden="1" x14ac:dyDescent="0.25">
      <c r="A1245" s="60" t="str">
        <f t="shared" si="93"/>
        <v>308112</v>
      </c>
      <c r="B1245" s="60">
        <f>COUNTIF($J$7:J1245,J1245)</f>
        <v>308</v>
      </c>
      <c r="C1245" s="60" t="str">
        <f t="shared" si="94"/>
        <v>15112,45</v>
      </c>
      <c r="D1245" s="60">
        <f>COUNTIF($K$7:K1245,K1245)</f>
        <v>15</v>
      </c>
      <c r="E1245" s="61"/>
      <c r="F1245" s="227">
        <v>44599</v>
      </c>
      <c r="G1245" s="72">
        <f t="shared" si="97"/>
        <v>44629</v>
      </c>
      <c r="H1245" s="228" t="s">
        <v>869</v>
      </c>
      <c r="I1245" s="228" t="s">
        <v>32</v>
      </c>
      <c r="J1245" s="64">
        <v>112</v>
      </c>
      <c r="K1245" s="80">
        <v>112.45</v>
      </c>
      <c r="L1245" s="224">
        <f t="shared" si="91"/>
        <v>1814991.75</v>
      </c>
      <c r="M1245" s="223"/>
      <c r="N1245" s="223"/>
      <c r="O1245" s="61"/>
      <c r="P1245" s="69" t="str">
        <f t="shared" si="95"/>
        <v>Piutang Usaha</v>
      </c>
      <c r="Q1245" s="61"/>
    </row>
    <row r="1246" spans="1:17" hidden="1" x14ac:dyDescent="0.25">
      <c r="A1246" s="60" t="str">
        <f t="shared" si="93"/>
        <v>309112</v>
      </c>
      <c r="B1246" s="60">
        <f>COUNTIF($J$7:J1246,J1246)</f>
        <v>309</v>
      </c>
      <c r="C1246" s="60" t="str">
        <f t="shared" si="94"/>
        <v>16112,45</v>
      </c>
      <c r="D1246" s="60">
        <f>COUNTIF($K$7:K1246,K1246)</f>
        <v>16</v>
      </c>
      <c r="E1246" s="61"/>
      <c r="F1246" s="227">
        <v>44599</v>
      </c>
      <c r="G1246" s="72">
        <f t="shared" si="97"/>
        <v>44629</v>
      </c>
      <c r="H1246" s="228" t="s">
        <v>869</v>
      </c>
      <c r="I1246" s="228" t="s">
        <v>32</v>
      </c>
      <c r="J1246" s="64">
        <v>112</v>
      </c>
      <c r="K1246" s="80">
        <v>112.45</v>
      </c>
      <c r="L1246" s="224">
        <f t="shared" si="91"/>
        <v>3024986.25</v>
      </c>
      <c r="M1246" s="223"/>
      <c r="N1246" s="223"/>
      <c r="O1246" s="61"/>
      <c r="P1246" s="69" t="str">
        <f t="shared" si="95"/>
        <v>Piutang Usaha</v>
      </c>
      <c r="Q1246" s="61"/>
    </row>
    <row r="1247" spans="1:17" hidden="1" x14ac:dyDescent="0.25">
      <c r="A1247" s="60" t="str">
        <f t="shared" si="93"/>
        <v>310112</v>
      </c>
      <c r="B1247" s="60">
        <f>COUNTIF($J$7:J1247,J1247)</f>
        <v>310</v>
      </c>
      <c r="C1247" s="60" t="str">
        <f t="shared" si="94"/>
        <v>17112,45</v>
      </c>
      <c r="D1247" s="60">
        <f>COUNTIF($K$7:K1247,K1247)</f>
        <v>17</v>
      </c>
      <c r="E1247" s="61"/>
      <c r="F1247" s="227">
        <v>44600</v>
      </c>
      <c r="G1247" s="72">
        <f t="shared" si="97"/>
        <v>44630</v>
      </c>
      <c r="H1247" s="228" t="s">
        <v>870</v>
      </c>
      <c r="I1247" s="228" t="s">
        <v>32</v>
      </c>
      <c r="J1247" s="64">
        <v>112</v>
      </c>
      <c r="K1247" s="80">
        <v>112.45</v>
      </c>
      <c r="L1247" s="224">
        <f t="shared" si="91"/>
        <v>604996.69999999995</v>
      </c>
      <c r="M1247" s="223"/>
      <c r="N1247" s="223"/>
      <c r="O1247" s="61"/>
      <c r="P1247" s="69" t="str">
        <f t="shared" si="95"/>
        <v>Piutang Usaha</v>
      </c>
      <c r="Q1247" s="61"/>
    </row>
    <row r="1248" spans="1:17" hidden="1" x14ac:dyDescent="0.25">
      <c r="A1248" s="60" t="str">
        <f t="shared" si="93"/>
        <v>311112</v>
      </c>
      <c r="B1248" s="60">
        <f>COUNTIF($J$7:J1248,J1248)</f>
        <v>311</v>
      </c>
      <c r="C1248" s="60" t="str">
        <f t="shared" si="94"/>
        <v>18112,45</v>
      </c>
      <c r="D1248" s="60">
        <f>COUNTIF($K$7:K1248,K1248)</f>
        <v>18</v>
      </c>
      <c r="E1248" s="61"/>
      <c r="F1248" s="227">
        <v>44613</v>
      </c>
      <c r="G1248" s="72">
        <f t="shared" si="97"/>
        <v>44643</v>
      </c>
      <c r="H1248" s="228" t="s">
        <v>871</v>
      </c>
      <c r="I1248" s="228" t="s">
        <v>32</v>
      </c>
      <c r="J1248" s="64">
        <v>112</v>
      </c>
      <c r="K1248" s="80">
        <v>112.45</v>
      </c>
      <c r="L1248" s="224">
        <f t="shared" si="91"/>
        <v>3024986.25</v>
      </c>
      <c r="M1248" s="223"/>
      <c r="N1248" s="223"/>
      <c r="O1248" s="61"/>
      <c r="P1248" s="69" t="str">
        <f t="shared" si="95"/>
        <v>Piutang Usaha</v>
      </c>
      <c r="Q1248" s="61"/>
    </row>
    <row r="1249" spans="1:17" hidden="1" x14ac:dyDescent="0.25">
      <c r="A1249" s="60" t="str">
        <f t="shared" si="93"/>
        <v>312112</v>
      </c>
      <c r="B1249" s="60">
        <f>COUNTIF($J$7:J1249,J1249)</f>
        <v>312</v>
      </c>
      <c r="C1249" s="60" t="str">
        <f t="shared" si="94"/>
        <v>19112,45</v>
      </c>
      <c r="D1249" s="60">
        <f>COUNTIF($K$7:K1249,K1249)</f>
        <v>19</v>
      </c>
      <c r="E1249" s="61"/>
      <c r="F1249" s="227">
        <v>44613</v>
      </c>
      <c r="G1249" s="72">
        <f t="shared" si="97"/>
        <v>44643</v>
      </c>
      <c r="H1249" s="228" t="s">
        <v>871</v>
      </c>
      <c r="I1249" s="228" t="s">
        <v>32</v>
      </c>
      <c r="J1249" s="64">
        <v>112</v>
      </c>
      <c r="K1249" s="80">
        <v>112.45</v>
      </c>
      <c r="L1249" s="224">
        <f t="shared" si="91"/>
        <v>1814991.75</v>
      </c>
      <c r="M1249" s="223"/>
      <c r="N1249" s="223"/>
      <c r="O1249" s="61"/>
      <c r="P1249" s="69" t="str">
        <f t="shared" si="95"/>
        <v>Piutang Usaha</v>
      </c>
      <c r="Q1249" s="61"/>
    </row>
    <row r="1250" spans="1:17" hidden="1" x14ac:dyDescent="0.25">
      <c r="A1250" s="60" t="str">
        <f t="shared" si="93"/>
        <v>313112</v>
      </c>
      <c r="B1250" s="60">
        <f>COUNTIF($J$7:J1250,J1250)</f>
        <v>313</v>
      </c>
      <c r="C1250" s="60" t="str">
        <f t="shared" si="94"/>
        <v>20112,45</v>
      </c>
      <c r="D1250" s="60">
        <f>COUNTIF($K$7:K1250,K1250)</f>
        <v>20</v>
      </c>
      <c r="E1250" s="61"/>
      <c r="F1250" s="227">
        <v>44613</v>
      </c>
      <c r="G1250" s="72">
        <f t="shared" si="97"/>
        <v>44643</v>
      </c>
      <c r="H1250" s="228" t="s">
        <v>871</v>
      </c>
      <c r="I1250" s="228" t="s">
        <v>32</v>
      </c>
      <c r="J1250" s="64">
        <v>112</v>
      </c>
      <c r="K1250" s="80">
        <v>112.45</v>
      </c>
      <c r="L1250" s="224">
        <f t="shared" si="91"/>
        <v>604996.75</v>
      </c>
      <c r="M1250" s="223"/>
      <c r="N1250" s="223"/>
      <c r="O1250" s="61"/>
      <c r="P1250" s="69" t="str">
        <f t="shared" si="95"/>
        <v>Piutang Usaha</v>
      </c>
      <c r="Q1250" s="61"/>
    </row>
    <row r="1251" spans="1:17" hidden="1" x14ac:dyDescent="0.25">
      <c r="A1251" s="60" t="str">
        <f t="shared" si="93"/>
        <v>314112</v>
      </c>
      <c r="B1251" s="60">
        <f>COUNTIF($J$7:J1251,J1251)</f>
        <v>314</v>
      </c>
      <c r="C1251" s="60" t="str">
        <f t="shared" si="94"/>
        <v>21112,45</v>
      </c>
      <c r="D1251" s="60">
        <f>COUNTIF($K$7:K1251,K1251)</f>
        <v>21</v>
      </c>
      <c r="E1251" s="61"/>
      <c r="F1251" s="227">
        <v>44613</v>
      </c>
      <c r="G1251" s="72">
        <f t="shared" si="97"/>
        <v>44643</v>
      </c>
      <c r="H1251" s="228" t="s">
        <v>871</v>
      </c>
      <c r="I1251" s="228" t="s">
        <v>32</v>
      </c>
      <c r="J1251" s="64">
        <v>112</v>
      </c>
      <c r="K1251" s="80">
        <v>112.45</v>
      </c>
      <c r="L1251" s="224">
        <f t="shared" si="91"/>
        <v>2419989</v>
      </c>
      <c r="M1251" s="223"/>
      <c r="N1251" s="223"/>
      <c r="O1251" s="61"/>
      <c r="P1251" s="69" t="str">
        <f t="shared" si="95"/>
        <v>Piutang Usaha</v>
      </c>
      <c r="Q1251" s="61"/>
    </row>
    <row r="1252" spans="1:17" hidden="1" x14ac:dyDescent="0.25">
      <c r="A1252" s="60" t="str">
        <f t="shared" si="93"/>
        <v>315112</v>
      </c>
      <c r="B1252" s="60">
        <f>COUNTIF($J$7:J1252,J1252)</f>
        <v>315</v>
      </c>
      <c r="C1252" s="60" t="str">
        <f t="shared" si="94"/>
        <v>22112,45</v>
      </c>
      <c r="D1252" s="60">
        <f>COUNTIF($K$7:K1252,K1252)</f>
        <v>22</v>
      </c>
      <c r="E1252" s="61"/>
      <c r="F1252" s="227">
        <v>44614</v>
      </c>
      <c r="G1252" s="72">
        <f t="shared" si="97"/>
        <v>44644</v>
      </c>
      <c r="H1252" s="228" t="s">
        <v>872</v>
      </c>
      <c r="I1252" s="228" t="s">
        <v>32</v>
      </c>
      <c r="J1252" s="64">
        <v>112</v>
      </c>
      <c r="K1252" s="80">
        <v>112.45</v>
      </c>
      <c r="L1252" s="224">
        <f t="shared" si="91"/>
        <v>1209994.5</v>
      </c>
      <c r="M1252" s="223"/>
      <c r="N1252" s="223"/>
      <c r="O1252" s="61"/>
      <c r="P1252" s="69" t="str">
        <f t="shared" si="95"/>
        <v>Piutang Usaha</v>
      </c>
      <c r="Q1252" s="61"/>
    </row>
    <row r="1253" spans="1:17" hidden="1" x14ac:dyDescent="0.25">
      <c r="A1253" s="60" t="str">
        <f t="shared" si="93"/>
        <v>316112</v>
      </c>
      <c r="B1253" s="60">
        <f>COUNTIF($J$7:J1253,J1253)</f>
        <v>316</v>
      </c>
      <c r="C1253" s="60" t="str">
        <f t="shared" si="94"/>
        <v>8112,43</v>
      </c>
      <c r="D1253" s="60">
        <f>COUNTIF($K$7:K1253,K1253)</f>
        <v>8</v>
      </c>
      <c r="E1253" s="61"/>
      <c r="F1253" s="227">
        <v>44595</v>
      </c>
      <c r="G1253" s="72">
        <f t="shared" si="97"/>
        <v>44625</v>
      </c>
      <c r="H1253" s="228" t="s">
        <v>873</v>
      </c>
      <c r="I1253" s="228" t="s">
        <v>41</v>
      </c>
      <c r="J1253" s="64">
        <v>112</v>
      </c>
      <c r="K1253" s="80">
        <v>112.43</v>
      </c>
      <c r="L1253" s="224">
        <f t="shared" si="91"/>
        <v>2062500</v>
      </c>
      <c r="M1253" s="223"/>
      <c r="N1253" s="223"/>
      <c r="O1253" s="61"/>
      <c r="P1253" s="69" t="str">
        <f t="shared" si="95"/>
        <v>Piutang Usaha</v>
      </c>
      <c r="Q1253" s="61"/>
    </row>
    <row r="1254" spans="1:17" hidden="1" x14ac:dyDescent="0.25">
      <c r="A1254" s="60" t="str">
        <f t="shared" si="93"/>
        <v>317112</v>
      </c>
      <c r="B1254" s="60">
        <f>COUNTIF($J$7:J1254,J1254)</f>
        <v>317</v>
      </c>
      <c r="C1254" s="60" t="str">
        <f t="shared" si="94"/>
        <v>9112,43</v>
      </c>
      <c r="D1254" s="60">
        <f>COUNTIF($K$7:K1254,K1254)</f>
        <v>9</v>
      </c>
      <c r="E1254" s="61"/>
      <c r="F1254" s="227">
        <v>44595</v>
      </c>
      <c r="G1254" s="72">
        <f t="shared" si="97"/>
        <v>44625</v>
      </c>
      <c r="H1254" s="228" t="s">
        <v>873</v>
      </c>
      <c r="I1254" s="228" t="s">
        <v>41</v>
      </c>
      <c r="J1254" s="64">
        <v>112</v>
      </c>
      <c r="K1254" s="80">
        <v>112.43</v>
      </c>
      <c r="L1254" s="224">
        <f t="shared" si="91"/>
        <v>687500</v>
      </c>
      <c r="M1254" s="223"/>
      <c r="N1254" s="223"/>
      <c r="O1254" s="61"/>
      <c r="P1254" s="69" t="str">
        <f t="shared" si="95"/>
        <v>Piutang Usaha</v>
      </c>
      <c r="Q1254" s="61"/>
    </row>
    <row r="1255" spans="1:17" hidden="1" x14ac:dyDescent="0.25">
      <c r="A1255" s="60" t="str">
        <f t="shared" si="93"/>
        <v>318112</v>
      </c>
      <c r="B1255" s="60">
        <f>COUNTIF($J$7:J1255,J1255)</f>
        <v>318</v>
      </c>
      <c r="C1255" s="60" t="str">
        <f t="shared" si="94"/>
        <v>10112,43</v>
      </c>
      <c r="D1255" s="60">
        <f>COUNTIF($K$7:K1255,K1255)</f>
        <v>10</v>
      </c>
      <c r="E1255" s="61"/>
      <c r="F1255" s="227">
        <v>44595</v>
      </c>
      <c r="G1255" s="72">
        <f t="shared" si="97"/>
        <v>44625</v>
      </c>
      <c r="H1255" s="228" t="s">
        <v>873</v>
      </c>
      <c r="I1255" s="228" t="s">
        <v>41</v>
      </c>
      <c r="J1255" s="64">
        <v>112</v>
      </c>
      <c r="K1255" s="80">
        <v>112.43</v>
      </c>
      <c r="L1255" s="224">
        <f t="shared" si="91"/>
        <v>1375000</v>
      </c>
      <c r="M1255" s="223"/>
      <c r="N1255" s="223"/>
      <c r="O1255" s="61"/>
      <c r="P1255" s="69" t="str">
        <f t="shared" si="95"/>
        <v>Piutang Usaha</v>
      </c>
      <c r="Q1255" s="61"/>
    </row>
    <row r="1256" spans="1:17" hidden="1" x14ac:dyDescent="0.25">
      <c r="A1256" s="60" t="str">
        <f t="shared" si="93"/>
        <v>319112</v>
      </c>
      <c r="B1256" s="60">
        <f>COUNTIF($J$7:J1256,J1256)</f>
        <v>319</v>
      </c>
      <c r="C1256" s="60" t="str">
        <f t="shared" si="94"/>
        <v>11112,43</v>
      </c>
      <c r="D1256" s="60">
        <f>COUNTIF($K$7:K1256,K1256)</f>
        <v>11</v>
      </c>
      <c r="E1256" s="61"/>
      <c r="F1256" s="227">
        <v>44599</v>
      </c>
      <c r="G1256" s="72">
        <f t="shared" si="97"/>
        <v>44629</v>
      </c>
      <c r="H1256" s="228" t="s">
        <v>874</v>
      </c>
      <c r="I1256" s="228" t="s">
        <v>41</v>
      </c>
      <c r="J1256" s="64">
        <v>112</v>
      </c>
      <c r="K1256" s="80">
        <v>112.43</v>
      </c>
      <c r="L1256" s="224">
        <f t="shared" si="91"/>
        <v>4488000</v>
      </c>
      <c r="M1256" s="223"/>
      <c r="N1256" s="223"/>
      <c r="O1256" s="61"/>
      <c r="P1256" s="69" t="str">
        <f t="shared" si="95"/>
        <v>Piutang Usaha</v>
      </c>
      <c r="Q1256" s="61"/>
    </row>
    <row r="1257" spans="1:17" hidden="1" x14ac:dyDescent="0.25">
      <c r="A1257" s="60" t="str">
        <f t="shared" si="93"/>
        <v>320112</v>
      </c>
      <c r="B1257" s="60">
        <f>COUNTIF($J$7:J1257,J1257)</f>
        <v>320</v>
      </c>
      <c r="C1257" s="60" t="str">
        <f t="shared" si="94"/>
        <v>12112,43</v>
      </c>
      <c r="D1257" s="60">
        <f>COUNTIF($K$7:K1257,K1257)</f>
        <v>12</v>
      </c>
      <c r="E1257" s="61"/>
      <c r="F1257" s="227">
        <v>44599</v>
      </c>
      <c r="G1257" s="72">
        <f t="shared" si="97"/>
        <v>44629</v>
      </c>
      <c r="H1257" s="228" t="s">
        <v>874</v>
      </c>
      <c r="I1257" s="228" t="s">
        <v>41</v>
      </c>
      <c r="J1257" s="64">
        <v>112</v>
      </c>
      <c r="K1257" s="80">
        <v>112.43</v>
      </c>
      <c r="L1257" s="224">
        <f t="shared" si="91"/>
        <v>13464000</v>
      </c>
      <c r="M1257" s="223"/>
      <c r="N1257" s="223"/>
      <c r="O1257" s="61"/>
      <c r="P1257" s="69" t="str">
        <f t="shared" si="95"/>
        <v>Piutang Usaha</v>
      </c>
      <c r="Q1257" s="61"/>
    </row>
    <row r="1258" spans="1:17" hidden="1" x14ac:dyDescent="0.25">
      <c r="A1258" s="60" t="str">
        <f t="shared" si="93"/>
        <v>321112</v>
      </c>
      <c r="B1258" s="60">
        <f>COUNTIF($J$7:J1258,J1258)</f>
        <v>321</v>
      </c>
      <c r="C1258" s="60" t="str">
        <f t="shared" si="94"/>
        <v>13112,43</v>
      </c>
      <c r="D1258" s="60">
        <f>COUNTIF($K$7:K1258,K1258)</f>
        <v>13</v>
      </c>
      <c r="E1258" s="61"/>
      <c r="F1258" s="227">
        <v>44599</v>
      </c>
      <c r="G1258" s="72">
        <f t="shared" si="97"/>
        <v>44629</v>
      </c>
      <c r="H1258" s="228" t="s">
        <v>874</v>
      </c>
      <c r="I1258" s="228" t="s">
        <v>41</v>
      </c>
      <c r="J1258" s="64">
        <v>112</v>
      </c>
      <c r="K1258" s="80">
        <v>112.43</v>
      </c>
      <c r="L1258" s="224">
        <f t="shared" si="91"/>
        <v>17952000</v>
      </c>
      <c r="M1258" s="223"/>
      <c r="N1258" s="223"/>
      <c r="O1258" s="61"/>
      <c r="P1258" s="69" t="str">
        <f t="shared" si="95"/>
        <v>Piutang Usaha</v>
      </c>
      <c r="Q1258" s="61"/>
    </row>
    <row r="1259" spans="1:17" hidden="1" x14ac:dyDescent="0.25">
      <c r="A1259" s="60" t="str">
        <f t="shared" si="93"/>
        <v>322112</v>
      </c>
      <c r="B1259" s="60">
        <f>COUNTIF($J$7:J1259,J1259)</f>
        <v>322</v>
      </c>
      <c r="C1259" s="60" t="str">
        <f t="shared" si="94"/>
        <v>14112,43</v>
      </c>
      <c r="D1259" s="60">
        <f>COUNTIF($K$7:K1259,K1259)</f>
        <v>14</v>
      </c>
      <c r="E1259" s="61"/>
      <c r="F1259" s="227">
        <v>44599</v>
      </c>
      <c r="G1259" s="72">
        <f t="shared" si="97"/>
        <v>44629</v>
      </c>
      <c r="H1259" s="228" t="s">
        <v>874</v>
      </c>
      <c r="I1259" s="228" t="s">
        <v>41</v>
      </c>
      <c r="J1259" s="64">
        <v>112</v>
      </c>
      <c r="K1259" s="80">
        <v>112.43</v>
      </c>
      <c r="L1259" s="224">
        <f t="shared" si="91"/>
        <v>2805000</v>
      </c>
      <c r="M1259" s="223"/>
      <c r="N1259" s="223"/>
      <c r="O1259" s="61"/>
      <c r="P1259" s="69" t="str">
        <f t="shared" si="95"/>
        <v>Piutang Usaha</v>
      </c>
      <c r="Q1259" s="61"/>
    </row>
    <row r="1260" spans="1:17" hidden="1" x14ac:dyDescent="0.25">
      <c r="A1260" s="60" t="str">
        <f t="shared" si="93"/>
        <v>323112</v>
      </c>
      <c r="B1260" s="60">
        <f>COUNTIF($J$7:J1260,J1260)</f>
        <v>323</v>
      </c>
      <c r="C1260" s="60" t="str">
        <f t="shared" si="94"/>
        <v>15112,43</v>
      </c>
      <c r="D1260" s="60">
        <f>COUNTIF($K$7:K1260,K1260)</f>
        <v>15</v>
      </c>
      <c r="E1260" s="61"/>
      <c r="F1260" s="227">
        <v>44599</v>
      </c>
      <c r="G1260" s="72">
        <f t="shared" si="97"/>
        <v>44629</v>
      </c>
      <c r="H1260" s="228" t="s">
        <v>874</v>
      </c>
      <c r="I1260" s="228" t="s">
        <v>41</v>
      </c>
      <c r="J1260" s="64">
        <v>112</v>
      </c>
      <c r="K1260" s="80">
        <v>112.43</v>
      </c>
      <c r="L1260" s="224">
        <f t="shared" ref="L1260:L1323" si="98">M1503+M1746</f>
        <v>19635000</v>
      </c>
      <c r="M1260" s="223"/>
      <c r="N1260" s="223"/>
      <c r="O1260" s="61"/>
      <c r="P1260" s="69" t="str">
        <f t="shared" si="95"/>
        <v>Piutang Usaha</v>
      </c>
      <c r="Q1260" s="61"/>
    </row>
    <row r="1261" spans="1:17" hidden="1" x14ac:dyDescent="0.25">
      <c r="A1261" s="60" t="str">
        <f t="shared" si="93"/>
        <v>324112</v>
      </c>
      <c r="B1261" s="60">
        <f>COUNTIF($J$7:J1261,J1261)</f>
        <v>324</v>
      </c>
      <c r="C1261" s="60" t="str">
        <f t="shared" si="94"/>
        <v>16112,43</v>
      </c>
      <c r="D1261" s="60">
        <f>COUNTIF($K$7:K1261,K1261)</f>
        <v>16</v>
      </c>
      <c r="E1261" s="61"/>
      <c r="F1261" s="227">
        <v>44599</v>
      </c>
      <c r="G1261" s="72">
        <f t="shared" si="97"/>
        <v>44629</v>
      </c>
      <c r="H1261" s="228" t="s">
        <v>874</v>
      </c>
      <c r="I1261" s="228" t="s">
        <v>41</v>
      </c>
      <c r="J1261" s="64">
        <v>112</v>
      </c>
      <c r="K1261" s="80">
        <v>112.43</v>
      </c>
      <c r="L1261" s="224">
        <f t="shared" si="98"/>
        <v>19635000</v>
      </c>
      <c r="M1261" s="223"/>
      <c r="N1261" s="223"/>
      <c r="O1261" s="61"/>
      <c r="P1261" s="69" t="str">
        <f t="shared" si="95"/>
        <v>Piutang Usaha</v>
      </c>
      <c r="Q1261" s="61"/>
    </row>
    <row r="1262" spans="1:17" hidden="1" x14ac:dyDescent="0.25">
      <c r="A1262" s="60" t="str">
        <f t="shared" si="93"/>
        <v>325112</v>
      </c>
      <c r="B1262" s="60">
        <f>COUNTIF($J$7:J1262,J1262)</f>
        <v>325</v>
      </c>
      <c r="C1262" s="60" t="str">
        <f t="shared" si="94"/>
        <v>17112,43</v>
      </c>
      <c r="D1262" s="60">
        <f>COUNTIF($K$7:K1262,K1262)</f>
        <v>17</v>
      </c>
      <c r="E1262" s="61"/>
      <c r="F1262" s="227">
        <v>44599</v>
      </c>
      <c r="G1262" s="72">
        <f t="shared" si="97"/>
        <v>44629</v>
      </c>
      <c r="H1262" s="228" t="s">
        <v>874</v>
      </c>
      <c r="I1262" s="228" t="s">
        <v>41</v>
      </c>
      <c r="J1262" s="64">
        <v>112</v>
      </c>
      <c r="K1262" s="80">
        <v>112.43</v>
      </c>
      <c r="L1262" s="224">
        <f t="shared" si="98"/>
        <v>16830000</v>
      </c>
      <c r="M1262" s="223"/>
      <c r="N1262" s="223"/>
      <c r="O1262" s="61"/>
      <c r="P1262" s="69" t="str">
        <f t="shared" si="95"/>
        <v>Piutang Usaha</v>
      </c>
      <c r="Q1262" s="61"/>
    </row>
    <row r="1263" spans="1:17" hidden="1" x14ac:dyDescent="0.25">
      <c r="A1263" s="60" t="str">
        <f t="shared" si="93"/>
        <v>326112</v>
      </c>
      <c r="B1263" s="60">
        <f>COUNTIF($J$7:J1263,J1263)</f>
        <v>326</v>
      </c>
      <c r="C1263" s="60" t="str">
        <f t="shared" si="94"/>
        <v>18112,43</v>
      </c>
      <c r="D1263" s="60">
        <f>COUNTIF($K$7:K1263,K1263)</f>
        <v>18</v>
      </c>
      <c r="E1263" s="61"/>
      <c r="F1263" s="227">
        <v>44599</v>
      </c>
      <c r="G1263" s="72">
        <f t="shared" si="97"/>
        <v>44629</v>
      </c>
      <c r="H1263" s="228" t="s">
        <v>874</v>
      </c>
      <c r="I1263" s="228" t="s">
        <v>41</v>
      </c>
      <c r="J1263" s="64">
        <v>112</v>
      </c>
      <c r="K1263" s="80">
        <v>112.43</v>
      </c>
      <c r="L1263" s="224">
        <f t="shared" si="98"/>
        <v>2805000</v>
      </c>
      <c r="M1263" s="223"/>
      <c r="N1263" s="223"/>
      <c r="O1263" s="61"/>
      <c r="P1263" s="69" t="str">
        <f t="shared" si="95"/>
        <v>Piutang Usaha</v>
      </c>
      <c r="Q1263" s="61"/>
    </row>
    <row r="1264" spans="1:17" hidden="1" x14ac:dyDescent="0.25">
      <c r="A1264" s="60" t="str">
        <f t="shared" si="93"/>
        <v>327112</v>
      </c>
      <c r="B1264" s="60">
        <f>COUNTIF($J$7:J1264,J1264)</f>
        <v>327</v>
      </c>
      <c r="C1264" s="60" t="str">
        <f t="shared" si="94"/>
        <v>19112,43</v>
      </c>
      <c r="D1264" s="60">
        <f>COUNTIF($K$7:K1264,K1264)</f>
        <v>19</v>
      </c>
      <c r="E1264" s="61"/>
      <c r="F1264" s="227">
        <v>44606</v>
      </c>
      <c r="G1264" s="72">
        <f t="shared" si="97"/>
        <v>44636</v>
      </c>
      <c r="H1264" s="228" t="s">
        <v>875</v>
      </c>
      <c r="I1264" s="228" t="s">
        <v>41</v>
      </c>
      <c r="J1264" s="64">
        <v>112</v>
      </c>
      <c r="K1264" s="80">
        <v>112.43</v>
      </c>
      <c r="L1264" s="224">
        <f t="shared" si="98"/>
        <v>13464000</v>
      </c>
      <c r="M1264" s="223"/>
      <c r="N1264" s="223"/>
      <c r="O1264" s="61"/>
      <c r="P1264" s="69" t="str">
        <f t="shared" si="95"/>
        <v>Piutang Usaha</v>
      </c>
      <c r="Q1264" s="61"/>
    </row>
    <row r="1265" spans="1:17" hidden="1" x14ac:dyDescent="0.25">
      <c r="A1265" s="60" t="str">
        <f t="shared" si="93"/>
        <v>328112</v>
      </c>
      <c r="B1265" s="60">
        <f>COUNTIF($J$7:J1265,J1265)</f>
        <v>328</v>
      </c>
      <c r="C1265" s="60" t="str">
        <f t="shared" si="94"/>
        <v>20112,43</v>
      </c>
      <c r="D1265" s="60">
        <f>COUNTIF($K$7:K1265,K1265)</f>
        <v>20</v>
      </c>
      <c r="E1265" s="61"/>
      <c r="F1265" s="227">
        <v>44609</v>
      </c>
      <c r="G1265" s="72">
        <f t="shared" si="97"/>
        <v>44639</v>
      </c>
      <c r="H1265" s="228" t="s">
        <v>876</v>
      </c>
      <c r="I1265" s="228" t="s">
        <v>41</v>
      </c>
      <c r="J1265" s="64">
        <v>112</v>
      </c>
      <c r="K1265" s="80">
        <v>112.43</v>
      </c>
      <c r="L1265" s="224">
        <f t="shared" si="98"/>
        <v>5610000</v>
      </c>
      <c r="M1265" s="223"/>
      <c r="N1265" s="223"/>
      <c r="O1265" s="61"/>
      <c r="P1265" s="69" t="str">
        <f t="shared" si="95"/>
        <v>Piutang Usaha</v>
      </c>
      <c r="Q1265" s="61"/>
    </row>
    <row r="1266" spans="1:17" hidden="1" x14ac:dyDescent="0.25">
      <c r="A1266" s="60" t="str">
        <f t="shared" si="93"/>
        <v>329112</v>
      </c>
      <c r="B1266" s="60">
        <f>COUNTIF($J$7:J1266,J1266)</f>
        <v>329</v>
      </c>
      <c r="C1266" s="60" t="str">
        <f t="shared" si="94"/>
        <v>21112,43</v>
      </c>
      <c r="D1266" s="60">
        <f>COUNTIF($K$7:K1266,K1266)</f>
        <v>21</v>
      </c>
      <c r="E1266" s="61"/>
      <c r="F1266" s="227">
        <v>44609</v>
      </c>
      <c r="G1266" s="72">
        <f t="shared" si="97"/>
        <v>44639</v>
      </c>
      <c r="H1266" s="228" t="s">
        <v>876</v>
      </c>
      <c r="I1266" s="228" t="s">
        <v>41</v>
      </c>
      <c r="J1266" s="64">
        <v>112</v>
      </c>
      <c r="K1266" s="80">
        <v>112.43</v>
      </c>
      <c r="L1266" s="224">
        <f t="shared" si="98"/>
        <v>8415000</v>
      </c>
      <c r="M1266" s="223"/>
      <c r="N1266" s="223"/>
      <c r="O1266" s="61"/>
      <c r="P1266" s="69" t="str">
        <f t="shared" si="95"/>
        <v>Piutang Usaha</v>
      </c>
      <c r="Q1266" s="61"/>
    </row>
    <row r="1267" spans="1:17" hidden="1" x14ac:dyDescent="0.25">
      <c r="A1267" s="60" t="str">
        <f t="shared" si="93"/>
        <v>330112</v>
      </c>
      <c r="B1267" s="60">
        <f>COUNTIF($J$7:J1267,J1267)</f>
        <v>330</v>
      </c>
      <c r="C1267" s="60" t="str">
        <f t="shared" si="94"/>
        <v>22112,43</v>
      </c>
      <c r="D1267" s="60">
        <f>COUNTIF($K$7:K1267,K1267)</f>
        <v>22</v>
      </c>
      <c r="E1267" s="61"/>
      <c r="F1267" s="227">
        <v>44609</v>
      </c>
      <c r="G1267" s="72">
        <f t="shared" si="97"/>
        <v>44639</v>
      </c>
      <c r="H1267" s="228" t="s">
        <v>876</v>
      </c>
      <c r="I1267" s="228" t="s">
        <v>41</v>
      </c>
      <c r="J1267" s="64">
        <v>112</v>
      </c>
      <c r="K1267" s="80">
        <v>112.43</v>
      </c>
      <c r="L1267" s="224">
        <f t="shared" si="98"/>
        <v>8415000</v>
      </c>
      <c r="M1267" s="223"/>
      <c r="N1267" s="223"/>
      <c r="O1267" s="61"/>
      <c r="P1267" s="69" t="str">
        <f t="shared" si="95"/>
        <v>Piutang Usaha</v>
      </c>
      <c r="Q1267" s="61"/>
    </row>
    <row r="1268" spans="1:17" hidden="1" x14ac:dyDescent="0.25">
      <c r="A1268" s="60" t="str">
        <f t="shared" si="93"/>
        <v>331112</v>
      </c>
      <c r="B1268" s="60">
        <f>COUNTIF($J$7:J1268,J1268)</f>
        <v>331</v>
      </c>
      <c r="C1268" s="60" t="str">
        <f t="shared" si="94"/>
        <v>23112,43</v>
      </c>
      <c r="D1268" s="60">
        <f>COUNTIF($K$7:K1268,K1268)</f>
        <v>23</v>
      </c>
      <c r="E1268" s="61"/>
      <c r="F1268" s="227">
        <v>44609</v>
      </c>
      <c r="G1268" s="72">
        <f t="shared" si="97"/>
        <v>44639</v>
      </c>
      <c r="H1268" s="228" t="s">
        <v>876</v>
      </c>
      <c r="I1268" s="228" t="s">
        <v>41</v>
      </c>
      <c r="J1268" s="64">
        <v>112</v>
      </c>
      <c r="K1268" s="80">
        <v>112.43</v>
      </c>
      <c r="L1268" s="224">
        <f t="shared" si="98"/>
        <v>2805000</v>
      </c>
      <c r="M1268" s="223"/>
      <c r="N1268" s="223"/>
      <c r="O1268" s="61"/>
      <c r="P1268" s="69" t="str">
        <f t="shared" si="95"/>
        <v>Piutang Usaha</v>
      </c>
      <c r="Q1268" s="61"/>
    </row>
    <row r="1269" spans="1:17" hidden="1" x14ac:dyDescent="0.25">
      <c r="A1269" s="60" t="str">
        <f t="shared" si="93"/>
        <v>332112</v>
      </c>
      <c r="B1269" s="60">
        <f>COUNTIF($J$7:J1269,J1269)</f>
        <v>332</v>
      </c>
      <c r="C1269" s="60" t="str">
        <f t="shared" si="94"/>
        <v>24112,43</v>
      </c>
      <c r="D1269" s="60">
        <f>COUNTIF($K$7:K1269,K1269)</f>
        <v>24</v>
      </c>
      <c r="E1269" s="61"/>
      <c r="F1269" s="227">
        <v>44609</v>
      </c>
      <c r="G1269" s="72">
        <f t="shared" si="97"/>
        <v>44639</v>
      </c>
      <c r="H1269" s="228" t="s">
        <v>877</v>
      </c>
      <c r="I1269" s="228" t="s">
        <v>41</v>
      </c>
      <c r="J1269" s="64">
        <v>112</v>
      </c>
      <c r="K1269" s="80">
        <v>112.43</v>
      </c>
      <c r="L1269" s="224">
        <f t="shared" si="98"/>
        <v>8250000</v>
      </c>
      <c r="M1269" s="223"/>
      <c r="N1269" s="223"/>
      <c r="O1269" s="61"/>
      <c r="P1269" s="69" t="str">
        <f t="shared" si="95"/>
        <v>Piutang Usaha</v>
      </c>
      <c r="Q1269" s="61"/>
    </row>
    <row r="1270" spans="1:17" hidden="1" x14ac:dyDescent="0.25">
      <c r="A1270" s="60" t="str">
        <f t="shared" si="93"/>
        <v>333112</v>
      </c>
      <c r="B1270" s="60">
        <f>COUNTIF($J$7:J1270,J1270)</f>
        <v>333</v>
      </c>
      <c r="C1270" s="60" t="str">
        <f t="shared" si="94"/>
        <v>25112,43</v>
      </c>
      <c r="D1270" s="60">
        <f>COUNTIF($K$7:K1270,K1270)</f>
        <v>25</v>
      </c>
      <c r="E1270" s="61"/>
      <c r="F1270" s="227">
        <v>44609</v>
      </c>
      <c r="G1270" s="72">
        <f t="shared" si="97"/>
        <v>44639</v>
      </c>
      <c r="H1270" s="228" t="s">
        <v>877</v>
      </c>
      <c r="I1270" s="228" t="s">
        <v>41</v>
      </c>
      <c r="J1270" s="64">
        <v>112</v>
      </c>
      <c r="K1270" s="80">
        <v>112.43</v>
      </c>
      <c r="L1270" s="224">
        <f t="shared" si="98"/>
        <v>8250000</v>
      </c>
      <c r="M1270" s="223"/>
      <c r="N1270" s="223"/>
      <c r="O1270" s="61"/>
      <c r="P1270" s="69" t="str">
        <f t="shared" si="95"/>
        <v>Piutang Usaha</v>
      </c>
      <c r="Q1270" s="61"/>
    </row>
    <row r="1271" spans="1:17" hidden="1" x14ac:dyDescent="0.25">
      <c r="A1271" s="60" t="str">
        <f t="shared" si="93"/>
        <v>334112</v>
      </c>
      <c r="B1271" s="60">
        <f>COUNTIF($J$7:J1271,J1271)</f>
        <v>334</v>
      </c>
      <c r="C1271" s="60" t="str">
        <f t="shared" si="94"/>
        <v>26112,43</v>
      </c>
      <c r="D1271" s="60">
        <f>COUNTIF($K$7:K1271,K1271)</f>
        <v>26</v>
      </c>
      <c r="E1271" s="61"/>
      <c r="F1271" s="227">
        <v>44613</v>
      </c>
      <c r="G1271" s="72">
        <f t="shared" si="97"/>
        <v>44643</v>
      </c>
      <c r="H1271" s="228" t="s">
        <v>878</v>
      </c>
      <c r="I1271" s="228" t="s">
        <v>41</v>
      </c>
      <c r="J1271" s="64">
        <v>112</v>
      </c>
      <c r="K1271" s="80">
        <v>112.43</v>
      </c>
      <c r="L1271" s="224">
        <f t="shared" si="98"/>
        <v>1155000</v>
      </c>
      <c r="M1271" s="223"/>
      <c r="N1271" s="223"/>
      <c r="O1271" s="61"/>
      <c r="P1271" s="69" t="str">
        <f t="shared" si="95"/>
        <v>Piutang Usaha</v>
      </c>
      <c r="Q1271" s="61"/>
    </row>
    <row r="1272" spans="1:17" hidden="1" x14ac:dyDescent="0.25">
      <c r="A1272" s="60" t="str">
        <f t="shared" si="93"/>
        <v>335112</v>
      </c>
      <c r="B1272" s="60">
        <f>COUNTIF($J$7:J1272,J1272)</f>
        <v>335</v>
      </c>
      <c r="C1272" s="60" t="str">
        <f t="shared" si="94"/>
        <v>27112,43</v>
      </c>
      <c r="D1272" s="60">
        <f>COUNTIF($K$7:K1272,K1272)</f>
        <v>27</v>
      </c>
      <c r="E1272" s="61"/>
      <c r="F1272" s="227">
        <v>44613</v>
      </c>
      <c r="G1272" s="72">
        <f t="shared" si="97"/>
        <v>44643</v>
      </c>
      <c r="H1272" s="228" t="s">
        <v>878</v>
      </c>
      <c r="I1272" s="228" t="s">
        <v>41</v>
      </c>
      <c r="J1272" s="64">
        <v>112</v>
      </c>
      <c r="K1272" s="80">
        <v>112.43</v>
      </c>
      <c r="L1272" s="224">
        <f t="shared" si="98"/>
        <v>577500</v>
      </c>
      <c r="M1272" s="223"/>
      <c r="N1272" s="223"/>
      <c r="O1272" s="61"/>
      <c r="P1272" s="69" t="str">
        <f t="shared" si="95"/>
        <v>Piutang Usaha</v>
      </c>
      <c r="Q1272" s="61"/>
    </row>
    <row r="1273" spans="1:17" hidden="1" x14ac:dyDescent="0.25">
      <c r="A1273" s="60" t="str">
        <f t="shared" si="93"/>
        <v>336112</v>
      </c>
      <c r="B1273" s="60">
        <f>COUNTIF($J$7:J1273,J1273)</f>
        <v>336</v>
      </c>
      <c r="C1273" s="60" t="str">
        <f t="shared" si="94"/>
        <v>23112,06</v>
      </c>
      <c r="D1273" s="60">
        <f>COUNTIF($K$7:K1273,K1273)</f>
        <v>23</v>
      </c>
      <c r="E1273" s="61"/>
      <c r="F1273" s="227">
        <v>44594</v>
      </c>
      <c r="G1273" s="72">
        <f t="shared" ref="G1273:G1312" si="99">F1273+45</f>
        <v>44639</v>
      </c>
      <c r="H1273" s="228" t="s">
        <v>879</v>
      </c>
      <c r="I1273" s="228" t="s">
        <v>37</v>
      </c>
      <c r="J1273" s="64">
        <v>112</v>
      </c>
      <c r="K1273" s="80">
        <v>112.06</v>
      </c>
      <c r="L1273" s="224">
        <f t="shared" si="98"/>
        <v>2887500</v>
      </c>
      <c r="M1273" s="223"/>
      <c r="N1273" s="223"/>
      <c r="O1273" s="61"/>
      <c r="P1273" s="69" t="str">
        <f t="shared" si="95"/>
        <v>Piutang Usaha</v>
      </c>
      <c r="Q1273" s="61"/>
    </row>
    <row r="1274" spans="1:17" hidden="1" x14ac:dyDescent="0.25">
      <c r="A1274" s="60" t="str">
        <f t="shared" si="93"/>
        <v>337112</v>
      </c>
      <c r="B1274" s="60">
        <f>COUNTIF($J$7:J1274,J1274)</f>
        <v>337</v>
      </c>
      <c r="C1274" s="60" t="str">
        <f t="shared" si="94"/>
        <v>24112,06</v>
      </c>
      <c r="D1274" s="60">
        <f>COUNTIF($K$7:K1274,K1274)</f>
        <v>24</v>
      </c>
      <c r="E1274" s="61"/>
      <c r="F1274" s="227">
        <v>44594</v>
      </c>
      <c r="G1274" s="72">
        <f t="shared" si="99"/>
        <v>44639</v>
      </c>
      <c r="H1274" s="228" t="s">
        <v>879</v>
      </c>
      <c r="I1274" s="228" t="s">
        <v>37</v>
      </c>
      <c r="J1274" s="64">
        <v>112</v>
      </c>
      <c r="K1274" s="80">
        <v>112.06</v>
      </c>
      <c r="L1274" s="224">
        <f t="shared" si="98"/>
        <v>1925000</v>
      </c>
      <c r="M1274" s="223"/>
      <c r="N1274" s="223"/>
      <c r="O1274" s="61"/>
      <c r="P1274" s="69" t="str">
        <f t="shared" si="95"/>
        <v>Piutang Usaha</v>
      </c>
      <c r="Q1274" s="61"/>
    </row>
    <row r="1275" spans="1:17" hidden="1" x14ac:dyDescent="0.25">
      <c r="A1275" s="60" t="str">
        <f t="shared" si="93"/>
        <v>338112</v>
      </c>
      <c r="B1275" s="60">
        <f>COUNTIF($J$7:J1275,J1275)</f>
        <v>338</v>
      </c>
      <c r="C1275" s="60" t="str">
        <f t="shared" si="94"/>
        <v>25112,06</v>
      </c>
      <c r="D1275" s="60">
        <f>COUNTIF($K$7:K1275,K1275)</f>
        <v>25</v>
      </c>
      <c r="E1275" s="61"/>
      <c r="F1275" s="227">
        <v>44599</v>
      </c>
      <c r="G1275" s="72">
        <f t="shared" si="99"/>
        <v>44644</v>
      </c>
      <c r="H1275" s="228" t="s">
        <v>880</v>
      </c>
      <c r="I1275" s="228" t="s">
        <v>37</v>
      </c>
      <c r="J1275" s="64">
        <v>112</v>
      </c>
      <c r="K1275" s="80">
        <v>112.06</v>
      </c>
      <c r="L1275" s="224">
        <f t="shared" si="98"/>
        <v>1996500</v>
      </c>
      <c r="M1275" s="223"/>
      <c r="N1275" s="223"/>
      <c r="O1275" s="61"/>
      <c r="P1275" s="69" t="str">
        <f t="shared" si="95"/>
        <v>Piutang Usaha</v>
      </c>
      <c r="Q1275" s="61"/>
    </row>
    <row r="1276" spans="1:17" hidden="1" x14ac:dyDescent="0.25">
      <c r="A1276" s="60" t="str">
        <f t="shared" si="93"/>
        <v>339112</v>
      </c>
      <c r="B1276" s="60">
        <f>COUNTIF($J$7:J1276,J1276)</f>
        <v>339</v>
      </c>
      <c r="C1276" s="60" t="str">
        <f t="shared" si="94"/>
        <v>26112,06</v>
      </c>
      <c r="D1276" s="60">
        <f>COUNTIF($K$7:K1276,K1276)</f>
        <v>26</v>
      </c>
      <c r="E1276" s="61"/>
      <c r="F1276" s="227">
        <v>44599</v>
      </c>
      <c r="G1276" s="72">
        <f t="shared" si="99"/>
        <v>44644</v>
      </c>
      <c r="H1276" s="228" t="s">
        <v>880</v>
      </c>
      <c r="I1276" s="228" t="s">
        <v>37</v>
      </c>
      <c r="J1276" s="64">
        <v>112</v>
      </c>
      <c r="K1276" s="80">
        <v>112.06</v>
      </c>
      <c r="L1276" s="224">
        <f t="shared" si="98"/>
        <v>1996500</v>
      </c>
      <c r="M1276" s="223"/>
      <c r="N1276" s="223"/>
      <c r="O1276" s="61"/>
      <c r="P1276" s="69" t="str">
        <f t="shared" si="95"/>
        <v>Piutang Usaha</v>
      </c>
      <c r="Q1276" s="61"/>
    </row>
    <row r="1277" spans="1:17" hidden="1" x14ac:dyDescent="0.25">
      <c r="A1277" s="60" t="str">
        <f t="shared" si="93"/>
        <v>340112</v>
      </c>
      <c r="B1277" s="60">
        <f>COUNTIF($J$7:J1277,J1277)</f>
        <v>340</v>
      </c>
      <c r="C1277" s="60" t="str">
        <f t="shared" si="94"/>
        <v>27112,06</v>
      </c>
      <c r="D1277" s="60">
        <f>COUNTIF($K$7:K1277,K1277)</f>
        <v>27</v>
      </c>
      <c r="E1277" s="61"/>
      <c r="F1277" s="227">
        <v>44599</v>
      </c>
      <c r="G1277" s="72">
        <f t="shared" si="99"/>
        <v>44644</v>
      </c>
      <c r="H1277" s="228" t="s">
        <v>880</v>
      </c>
      <c r="I1277" s="228" t="s">
        <v>37</v>
      </c>
      <c r="J1277" s="64">
        <v>112</v>
      </c>
      <c r="K1277" s="80">
        <v>112.06</v>
      </c>
      <c r="L1277" s="224">
        <f t="shared" si="98"/>
        <v>1996500</v>
      </c>
      <c r="M1277" s="223"/>
      <c r="N1277" s="223"/>
      <c r="O1277" s="61"/>
      <c r="P1277" s="69" t="str">
        <f t="shared" si="95"/>
        <v>Piutang Usaha</v>
      </c>
      <c r="Q1277" s="61"/>
    </row>
    <row r="1278" spans="1:17" hidden="1" x14ac:dyDescent="0.25">
      <c r="A1278" s="60" t="str">
        <f t="shared" si="93"/>
        <v>341112</v>
      </c>
      <c r="B1278" s="60">
        <f>COUNTIF($J$7:J1278,J1278)</f>
        <v>341</v>
      </c>
      <c r="C1278" s="60" t="str">
        <f t="shared" si="94"/>
        <v>28112,06</v>
      </c>
      <c r="D1278" s="60">
        <f>COUNTIF($K$7:K1278,K1278)</f>
        <v>28</v>
      </c>
      <c r="E1278" s="61"/>
      <c r="F1278" s="227">
        <v>44599</v>
      </c>
      <c r="G1278" s="72">
        <f t="shared" si="99"/>
        <v>44644</v>
      </c>
      <c r="H1278" s="228" t="s">
        <v>880</v>
      </c>
      <c r="I1278" s="228" t="s">
        <v>37</v>
      </c>
      <c r="J1278" s="64">
        <v>112</v>
      </c>
      <c r="K1278" s="80">
        <v>112.06</v>
      </c>
      <c r="L1278" s="224">
        <f t="shared" si="98"/>
        <v>4818000</v>
      </c>
      <c r="M1278" s="223"/>
      <c r="N1278" s="223"/>
      <c r="O1278" s="61"/>
      <c r="P1278" s="69" t="str">
        <f t="shared" si="95"/>
        <v>Piutang Usaha</v>
      </c>
      <c r="Q1278" s="61"/>
    </row>
    <row r="1279" spans="1:17" hidden="1" x14ac:dyDescent="0.25">
      <c r="A1279" s="60" t="str">
        <f t="shared" si="93"/>
        <v>342112</v>
      </c>
      <c r="B1279" s="60">
        <f>COUNTIF($J$7:J1279,J1279)</f>
        <v>342</v>
      </c>
      <c r="C1279" s="60" t="str">
        <f t="shared" si="94"/>
        <v>29112,06</v>
      </c>
      <c r="D1279" s="60">
        <f>COUNTIF($K$7:K1279,K1279)</f>
        <v>29</v>
      </c>
      <c r="E1279" s="61"/>
      <c r="F1279" s="227">
        <v>44599</v>
      </c>
      <c r="G1279" s="72">
        <f t="shared" si="99"/>
        <v>44644</v>
      </c>
      <c r="H1279" s="228" t="s">
        <v>881</v>
      </c>
      <c r="I1279" s="228" t="s">
        <v>37</v>
      </c>
      <c r="J1279" s="64">
        <v>112</v>
      </c>
      <c r="K1279" s="80">
        <v>112.06</v>
      </c>
      <c r="L1279" s="224">
        <f t="shared" si="98"/>
        <v>1996500</v>
      </c>
      <c r="M1279" s="223"/>
      <c r="N1279" s="223"/>
      <c r="O1279" s="61"/>
      <c r="P1279" s="69" t="str">
        <f t="shared" si="95"/>
        <v>Piutang Usaha</v>
      </c>
      <c r="Q1279" s="61"/>
    </row>
    <row r="1280" spans="1:17" hidden="1" x14ac:dyDescent="0.25">
      <c r="A1280" s="60" t="str">
        <f t="shared" si="93"/>
        <v>343112</v>
      </c>
      <c r="B1280" s="60">
        <f>COUNTIF($J$7:J1280,J1280)</f>
        <v>343</v>
      </c>
      <c r="C1280" s="60" t="str">
        <f t="shared" si="94"/>
        <v>30112,06</v>
      </c>
      <c r="D1280" s="60">
        <f>COUNTIF($K$7:K1280,K1280)</f>
        <v>30</v>
      </c>
      <c r="E1280" s="61"/>
      <c r="F1280" s="227">
        <v>44599</v>
      </c>
      <c r="G1280" s="72">
        <f t="shared" si="99"/>
        <v>44644</v>
      </c>
      <c r="H1280" s="228" t="s">
        <v>881</v>
      </c>
      <c r="I1280" s="228" t="s">
        <v>37</v>
      </c>
      <c r="J1280" s="64">
        <v>112</v>
      </c>
      <c r="K1280" s="80">
        <v>112.06</v>
      </c>
      <c r="L1280" s="224">
        <f t="shared" si="98"/>
        <v>3993000</v>
      </c>
      <c r="M1280" s="223"/>
      <c r="N1280" s="223"/>
      <c r="O1280" s="61"/>
      <c r="P1280" s="69" t="str">
        <f t="shared" si="95"/>
        <v>Piutang Usaha</v>
      </c>
      <c r="Q1280" s="61"/>
    </row>
    <row r="1281" spans="1:17" hidden="1" x14ac:dyDescent="0.25">
      <c r="A1281" s="60" t="str">
        <f t="shared" si="93"/>
        <v>344112</v>
      </c>
      <c r="B1281" s="60">
        <f>COUNTIF($J$7:J1281,J1281)</f>
        <v>344</v>
      </c>
      <c r="C1281" s="60" t="str">
        <f t="shared" si="94"/>
        <v>31112,06</v>
      </c>
      <c r="D1281" s="60">
        <f>COUNTIF($K$7:K1281,K1281)</f>
        <v>31</v>
      </c>
      <c r="E1281" s="61"/>
      <c r="F1281" s="227">
        <v>44599</v>
      </c>
      <c r="G1281" s="72">
        <f t="shared" si="99"/>
        <v>44644</v>
      </c>
      <c r="H1281" s="228" t="s">
        <v>881</v>
      </c>
      <c r="I1281" s="228" t="s">
        <v>37</v>
      </c>
      <c r="J1281" s="64">
        <v>112</v>
      </c>
      <c r="K1281" s="80">
        <v>112.06</v>
      </c>
      <c r="L1281" s="224">
        <f t="shared" si="98"/>
        <v>3993000</v>
      </c>
      <c r="M1281" s="223"/>
      <c r="N1281" s="223"/>
      <c r="O1281" s="61"/>
      <c r="P1281" s="69" t="str">
        <f t="shared" si="95"/>
        <v>Piutang Usaha</v>
      </c>
      <c r="Q1281" s="61"/>
    </row>
    <row r="1282" spans="1:17" hidden="1" x14ac:dyDescent="0.25">
      <c r="A1282" s="60" t="str">
        <f t="shared" si="93"/>
        <v>345112</v>
      </c>
      <c r="B1282" s="60">
        <f>COUNTIF($J$7:J1282,J1282)</f>
        <v>345</v>
      </c>
      <c r="C1282" s="60" t="str">
        <f t="shared" si="94"/>
        <v>32112,06</v>
      </c>
      <c r="D1282" s="60">
        <f>COUNTIF($K$7:K1282,K1282)</f>
        <v>32</v>
      </c>
      <c r="E1282" s="61"/>
      <c r="F1282" s="227">
        <v>44599</v>
      </c>
      <c r="G1282" s="72">
        <f t="shared" si="99"/>
        <v>44644</v>
      </c>
      <c r="H1282" s="228" t="s">
        <v>881</v>
      </c>
      <c r="I1282" s="228" t="s">
        <v>37</v>
      </c>
      <c r="J1282" s="64">
        <v>112</v>
      </c>
      <c r="K1282" s="80">
        <v>112.06</v>
      </c>
      <c r="L1282" s="224">
        <f t="shared" si="98"/>
        <v>1996500</v>
      </c>
      <c r="M1282" s="223"/>
      <c r="N1282" s="223"/>
      <c r="O1282" s="61"/>
      <c r="P1282" s="69" t="str">
        <f t="shared" si="95"/>
        <v>Piutang Usaha</v>
      </c>
      <c r="Q1282" s="61"/>
    </row>
    <row r="1283" spans="1:17" hidden="1" x14ac:dyDescent="0.25">
      <c r="A1283" s="60" t="str">
        <f t="shared" si="93"/>
        <v>346112</v>
      </c>
      <c r="B1283" s="60">
        <f>COUNTIF($J$7:J1283,J1283)</f>
        <v>346</v>
      </c>
      <c r="C1283" s="60" t="str">
        <f t="shared" si="94"/>
        <v>33112,06</v>
      </c>
      <c r="D1283" s="60">
        <f>COUNTIF($K$7:K1283,K1283)</f>
        <v>33</v>
      </c>
      <c r="E1283" s="61"/>
      <c r="F1283" s="227">
        <v>44599</v>
      </c>
      <c r="G1283" s="72">
        <f t="shared" si="99"/>
        <v>44644</v>
      </c>
      <c r="H1283" s="228" t="s">
        <v>882</v>
      </c>
      <c r="I1283" s="228" t="s">
        <v>37</v>
      </c>
      <c r="J1283" s="64">
        <v>112</v>
      </c>
      <c r="K1283" s="80">
        <v>112.06</v>
      </c>
      <c r="L1283" s="224">
        <f t="shared" si="98"/>
        <v>14437500</v>
      </c>
      <c r="M1283" s="223"/>
      <c r="N1283" s="223"/>
      <c r="O1283" s="61"/>
      <c r="P1283" s="69" t="str">
        <f t="shared" si="95"/>
        <v>Piutang Usaha</v>
      </c>
      <c r="Q1283" s="61"/>
    </row>
    <row r="1284" spans="1:17" hidden="1" x14ac:dyDescent="0.25">
      <c r="A1284" s="60" t="str">
        <f t="shared" si="93"/>
        <v>347112</v>
      </c>
      <c r="B1284" s="60">
        <f>COUNTIF($J$7:J1284,J1284)</f>
        <v>347</v>
      </c>
      <c r="C1284" s="60" t="str">
        <f t="shared" si="94"/>
        <v>34112,06</v>
      </c>
      <c r="D1284" s="60">
        <f>COUNTIF($K$7:K1284,K1284)</f>
        <v>34</v>
      </c>
      <c r="E1284" s="61"/>
      <c r="F1284" s="227">
        <v>44599</v>
      </c>
      <c r="G1284" s="72">
        <f t="shared" si="99"/>
        <v>44644</v>
      </c>
      <c r="H1284" s="228" t="s">
        <v>882</v>
      </c>
      <c r="I1284" s="228" t="s">
        <v>37</v>
      </c>
      <c r="J1284" s="64">
        <v>112</v>
      </c>
      <c r="K1284" s="80">
        <v>112.06</v>
      </c>
      <c r="L1284" s="224">
        <f t="shared" si="98"/>
        <v>4812500</v>
      </c>
      <c r="M1284" s="223"/>
      <c r="N1284" s="223"/>
      <c r="O1284" s="61"/>
      <c r="P1284" s="69" t="str">
        <f t="shared" si="95"/>
        <v>Piutang Usaha</v>
      </c>
      <c r="Q1284" s="61"/>
    </row>
    <row r="1285" spans="1:17" hidden="1" x14ac:dyDescent="0.25">
      <c r="A1285" s="60" t="str">
        <f t="shared" si="93"/>
        <v>348112</v>
      </c>
      <c r="B1285" s="60">
        <f>COUNTIF($J$7:J1285,J1285)</f>
        <v>348</v>
      </c>
      <c r="C1285" s="60" t="str">
        <f t="shared" si="94"/>
        <v>35112,06</v>
      </c>
      <c r="D1285" s="60">
        <f>COUNTIF($K$7:K1285,K1285)</f>
        <v>35</v>
      </c>
      <c r="E1285" s="61"/>
      <c r="F1285" s="227">
        <v>44599</v>
      </c>
      <c r="G1285" s="72">
        <f t="shared" si="99"/>
        <v>44644</v>
      </c>
      <c r="H1285" s="228" t="s">
        <v>882</v>
      </c>
      <c r="I1285" s="228" t="s">
        <v>37</v>
      </c>
      <c r="J1285" s="64">
        <v>112</v>
      </c>
      <c r="K1285" s="80">
        <v>112.06</v>
      </c>
      <c r="L1285" s="224">
        <f t="shared" si="98"/>
        <v>1925000</v>
      </c>
      <c r="M1285" s="223"/>
      <c r="N1285" s="223"/>
      <c r="O1285" s="61"/>
      <c r="P1285" s="69" t="str">
        <f t="shared" si="95"/>
        <v>Piutang Usaha</v>
      </c>
      <c r="Q1285" s="61"/>
    </row>
    <row r="1286" spans="1:17" hidden="1" x14ac:dyDescent="0.25">
      <c r="A1286" s="60" t="str">
        <f t="shared" si="93"/>
        <v>349112</v>
      </c>
      <c r="B1286" s="60">
        <f>COUNTIF($J$7:J1286,J1286)</f>
        <v>349</v>
      </c>
      <c r="C1286" s="60" t="str">
        <f t="shared" si="94"/>
        <v>36112,06</v>
      </c>
      <c r="D1286" s="60">
        <f>COUNTIF($K$7:K1286,K1286)</f>
        <v>36</v>
      </c>
      <c r="E1286" s="61"/>
      <c r="F1286" s="227">
        <v>44601</v>
      </c>
      <c r="G1286" s="72">
        <f t="shared" si="99"/>
        <v>44646</v>
      </c>
      <c r="H1286" s="228" t="s">
        <v>883</v>
      </c>
      <c r="I1286" s="228" t="s">
        <v>37</v>
      </c>
      <c r="J1286" s="64">
        <v>112</v>
      </c>
      <c r="K1286" s="80">
        <v>112.06</v>
      </c>
      <c r="L1286" s="224">
        <f t="shared" si="98"/>
        <v>1996500</v>
      </c>
      <c r="M1286" s="223"/>
      <c r="N1286" s="223"/>
      <c r="O1286" s="61"/>
      <c r="P1286" s="69" t="str">
        <f t="shared" si="95"/>
        <v>Piutang Usaha</v>
      </c>
      <c r="Q1286" s="61"/>
    </row>
    <row r="1287" spans="1:17" hidden="1" x14ac:dyDescent="0.25">
      <c r="A1287" s="60" t="str">
        <f t="shared" ref="A1287:A1350" si="100">B1287&amp;J1287</f>
        <v>350112</v>
      </c>
      <c r="B1287" s="60">
        <f>COUNTIF($J$7:J1287,J1287)</f>
        <v>350</v>
      </c>
      <c r="C1287" s="60" t="str">
        <f t="shared" ref="C1287:C1350" si="101">D1287&amp;K1287</f>
        <v>37112,06</v>
      </c>
      <c r="D1287" s="60">
        <f>COUNTIF($K$7:K1287,K1287)</f>
        <v>37</v>
      </c>
      <c r="E1287" s="61"/>
      <c r="F1287" s="227">
        <v>44601</v>
      </c>
      <c r="G1287" s="72">
        <f t="shared" si="99"/>
        <v>44646</v>
      </c>
      <c r="H1287" s="228" t="s">
        <v>883</v>
      </c>
      <c r="I1287" s="228" t="s">
        <v>37</v>
      </c>
      <c r="J1287" s="64">
        <v>112</v>
      </c>
      <c r="K1287" s="80">
        <v>112.06</v>
      </c>
      <c r="L1287" s="224">
        <f t="shared" si="98"/>
        <v>2409000</v>
      </c>
      <c r="M1287" s="223"/>
      <c r="N1287" s="223"/>
      <c r="O1287" s="61"/>
      <c r="P1287" s="69" t="str">
        <f t="shared" ref="P1287:P1350" si="102">IF(J1287=0,"-",+VLOOKUP(J1287,DAF_AKUN,2,FALSE))</f>
        <v>Piutang Usaha</v>
      </c>
      <c r="Q1287" s="61"/>
    </row>
    <row r="1288" spans="1:17" hidden="1" x14ac:dyDescent="0.25">
      <c r="A1288" s="60" t="str">
        <f t="shared" si="100"/>
        <v>351112</v>
      </c>
      <c r="B1288" s="60">
        <f>COUNTIF($J$7:J1288,J1288)</f>
        <v>351</v>
      </c>
      <c r="C1288" s="60" t="str">
        <f t="shared" si="101"/>
        <v>38112,06</v>
      </c>
      <c r="D1288" s="60">
        <f>COUNTIF($K$7:K1288,K1288)</f>
        <v>38</v>
      </c>
      <c r="E1288" s="61"/>
      <c r="F1288" s="227">
        <v>44601</v>
      </c>
      <c r="G1288" s="72">
        <f t="shared" si="99"/>
        <v>44646</v>
      </c>
      <c r="H1288" s="228" t="s">
        <v>883</v>
      </c>
      <c r="I1288" s="228" t="s">
        <v>37</v>
      </c>
      <c r="J1288" s="64">
        <v>112</v>
      </c>
      <c r="K1288" s="80">
        <v>112.06</v>
      </c>
      <c r="L1288" s="224">
        <f t="shared" si="98"/>
        <v>2409000</v>
      </c>
      <c r="M1288" s="223"/>
      <c r="N1288" s="223"/>
      <c r="O1288" s="61"/>
      <c r="P1288" s="69" t="str">
        <f t="shared" si="102"/>
        <v>Piutang Usaha</v>
      </c>
      <c r="Q1288" s="61"/>
    </row>
    <row r="1289" spans="1:17" hidden="1" x14ac:dyDescent="0.25">
      <c r="A1289" s="60" t="str">
        <f t="shared" si="100"/>
        <v>352112</v>
      </c>
      <c r="B1289" s="60">
        <f>COUNTIF($J$7:J1289,J1289)</f>
        <v>352</v>
      </c>
      <c r="C1289" s="60" t="str">
        <f t="shared" si="101"/>
        <v>39112,06</v>
      </c>
      <c r="D1289" s="60">
        <f>COUNTIF($K$7:K1289,K1289)</f>
        <v>39</v>
      </c>
      <c r="E1289" s="61"/>
      <c r="F1289" s="227">
        <v>44601</v>
      </c>
      <c r="G1289" s="72">
        <f t="shared" si="99"/>
        <v>44646</v>
      </c>
      <c r="H1289" s="228" t="s">
        <v>883</v>
      </c>
      <c r="I1289" s="228" t="s">
        <v>37</v>
      </c>
      <c r="J1289" s="64">
        <v>112</v>
      </c>
      <c r="K1289" s="80">
        <v>112.06</v>
      </c>
      <c r="L1289" s="224">
        <f t="shared" si="98"/>
        <v>4818000</v>
      </c>
      <c r="M1289" s="223"/>
      <c r="N1289" s="223"/>
      <c r="O1289" s="61"/>
      <c r="P1289" s="69" t="str">
        <f t="shared" si="102"/>
        <v>Piutang Usaha</v>
      </c>
      <c r="Q1289" s="61"/>
    </row>
    <row r="1290" spans="1:17" hidden="1" x14ac:dyDescent="0.25">
      <c r="A1290" s="60" t="str">
        <f t="shared" si="100"/>
        <v>353112</v>
      </c>
      <c r="B1290" s="60">
        <f>COUNTIF($J$7:J1290,J1290)</f>
        <v>353</v>
      </c>
      <c r="C1290" s="60" t="str">
        <f t="shared" si="101"/>
        <v>40112,06</v>
      </c>
      <c r="D1290" s="60">
        <f>COUNTIF($K$7:K1290,K1290)</f>
        <v>40</v>
      </c>
      <c r="E1290" s="61"/>
      <c r="F1290" s="227">
        <v>44601</v>
      </c>
      <c r="G1290" s="72">
        <f t="shared" si="99"/>
        <v>44646</v>
      </c>
      <c r="H1290" s="228" t="s">
        <v>883</v>
      </c>
      <c r="I1290" s="228" t="s">
        <v>37</v>
      </c>
      <c r="J1290" s="64">
        <v>112</v>
      </c>
      <c r="K1290" s="80">
        <v>112.06</v>
      </c>
      <c r="L1290" s="224">
        <f t="shared" si="98"/>
        <v>4818000</v>
      </c>
      <c r="M1290" s="223"/>
      <c r="N1290" s="223"/>
      <c r="O1290" s="61"/>
      <c r="P1290" s="69" t="str">
        <f t="shared" si="102"/>
        <v>Piutang Usaha</v>
      </c>
      <c r="Q1290" s="61"/>
    </row>
    <row r="1291" spans="1:17" hidden="1" x14ac:dyDescent="0.25">
      <c r="A1291" s="60" t="str">
        <f t="shared" si="100"/>
        <v>354112</v>
      </c>
      <c r="B1291" s="60">
        <f>COUNTIF($J$7:J1291,J1291)</f>
        <v>354</v>
      </c>
      <c r="C1291" s="60" t="str">
        <f t="shared" si="101"/>
        <v>41112,06</v>
      </c>
      <c r="D1291" s="60">
        <f>COUNTIF($K$7:K1291,K1291)</f>
        <v>41</v>
      </c>
      <c r="E1291" s="61"/>
      <c r="F1291" s="227">
        <v>44601</v>
      </c>
      <c r="G1291" s="72">
        <f t="shared" si="99"/>
        <v>44646</v>
      </c>
      <c r="H1291" s="228" t="s">
        <v>883</v>
      </c>
      <c r="I1291" s="228" t="s">
        <v>37</v>
      </c>
      <c r="J1291" s="64">
        <v>112</v>
      </c>
      <c r="K1291" s="80">
        <v>112.06</v>
      </c>
      <c r="L1291" s="224">
        <f t="shared" si="98"/>
        <v>2409000</v>
      </c>
      <c r="M1291" s="223"/>
      <c r="N1291" s="223"/>
      <c r="O1291" s="61"/>
      <c r="P1291" s="69" t="str">
        <f t="shared" si="102"/>
        <v>Piutang Usaha</v>
      </c>
      <c r="Q1291" s="61"/>
    </row>
    <row r="1292" spans="1:17" hidden="1" x14ac:dyDescent="0.25">
      <c r="A1292" s="60" t="str">
        <f t="shared" si="100"/>
        <v>355112</v>
      </c>
      <c r="B1292" s="60">
        <f>COUNTIF($J$7:J1292,J1292)</f>
        <v>355</v>
      </c>
      <c r="C1292" s="60" t="str">
        <f t="shared" si="101"/>
        <v>42112,06</v>
      </c>
      <c r="D1292" s="60">
        <f>COUNTIF($K$7:K1292,K1292)</f>
        <v>42</v>
      </c>
      <c r="E1292" s="61"/>
      <c r="F1292" s="227">
        <v>44606</v>
      </c>
      <c r="G1292" s="72">
        <f t="shared" si="99"/>
        <v>44651</v>
      </c>
      <c r="H1292" s="228" t="s">
        <v>884</v>
      </c>
      <c r="I1292" s="228" t="s">
        <v>37</v>
      </c>
      <c r="J1292" s="64">
        <v>112</v>
      </c>
      <c r="K1292" s="80">
        <v>112.06</v>
      </c>
      <c r="L1292" s="224">
        <f t="shared" si="98"/>
        <v>9625000</v>
      </c>
      <c r="M1292" s="223"/>
      <c r="N1292" s="223"/>
      <c r="O1292" s="61"/>
      <c r="P1292" s="69" t="str">
        <f t="shared" si="102"/>
        <v>Piutang Usaha</v>
      </c>
      <c r="Q1292" s="61"/>
    </row>
    <row r="1293" spans="1:17" hidden="1" x14ac:dyDescent="0.25">
      <c r="A1293" s="60" t="str">
        <f t="shared" si="100"/>
        <v>356112</v>
      </c>
      <c r="B1293" s="60">
        <f>COUNTIF($J$7:J1293,J1293)</f>
        <v>356</v>
      </c>
      <c r="C1293" s="60" t="str">
        <f t="shared" si="101"/>
        <v>43112,06</v>
      </c>
      <c r="D1293" s="60">
        <f>COUNTIF($K$7:K1293,K1293)</f>
        <v>43</v>
      </c>
      <c r="E1293" s="61"/>
      <c r="F1293" s="227">
        <v>44606</v>
      </c>
      <c r="G1293" s="72">
        <f t="shared" si="99"/>
        <v>44651</v>
      </c>
      <c r="H1293" s="228" t="s">
        <v>884</v>
      </c>
      <c r="I1293" s="228" t="s">
        <v>37</v>
      </c>
      <c r="J1293" s="64">
        <v>112</v>
      </c>
      <c r="K1293" s="80">
        <v>112.06</v>
      </c>
      <c r="L1293" s="224">
        <f t="shared" si="98"/>
        <v>3850000</v>
      </c>
      <c r="M1293" s="223"/>
      <c r="N1293" s="223"/>
      <c r="O1293" s="61"/>
      <c r="P1293" s="69" t="str">
        <f t="shared" si="102"/>
        <v>Piutang Usaha</v>
      </c>
      <c r="Q1293" s="61"/>
    </row>
    <row r="1294" spans="1:17" hidden="1" x14ac:dyDescent="0.25">
      <c r="A1294" s="60" t="str">
        <f t="shared" si="100"/>
        <v>357112</v>
      </c>
      <c r="B1294" s="60">
        <f>COUNTIF($J$7:J1294,J1294)</f>
        <v>357</v>
      </c>
      <c r="C1294" s="60" t="str">
        <f t="shared" si="101"/>
        <v>44112,06</v>
      </c>
      <c r="D1294" s="60">
        <f>COUNTIF($K$7:K1294,K1294)</f>
        <v>44</v>
      </c>
      <c r="E1294" s="61"/>
      <c r="F1294" s="227">
        <v>44607</v>
      </c>
      <c r="G1294" s="72">
        <f t="shared" si="99"/>
        <v>44652</v>
      </c>
      <c r="H1294" s="228" t="s">
        <v>885</v>
      </c>
      <c r="I1294" s="228" t="s">
        <v>37</v>
      </c>
      <c r="J1294" s="64">
        <v>112</v>
      </c>
      <c r="K1294" s="80">
        <v>112.06</v>
      </c>
      <c r="L1294" s="224">
        <f t="shared" si="98"/>
        <v>3993000</v>
      </c>
      <c r="M1294" s="223"/>
      <c r="N1294" s="223"/>
      <c r="O1294" s="61"/>
      <c r="P1294" s="69" t="str">
        <f t="shared" si="102"/>
        <v>Piutang Usaha</v>
      </c>
      <c r="Q1294" s="61"/>
    </row>
    <row r="1295" spans="1:17" hidden="1" x14ac:dyDescent="0.25">
      <c r="A1295" s="60" t="str">
        <f t="shared" si="100"/>
        <v>358112</v>
      </c>
      <c r="B1295" s="60">
        <f>COUNTIF($J$7:J1295,J1295)</f>
        <v>358</v>
      </c>
      <c r="C1295" s="60" t="str">
        <f t="shared" si="101"/>
        <v>45112,06</v>
      </c>
      <c r="D1295" s="60">
        <f>COUNTIF($K$7:K1295,K1295)</f>
        <v>45</v>
      </c>
      <c r="E1295" s="61"/>
      <c r="F1295" s="227">
        <v>44607</v>
      </c>
      <c r="G1295" s="72">
        <f t="shared" si="99"/>
        <v>44652</v>
      </c>
      <c r="H1295" s="228" t="s">
        <v>885</v>
      </c>
      <c r="I1295" s="228" t="s">
        <v>37</v>
      </c>
      <c r="J1295" s="64">
        <v>112</v>
      </c>
      <c r="K1295" s="80">
        <v>112.06</v>
      </c>
      <c r="L1295" s="224">
        <f t="shared" si="98"/>
        <v>3993000</v>
      </c>
      <c r="M1295" s="223"/>
      <c r="N1295" s="223"/>
      <c r="O1295" s="61"/>
      <c r="P1295" s="69" t="str">
        <f t="shared" si="102"/>
        <v>Piutang Usaha</v>
      </c>
      <c r="Q1295" s="61"/>
    </row>
    <row r="1296" spans="1:17" hidden="1" x14ac:dyDescent="0.25">
      <c r="A1296" s="60" t="str">
        <f t="shared" si="100"/>
        <v>359112</v>
      </c>
      <c r="B1296" s="60">
        <f>COUNTIF($J$7:J1296,J1296)</f>
        <v>359</v>
      </c>
      <c r="C1296" s="60" t="str">
        <f t="shared" si="101"/>
        <v>46112,06</v>
      </c>
      <c r="D1296" s="60">
        <f>COUNTIF($K$7:K1296,K1296)</f>
        <v>46</v>
      </c>
      <c r="E1296" s="61"/>
      <c r="F1296" s="227">
        <v>44607</v>
      </c>
      <c r="G1296" s="72">
        <f t="shared" si="99"/>
        <v>44652</v>
      </c>
      <c r="H1296" s="228" t="s">
        <v>885</v>
      </c>
      <c r="I1296" s="228" t="s">
        <v>37</v>
      </c>
      <c r="J1296" s="64">
        <v>112</v>
      </c>
      <c r="K1296" s="80">
        <v>112.06</v>
      </c>
      <c r="L1296" s="224">
        <f t="shared" si="98"/>
        <v>4818000</v>
      </c>
      <c r="M1296" s="223"/>
      <c r="N1296" s="223"/>
      <c r="O1296" s="61"/>
      <c r="P1296" s="69" t="str">
        <f t="shared" si="102"/>
        <v>Piutang Usaha</v>
      </c>
      <c r="Q1296" s="61"/>
    </row>
    <row r="1297" spans="1:17" hidden="1" x14ac:dyDescent="0.25">
      <c r="A1297" s="60" t="str">
        <f t="shared" si="100"/>
        <v>360112</v>
      </c>
      <c r="B1297" s="60">
        <f>COUNTIF($J$7:J1297,J1297)</f>
        <v>360</v>
      </c>
      <c r="C1297" s="60" t="str">
        <f t="shared" si="101"/>
        <v>47112,06</v>
      </c>
      <c r="D1297" s="60">
        <f>COUNTIF($K$7:K1297,K1297)</f>
        <v>47</v>
      </c>
      <c r="E1297" s="61"/>
      <c r="F1297" s="227">
        <v>44607</v>
      </c>
      <c r="G1297" s="72">
        <f t="shared" si="99"/>
        <v>44652</v>
      </c>
      <c r="H1297" s="228" t="s">
        <v>885</v>
      </c>
      <c r="I1297" s="228" t="s">
        <v>37</v>
      </c>
      <c r="J1297" s="64">
        <v>112</v>
      </c>
      <c r="K1297" s="80">
        <v>112.06</v>
      </c>
      <c r="L1297" s="224">
        <f t="shared" si="98"/>
        <v>2409000</v>
      </c>
      <c r="M1297" s="223"/>
      <c r="N1297" s="223"/>
      <c r="O1297" s="61"/>
      <c r="P1297" s="69" t="str">
        <f t="shared" si="102"/>
        <v>Piutang Usaha</v>
      </c>
      <c r="Q1297" s="61"/>
    </row>
    <row r="1298" spans="1:17" hidden="1" x14ac:dyDescent="0.25">
      <c r="A1298" s="60" t="str">
        <f t="shared" si="100"/>
        <v>361112</v>
      </c>
      <c r="B1298" s="60">
        <f>COUNTIF($J$7:J1298,J1298)</f>
        <v>361</v>
      </c>
      <c r="C1298" s="60" t="str">
        <f t="shared" si="101"/>
        <v>48112,06</v>
      </c>
      <c r="D1298" s="60">
        <f>COUNTIF($K$7:K1298,K1298)</f>
        <v>48</v>
      </c>
      <c r="E1298" s="61"/>
      <c r="F1298" s="227">
        <v>44607</v>
      </c>
      <c r="G1298" s="72">
        <f t="shared" si="99"/>
        <v>44652</v>
      </c>
      <c r="H1298" s="228" t="s">
        <v>885</v>
      </c>
      <c r="I1298" s="228" t="s">
        <v>37</v>
      </c>
      <c r="J1298" s="64">
        <v>112</v>
      </c>
      <c r="K1298" s="80">
        <v>112.06</v>
      </c>
      <c r="L1298" s="224">
        <f t="shared" si="98"/>
        <v>2409000</v>
      </c>
      <c r="M1298" s="223"/>
      <c r="N1298" s="223"/>
      <c r="O1298" s="61"/>
      <c r="P1298" s="69" t="str">
        <f t="shared" si="102"/>
        <v>Piutang Usaha</v>
      </c>
      <c r="Q1298" s="61"/>
    </row>
    <row r="1299" spans="1:17" hidden="1" x14ac:dyDescent="0.25">
      <c r="A1299" s="60" t="str">
        <f t="shared" si="100"/>
        <v>362112</v>
      </c>
      <c r="B1299" s="60">
        <f>COUNTIF($J$7:J1299,J1299)</f>
        <v>362</v>
      </c>
      <c r="C1299" s="60" t="str">
        <f t="shared" si="101"/>
        <v>49112,06</v>
      </c>
      <c r="D1299" s="60">
        <f>COUNTIF($K$7:K1299,K1299)</f>
        <v>49</v>
      </c>
      <c r="E1299" s="61"/>
      <c r="F1299" s="227">
        <v>44609</v>
      </c>
      <c r="G1299" s="72">
        <f t="shared" si="99"/>
        <v>44654</v>
      </c>
      <c r="H1299" s="228" t="s">
        <v>886</v>
      </c>
      <c r="I1299" s="228" t="s">
        <v>37</v>
      </c>
      <c r="J1299" s="64">
        <v>112</v>
      </c>
      <c r="K1299" s="80">
        <v>112.06</v>
      </c>
      <c r="L1299" s="224">
        <f t="shared" si="98"/>
        <v>3850000</v>
      </c>
      <c r="M1299" s="223"/>
      <c r="N1299" s="223"/>
      <c r="O1299" s="61"/>
      <c r="P1299" s="69" t="str">
        <f t="shared" si="102"/>
        <v>Piutang Usaha</v>
      </c>
      <c r="Q1299" s="61"/>
    </row>
    <row r="1300" spans="1:17" hidden="1" x14ac:dyDescent="0.25">
      <c r="A1300" s="60" t="str">
        <f t="shared" si="100"/>
        <v>363112</v>
      </c>
      <c r="B1300" s="60">
        <f>COUNTIF($J$7:J1300,J1300)</f>
        <v>363</v>
      </c>
      <c r="C1300" s="60" t="str">
        <f t="shared" si="101"/>
        <v>50112,06</v>
      </c>
      <c r="D1300" s="60">
        <f>COUNTIF($K$7:K1300,K1300)</f>
        <v>50</v>
      </c>
      <c r="E1300" s="61"/>
      <c r="F1300" s="227">
        <v>44609</v>
      </c>
      <c r="G1300" s="72">
        <f t="shared" si="99"/>
        <v>44654</v>
      </c>
      <c r="H1300" s="228" t="s">
        <v>886</v>
      </c>
      <c r="I1300" s="228" t="s">
        <v>37</v>
      </c>
      <c r="J1300" s="64">
        <v>112</v>
      </c>
      <c r="K1300" s="80">
        <v>112.06</v>
      </c>
      <c r="L1300" s="224">
        <f t="shared" si="98"/>
        <v>5775000</v>
      </c>
      <c r="M1300" s="223"/>
      <c r="N1300" s="223"/>
      <c r="O1300" s="61"/>
      <c r="P1300" s="69" t="str">
        <f t="shared" si="102"/>
        <v>Piutang Usaha</v>
      </c>
      <c r="Q1300" s="61"/>
    </row>
    <row r="1301" spans="1:17" hidden="1" x14ac:dyDescent="0.25">
      <c r="A1301" s="60" t="str">
        <f t="shared" si="100"/>
        <v>364112</v>
      </c>
      <c r="B1301" s="60">
        <f>COUNTIF($J$7:J1301,J1301)</f>
        <v>364</v>
      </c>
      <c r="C1301" s="60" t="str">
        <f t="shared" si="101"/>
        <v>51112,06</v>
      </c>
      <c r="D1301" s="60">
        <f>COUNTIF($K$7:K1301,K1301)</f>
        <v>51</v>
      </c>
      <c r="E1301" s="61"/>
      <c r="F1301" s="227">
        <v>44609</v>
      </c>
      <c r="G1301" s="72">
        <f t="shared" si="99"/>
        <v>44654</v>
      </c>
      <c r="H1301" s="228" t="s">
        <v>886</v>
      </c>
      <c r="I1301" s="228" t="s">
        <v>37</v>
      </c>
      <c r="J1301" s="64">
        <v>112</v>
      </c>
      <c r="K1301" s="80">
        <v>112.06</v>
      </c>
      <c r="L1301" s="224">
        <f t="shared" si="98"/>
        <v>1925000</v>
      </c>
      <c r="M1301" s="223"/>
      <c r="N1301" s="223"/>
      <c r="O1301" s="61"/>
      <c r="P1301" s="69" t="str">
        <f t="shared" si="102"/>
        <v>Piutang Usaha</v>
      </c>
      <c r="Q1301" s="61"/>
    </row>
    <row r="1302" spans="1:17" hidden="1" x14ac:dyDescent="0.25">
      <c r="A1302" s="60" t="str">
        <f t="shared" si="100"/>
        <v>365112</v>
      </c>
      <c r="B1302" s="60">
        <f>COUNTIF($J$7:J1302,J1302)</f>
        <v>365</v>
      </c>
      <c r="C1302" s="60" t="str">
        <f t="shared" si="101"/>
        <v>52112,06</v>
      </c>
      <c r="D1302" s="60">
        <f>COUNTIF($K$7:K1302,K1302)</f>
        <v>52</v>
      </c>
      <c r="E1302" s="61"/>
      <c r="F1302" s="227">
        <v>44609</v>
      </c>
      <c r="G1302" s="72">
        <f t="shared" si="99"/>
        <v>44654</v>
      </c>
      <c r="H1302" s="228" t="s">
        <v>887</v>
      </c>
      <c r="I1302" s="228" t="s">
        <v>37</v>
      </c>
      <c r="J1302" s="64">
        <v>112</v>
      </c>
      <c r="K1302" s="80">
        <v>112.06</v>
      </c>
      <c r="L1302" s="224">
        <f t="shared" si="98"/>
        <v>1996500</v>
      </c>
      <c r="M1302" s="223"/>
      <c r="N1302" s="223"/>
      <c r="O1302" s="61"/>
      <c r="P1302" s="69" t="str">
        <f t="shared" si="102"/>
        <v>Piutang Usaha</v>
      </c>
      <c r="Q1302" s="61"/>
    </row>
    <row r="1303" spans="1:17" hidden="1" x14ac:dyDescent="0.25">
      <c r="A1303" s="60" t="str">
        <f t="shared" si="100"/>
        <v>366112</v>
      </c>
      <c r="B1303" s="60">
        <f>COUNTIF($J$7:J1303,J1303)</f>
        <v>366</v>
      </c>
      <c r="C1303" s="60" t="str">
        <f t="shared" si="101"/>
        <v>53112,06</v>
      </c>
      <c r="D1303" s="60">
        <f>COUNTIF($K$7:K1303,K1303)</f>
        <v>53</v>
      </c>
      <c r="E1303" s="61"/>
      <c r="F1303" s="227">
        <v>44609</v>
      </c>
      <c r="G1303" s="72">
        <f t="shared" si="99"/>
        <v>44654</v>
      </c>
      <c r="H1303" s="228" t="s">
        <v>887</v>
      </c>
      <c r="I1303" s="228" t="s">
        <v>37</v>
      </c>
      <c r="J1303" s="64">
        <v>112</v>
      </c>
      <c r="K1303" s="80">
        <v>112.06</v>
      </c>
      <c r="L1303" s="224">
        <f t="shared" si="98"/>
        <v>1996500</v>
      </c>
      <c r="M1303" s="223"/>
      <c r="N1303" s="223"/>
      <c r="O1303" s="61"/>
      <c r="P1303" s="69" t="str">
        <f t="shared" si="102"/>
        <v>Piutang Usaha</v>
      </c>
      <c r="Q1303" s="61"/>
    </row>
    <row r="1304" spans="1:17" hidden="1" x14ac:dyDescent="0.25">
      <c r="A1304" s="60" t="str">
        <f t="shared" si="100"/>
        <v>367112</v>
      </c>
      <c r="B1304" s="60">
        <f>COUNTIF($J$7:J1304,J1304)</f>
        <v>367</v>
      </c>
      <c r="C1304" s="60" t="str">
        <f t="shared" si="101"/>
        <v>54112,06</v>
      </c>
      <c r="D1304" s="60">
        <f>COUNTIF($K$7:K1304,K1304)</f>
        <v>54</v>
      </c>
      <c r="E1304" s="61"/>
      <c r="F1304" s="227">
        <v>44609</v>
      </c>
      <c r="G1304" s="72">
        <f t="shared" si="99"/>
        <v>44654</v>
      </c>
      <c r="H1304" s="228" t="s">
        <v>887</v>
      </c>
      <c r="I1304" s="228" t="s">
        <v>37</v>
      </c>
      <c r="J1304" s="64">
        <v>112</v>
      </c>
      <c r="K1304" s="80">
        <v>112.06</v>
      </c>
      <c r="L1304" s="224">
        <f t="shared" si="98"/>
        <v>1996500</v>
      </c>
      <c r="M1304" s="223"/>
      <c r="N1304" s="223"/>
      <c r="O1304" s="61"/>
      <c r="P1304" s="69" t="str">
        <f t="shared" si="102"/>
        <v>Piutang Usaha</v>
      </c>
      <c r="Q1304" s="61"/>
    </row>
    <row r="1305" spans="1:17" hidden="1" x14ac:dyDescent="0.25">
      <c r="A1305" s="60" t="str">
        <f t="shared" si="100"/>
        <v>368112</v>
      </c>
      <c r="B1305" s="60">
        <f>COUNTIF($J$7:J1305,J1305)</f>
        <v>368</v>
      </c>
      <c r="C1305" s="60" t="str">
        <f t="shared" si="101"/>
        <v>55112,06</v>
      </c>
      <c r="D1305" s="60">
        <f>COUNTIF($K$7:K1305,K1305)</f>
        <v>55</v>
      </c>
      <c r="E1305" s="61"/>
      <c r="F1305" s="227">
        <v>44609</v>
      </c>
      <c r="G1305" s="72">
        <f t="shared" si="99"/>
        <v>44654</v>
      </c>
      <c r="H1305" s="228" t="s">
        <v>887</v>
      </c>
      <c r="I1305" s="228" t="s">
        <v>37</v>
      </c>
      <c r="J1305" s="64">
        <v>112</v>
      </c>
      <c r="K1305" s="80">
        <v>112.06</v>
      </c>
      <c r="L1305" s="224">
        <f t="shared" si="98"/>
        <v>2409000</v>
      </c>
      <c r="M1305" s="223"/>
      <c r="N1305" s="223"/>
      <c r="O1305" s="61"/>
      <c r="P1305" s="69" t="str">
        <f t="shared" si="102"/>
        <v>Piutang Usaha</v>
      </c>
      <c r="Q1305" s="61"/>
    </row>
    <row r="1306" spans="1:17" hidden="1" x14ac:dyDescent="0.25">
      <c r="A1306" s="60" t="str">
        <f t="shared" si="100"/>
        <v>369112</v>
      </c>
      <c r="B1306" s="60">
        <f>COUNTIF($J$7:J1306,J1306)</f>
        <v>369</v>
      </c>
      <c r="C1306" s="60" t="str">
        <f t="shared" si="101"/>
        <v>56112,06</v>
      </c>
      <c r="D1306" s="60">
        <f>COUNTIF($K$7:K1306,K1306)</f>
        <v>56</v>
      </c>
      <c r="E1306" s="61"/>
      <c r="F1306" s="227">
        <v>44609</v>
      </c>
      <c r="G1306" s="72">
        <f t="shared" si="99"/>
        <v>44654</v>
      </c>
      <c r="H1306" s="228" t="s">
        <v>887</v>
      </c>
      <c r="I1306" s="228" t="s">
        <v>37</v>
      </c>
      <c r="J1306" s="64">
        <v>112</v>
      </c>
      <c r="K1306" s="80">
        <v>112.06</v>
      </c>
      <c r="L1306" s="224">
        <f t="shared" si="98"/>
        <v>2409000</v>
      </c>
      <c r="M1306" s="223"/>
      <c r="N1306" s="223"/>
      <c r="O1306" s="61"/>
      <c r="P1306" s="69" t="str">
        <f t="shared" si="102"/>
        <v>Piutang Usaha</v>
      </c>
      <c r="Q1306" s="61"/>
    </row>
    <row r="1307" spans="1:17" hidden="1" x14ac:dyDescent="0.25">
      <c r="A1307" s="60" t="str">
        <f t="shared" si="100"/>
        <v>370112</v>
      </c>
      <c r="B1307" s="60">
        <f>COUNTIF($J$7:J1307,J1307)</f>
        <v>370</v>
      </c>
      <c r="C1307" s="60" t="str">
        <f t="shared" si="101"/>
        <v>57112,06</v>
      </c>
      <c r="D1307" s="60">
        <f>COUNTIF($K$7:K1307,K1307)</f>
        <v>57</v>
      </c>
      <c r="E1307" s="61"/>
      <c r="F1307" s="227">
        <v>44615</v>
      </c>
      <c r="G1307" s="72">
        <f t="shared" si="99"/>
        <v>44660</v>
      </c>
      <c r="H1307" s="228" t="s">
        <v>888</v>
      </c>
      <c r="I1307" s="228" t="s">
        <v>37</v>
      </c>
      <c r="J1307" s="64">
        <v>112</v>
      </c>
      <c r="K1307" s="80">
        <v>112.06</v>
      </c>
      <c r="L1307" s="224">
        <f t="shared" si="98"/>
        <v>3993000</v>
      </c>
      <c r="M1307" s="223"/>
      <c r="N1307" s="223"/>
      <c r="O1307" s="61"/>
      <c r="P1307" s="69" t="str">
        <f t="shared" si="102"/>
        <v>Piutang Usaha</v>
      </c>
      <c r="Q1307" s="61"/>
    </row>
    <row r="1308" spans="1:17" hidden="1" x14ac:dyDescent="0.25">
      <c r="A1308" s="60" t="str">
        <f t="shared" si="100"/>
        <v>371112</v>
      </c>
      <c r="B1308" s="60">
        <f>COUNTIF($J$7:J1308,J1308)</f>
        <v>371</v>
      </c>
      <c r="C1308" s="60" t="str">
        <f t="shared" si="101"/>
        <v>58112,06</v>
      </c>
      <c r="D1308" s="60">
        <f>COUNTIF($K$7:K1308,K1308)</f>
        <v>58</v>
      </c>
      <c r="E1308" s="61"/>
      <c r="F1308" s="227">
        <v>44615</v>
      </c>
      <c r="G1308" s="72">
        <f t="shared" si="99"/>
        <v>44660</v>
      </c>
      <c r="H1308" s="228" t="s">
        <v>888</v>
      </c>
      <c r="I1308" s="228" t="s">
        <v>37</v>
      </c>
      <c r="J1308" s="64">
        <v>112</v>
      </c>
      <c r="K1308" s="80">
        <v>112.06</v>
      </c>
      <c r="L1308" s="224">
        <f t="shared" si="98"/>
        <v>3993000</v>
      </c>
      <c r="M1308" s="223"/>
      <c r="N1308" s="223"/>
      <c r="O1308" s="61"/>
      <c r="P1308" s="69" t="str">
        <f t="shared" si="102"/>
        <v>Piutang Usaha</v>
      </c>
      <c r="Q1308" s="61"/>
    </row>
    <row r="1309" spans="1:17" hidden="1" x14ac:dyDescent="0.25">
      <c r="A1309" s="60" t="str">
        <f t="shared" si="100"/>
        <v>372112</v>
      </c>
      <c r="B1309" s="60">
        <f>COUNTIF($J$7:J1309,J1309)</f>
        <v>372</v>
      </c>
      <c r="C1309" s="60" t="str">
        <f t="shared" si="101"/>
        <v>59112,06</v>
      </c>
      <c r="D1309" s="60">
        <f>COUNTIF($K$7:K1309,K1309)</f>
        <v>59</v>
      </c>
      <c r="E1309" s="61"/>
      <c r="F1309" s="227">
        <v>44615</v>
      </c>
      <c r="G1309" s="72">
        <f t="shared" si="99"/>
        <v>44660</v>
      </c>
      <c r="H1309" s="228" t="s">
        <v>888</v>
      </c>
      <c r="I1309" s="228" t="s">
        <v>37</v>
      </c>
      <c r="J1309" s="64">
        <v>112</v>
      </c>
      <c r="K1309" s="80">
        <v>112.06</v>
      </c>
      <c r="L1309" s="224">
        <f t="shared" si="98"/>
        <v>1996500</v>
      </c>
      <c r="M1309" s="223"/>
      <c r="N1309" s="223"/>
      <c r="O1309" s="61"/>
      <c r="P1309" s="69" t="str">
        <f t="shared" si="102"/>
        <v>Piutang Usaha</v>
      </c>
      <c r="Q1309" s="61"/>
    </row>
    <row r="1310" spans="1:17" hidden="1" x14ac:dyDescent="0.25">
      <c r="A1310" s="60" t="str">
        <f t="shared" si="100"/>
        <v>373112</v>
      </c>
      <c r="B1310" s="60">
        <f>COUNTIF($J$7:J1310,J1310)</f>
        <v>373</v>
      </c>
      <c r="C1310" s="60" t="str">
        <f t="shared" si="101"/>
        <v>60112,06</v>
      </c>
      <c r="D1310" s="60">
        <f>COUNTIF($K$7:K1310,K1310)</f>
        <v>60</v>
      </c>
      <c r="E1310" s="61"/>
      <c r="F1310" s="227">
        <v>44615</v>
      </c>
      <c r="G1310" s="72">
        <f t="shared" si="99"/>
        <v>44660</v>
      </c>
      <c r="H1310" s="228" t="s">
        <v>888</v>
      </c>
      <c r="I1310" s="228" t="s">
        <v>37</v>
      </c>
      <c r="J1310" s="64">
        <v>112</v>
      </c>
      <c r="K1310" s="80">
        <v>112.06</v>
      </c>
      <c r="L1310" s="224">
        <f t="shared" si="98"/>
        <v>3993000</v>
      </c>
      <c r="M1310" s="223"/>
      <c r="N1310" s="223"/>
      <c r="O1310" s="61"/>
      <c r="P1310" s="69" t="str">
        <f t="shared" si="102"/>
        <v>Piutang Usaha</v>
      </c>
      <c r="Q1310" s="61"/>
    </row>
    <row r="1311" spans="1:17" hidden="1" x14ac:dyDescent="0.25">
      <c r="A1311" s="60" t="str">
        <f t="shared" si="100"/>
        <v>374112</v>
      </c>
      <c r="B1311" s="60">
        <f>COUNTIF($J$7:J1311,J1311)</f>
        <v>374</v>
      </c>
      <c r="C1311" s="60" t="str">
        <f t="shared" si="101"/>
        <v>61112,06</v>
      </c>
      <c r="D1311" s="60">
        <f>COUNTIF($K$7:K1311,K1311)</f>
        <v>61</v>
      </c>
      <c r="E1311" s="61"/>
      <c r="F1311" s="227">
        <v>44615</v>
      </c>
      <c r="G1311" s="72">
        <f t="shared" si="99"/>
        <v>44660</v>
      </c>
      <c r="H1311" s="228" t="s">
        <v>888</v>
      </c>
      <c r="I1311" s="228" t="s">
        <v>37</v>
      </c>
      <c r="J1311" s="64">
        <v>112</v>
      </c>
      <c r="K1311" s="80">
        <v>112.06</v>
      </c>
      <c r="L1311" s="224">
        <f t="shared" si="98"/>
        <v>2409000</v>
      </c>
      <c r="M1311" s="223"/>
      <c r="N1311" s="223"/>
      <c r="O1311" s="61"/>
      <c r="P1311" s="69" t="str">
        <f t="shared" si="102"/>
        <v>Piutang Usaha</v>
      </c>
      <c r="Q1311" s="61"/>
    </row>
    <row r="1312" spans="1:17" hidden="1" x14ac:dyDescent="0.25">
      <c r="A1312" s="60" t="str">
        <f t="shared" si="100"/>
        <v>375112</v>
      </c>
      <c r="B1312" s="60">
        <f>COUNTIF($J$7:J1312,J1312)</f>
        <v>375</v>
      </c>
      <c r="C1312" s="60" t="str">
        <f t="shared" si="101"/>
        <v>62112,06</v>
      </c>
      <c r="D1312" s="60">
        <f>COUNTIF($K$7:K1312,K1312)</f>
        <v>62</v>
      </c>
      <c r="E1312" s="61"/>
      <c r="F1312" s="227">
        <v>44615</v>
      </c>
      <c r="G1312" s="72">
        <f t="shared" si="99"/>
        <v>44660</v>
      </c>
      <c r="H1312" s="228" t="s">
        <v>888</v>
      </c>
      <c r="I1312" s="228" t="s">
        <v>37</v>
      </c>
      <c r="J1312" s="64">
        <v>112</v>
      </c>
      <c r="K1312" s="80">
        <v>112.06</v>
      </c>
      <c r="L1312" s="224">
        <f t="shared" si="98"/>
        <v>2409000</v>
      </c>
      <c r="M1312" s="223"/>
      <c r="N1312" s="223"/>
      <c r="O1312" s="61"/>
      <c r="P1312" s="69" t="str">
        <f t="shared" si="102"/>
        <v>Piutang Usaha</v>
      </c>
      <c r="Q1312" s="61"/>
    </row>
    <row r="1313" spans="1:17" hidden="1" x14ac:dyDescent="0.25">
      <c r="A1313" s="60" t="str">
        <f t="shared" si="100"/>
        <v>376112</v>
      </c>
      <c r="B1313" s="60">
        <f>COUNTIF($J$7:J1313,J1313)</f>
        <v>376</v>
      </c>
      <c r="C1313" s="60" t="str">
        <f t="shared" si="101"/>
        <v>3112,54</v>
      </c>
      <c r="D1313" s="60">
        <f>COUNTIF($K$7:K1313,K1313)</f>
        <v>3</v>
      </c>
      <c r="E1313" s="61"/>
      <c r="F1313" s="227">
        <v>44613</v>
      </c>
      <c r="G1313" s="72" t="s">
        <v>13</v>
      </c>
      <c r="H1313" s="228" t="s">
        <v>889</v>
      </c>
      <c r="I1313" s="228" t="s">
        <v>107</v>
      </c>
      <c r="J1313" s="64">
        <v>112</v>
      </c>
      <c r="K1313" s="80">
        <v>112.54</v>
      </c>
      <c r="L1313" s="224">
        <f t="shared" si="98"/>
        <v>8999999.9100000001</v>
      </c>
      <c r="M1313" s="223"/>
      <c r="N1313" s="223"/>
      <c r="O1313" s="61"/>
      <c r="P1313" s="69" t="str">
        <f t="shared" si="102"/>
        <v>Piutang Usaha</v>
      </c>
      <c r="Q1313" s="61"/>
    </row>
    <row r="1314" spans="1:17" hidden="1" x14ac:dyDescent="0.25">
      <c r="A1314" s="60" t="str">
        <f t="shared" si="100"/>
        <v>377112</v>
      </c>
      <c r="B1314" s="60">
        <f>COUNTIF($J$7:J1314,J1314)</f>
        <v>377</v>
      </c>
      <c r="C1314" s="60" t="str">
        <f t="shared" si="101"/>
        <v>4112,54</v>
      </c>
      <c r="D1314" s="60">
        <f>COUNTIF($K$7:K1314,K1314)</f>
        <v>4</v>
      </c>
      <c r="E1314" s="61"/>
      <c r="F1314" s="227">
        <v>44613</v>
      </c>
      <c r="G1314" s="72" t="s">
        <v>13</v>
      </c>
      <c r="H1314" s="228" t="s">
        <v>889</v>
      </c>
      <c r="I1314" s="228" t="s">
        <v>107</v>
      </c>
      <c r="J1314" s="64">
        <v>112</v>
      </c>
      <c r="K1314" s="80">
        <v>112.54</v>
      </c>
      <c r="L1314" s="224">
        <f t="shared" si="98"/>
        <v>20999999.789999999</v>
      </c>
      <c r="M1314" s="223"/>
      <c r="N1314" s="223"/>
      <c r="O1314" s="61"/>
      <c r="P1314" s="69" t="str">
        <f t="shared" si="102"/>
        <v>Piutang Usaha</v>
      </c>
      <c r="Q1314" s="61"/>
    </row>
    <row r="1315" spans="1:17" hidden="1" x14ac:dyDescent="0.25">
      <c r="A1315" s="60" t="str">
        <f t="shared" si="100"/>
        <v>378112</v>
      </c>
      <c r="B1315" s="60">
        <f>COUNTIF($J$7:J1315,J1315)</f>
        <v>378</v>
      </c>
      <c r="C1315" s="60" t="str">
        <f t="shared" si="101"/>
        <v>3112,57</v>
      </c>
      <c r="D1315" s="60">
        <f>COUNTIF($K$7:K1315,K1315)</f>
        <v>3</v>
      </c>
      <c r="E1315" s="61"/>
      <c r="F1315" s="227">
        <v>44596</v>
      </c>
      <c r="G1315" s="72">
        <f t="shared" ref="G1315:G1354" si="103">F1315+30</f>
        <v>44626</v>
      </c>
      <c r="H1315" s="228" t="s">
        <v>890</v>
      </c>
      <c r="I1315" s="228" t="s">
        <v>62</v>
      </c>
      <c r="J1315" s="64">
        <v>112</v>
      </c>
      <c r="K1315" s="80">
        <v>112.57</v>
      </c>
      <c r="L1315" s="224">
        <f t="shared" si="98"/>
        <v>959999.72727000003</v>
      </c>
      <c r="M1315" s="223"/>
      <c r="N1315" s="223"/>
      <c r="O1315" s="61"/>
      <c r="P1315" s="69" t="str">
        <f t="shared" si="102"/>
        <v>Piutang Usaha</v>
      </c>
      <c r="Q1315" s="61"/>
    </row>
    <row r="1316" spans="1:17" hidden="1" x14ac:dyDescent="0.25">
      <c r="A1316" s="60" t="str">
        <f t="shared" si="100"/>
        <v>379112</v>
      </c>
      <c r="B1316" s="60">
        <f>COUNTIF($J$7:J1316,J1316)</f>
        <v>379</v>
      </c>
      <c r="C1316" s="60" t="str">
        <f t="shared" si="101"/>
        <v>4112,57</v>
      </c>
      <c r="D1316" s="60">
        <f>COUNTIF($K$7:K1316,K1316)</f>
        <v>4</v>
      </c>
      <c r="E1316" s="61"/>
      <c r="F1316" s="227">
        <v>44596</v>
      </c>
      <c r="G1316" s="72">
        <f t="shared" si="103"/>
        <v>44626</v>
      </c>
      <c r="H1316" s="228" t="s">
        <v>890</v>
      </c>
      <c r="I1316" s="228" t="s">
        <v>62</v>
      </c>
      <c r="J1316" s="64">
        <v>112</v>
      </c>
      <c r="K1316" s="80">
        <v>112.57</v>
      </c>
      <c r="L1316" s="224">
        <f t="shared" si="98"/>
        <v>3359999.5454449998</v>
      </c>
      <c r="M1316" s="223"/>
      <c r="N1316" s="223"/>
      <c r="O1316" s="61"/>
      <c r="P1316" s="69" t="str">
        <f t="shared" si="102"/>
        <v>Piutang Usaha</v>
      </c>
      <c r="Q1316" s="61"/>
    </row>
    <row r="1317" spans="1:17" hidden="1" x14ac:dyDescent="0.25">
      <c r="A1317" s="60" t="str">
        <f t="shared" si="100"/>
        <v>380112</v>
      </c>
      <c r="B1317" s="60">
        <f>COUNTIF($J$7:J1317,J1317)</f>
        <v>380</v>
      </c>
      <c r="C1317" s="60" t="str">
        <f t="shared" si="101"/>
        <v>5112,57</v>
      </c>
      <c r="D1317" s="60">
        <f>COUNTIF($K$7:K1317,K1317)</f>
        <v>5</v>
      </c>
      <c r="E1317" s="61"/>
      <c r="F1317" s="227">
        <v>44596</v>
      </c>
      <c r="G1317" s="72">
        <f t="shared" si="103"/>
        <v>44626</v>
      </c>
      <c r="H1317" s="228" t="s">
        <v>890</v>
      </c>
      <c r="I1317" s="228" t="s">
        <v>62</v>
      </c>
      <c r="J1317" s="64">
        <v>112</v>
      </c>
      <c r="K1317" s="80">
        <v>112.57</v>
      </c>
      <c r="L1317" s="224">
        <f t="shared" si="98"/>
        <v>480000.36363500002</v>
      </c>
      <c r="M1317" s="223"/>
      <c r="N1317" s="223"/>
      <c r="O1317" s="61"/>
      <c r="P1317" s="69" t="str">
        <f t="shared" si="102"/>
        <v>Piutang Usaha</v>
      </c>
      <c r="Q1317" s="61"/>
    </row>
    <row r="1318" spans="1:17" hidden="1" x14ac:dyDescent="0.25">
      <c r="A1318" s="60" t="str">
        <f t="shared" si="100"/>
        <v>381112</v>
      </c>
      <c r="B1318" s="60">
        <f>COUNTIF($J$7:J1318,J1318)</f>
        <v>381</v>
      </c>
      <c r="C1318" s="60" t="str">
        <f t="shared" si="101"/>
        <v>4112,23</v>
      </c>
      <c r="D1318" s="60">
        <f>COUNTIF($K$7:K1318,K1318)</f>
        <v>4</v>
      </c>
      <c r="E1318" s="61"/>
      <c r="F1318" s="227">
        <v>44600</v>
      </c>
      <c r="G1318" s="72">
        <f t="shared" si="103"/>
        <v>44630</v>
      </c>
      <c r="H1318" s="228" t="s">
        <v>891</v>
      </c>
      <c r="I1318" s="228" t="s">
        <v>72</v>
      </c>
      <c r="J1318" s="64">
        <v>112</v>
      </c>
      <c r="K1318" s="80">
        <v>112.23</v>
      </c>
      <c r="L1318" s="224">
        <f t="shared" si="98"/>
        <v>19800000</v>
      </c>
      <c r="M1318" s="223"/>
      <c r="N1318" s="223"/>
      <c r="O1318" s="61"/>
      <c r="P1318" s="69" t="str">
        <f t="shared" si="102"/>
        <v>Piutang Usaha</v>
      </c>
      <c r="Q1318" s="61"/>
    </row>
    <row r="1319" spans="1:17" hidden="1" x14ac:dyDescent="0.25">
      <c r="A1319" s="60" t="str">
        <f t="shared" si="100"/>
        <v>382112</v>
      </c>
      <c r="B1319" s="60">
        <f>COUNTIF($J$7:J1319,J1319)</f>
        <v>382</v>
      </c>
      <c r="C1319" s="60" t="str">
        <f t="shared" si="101"/>
        <v>5112,23</v>
      </c>
      <c r="D1319" s="60">
        <f>COUNTIF($K$7:K1319,K1319)</f>
        <v>5</v>
      </c>
      <c r="E1319" s="61"/>
      <c r="F1319" s="227">
        <v>44600</v>
      </c>
      <c r="G1319" s="72">
        <f t="shared" si="103"/>
        <v>44630</v>
      </c>
      <c r="H1319" s="228" t="s">
        <v>891</v>
      </c>
      <c r="I1319" s="228" t="s">
        <v>72</v>
      </c>
      <c r="J1319" s="64">
        <v>112</v>
      </c>
      <c r="K1319" s="80">
        <v>112.23</v>
      </c>
      <c r="L1319" s="224">
        <f t="shared" si="98"/>
        <v>19800000</v>
      </c>
      <c r="M1319" s="223"/>
      <c r="N1319" s="223"/>
      <c r="O1319" s="61"/>
      <c r="P1319" s="69" t="str">
        <f t="shared" si="102"/>
        <v>Piutang Usaha</v>
      </c>
      <c r="Q1319" s="61"/>
    </row>
    <row r="1320" spans="1:17" hidden="1" x14ac:dyDescent="0.25">
      <c r="A1320" s="60" t="str">
        <f t="shared" si="100"/>
        <v>383112</v>
      </c>
      <c r="B1320" s="60">
        <f>COUNTIF($J$7:J1320,J1320)</f>
        <v>383</v>
      </c>
      <c r="C1320" s="60" t="str">
        <f t="shared" si="101"/>
        <v>6112,23</v>
      </c>
      <c r="D1320" s="60">
        <f>COUNTIF($K$7:K1320,K1320)</f>
        <v>6</v>
      </c>
      <c r="E1320" s="61"/>
      <c r="F1320" s="227">
        <v>44600</v>
      </c>
      <c r="G1320" s="72">
        <f t="shared" si="103"/>
        <v>44630</v>
      </c>
      <c r="H1320" s="228" t="s">
        <v>891</v>
      </c>
      <c r="I1320" s="228" t="s">
        <v>72</v>
      </c>
      <c r="J1320" s="64">
        <v>112</v>
      </c>
      <c r="K1320" s="80">
        <v>112.23</v>
      </c>
      <c r="L1320" s="224">
        <f t="shared" si="98"/>
        <v>19800000</v>
      </c>
      <c r="M1320" s="223"/>
      <c r="N1320" s="223"/>
      <c r="O1320" s="61"/>
      <c r="P1320" s="69" t="str">
        <f t="shared" si="102"/>
        <v>Piutang Usaha</v>
      </c>
      <c r="Q1320" s="61"/>
    </row>
    <row r="1321" spans="1:17" hidden="1" x14ac:dyDescent="0.25">
      <c r="A1321" s="60" t="str">
        <f t="shared" si="100"/>
        <v>384112</v>
      </c>
      <c r="B1321" s="60">
        <f>COUNTIF($J$7:J1321,J1321)</f>
        <v>384</v>
      </c>
      <c r="C1321" s="60" t="str">
        <f t="shared" si="101"/>
        <v>37112,4</v>
      </c>
      <c r="D1321" s="60">
        <f>COUNTIF($K$7:K1321,K1321)</f>
        <v>37</v>
      </c>
      <c r="E1321" s="61"/>
      <c r="F1321" s="227">
        <v>44594</v>
      </c>
      <c r="G1321" s="72">
        <f t="shared" si="103"/>
        <v>44624</v>
      </c>
      <c r="H1321" s="228" t="s">
        <v>892</v>
      </c>
      <c r="I1321" s="228" t="s">
        <v>34</v>
      </c>
      <c r="J1321" s="64">
        <v>112</v>
      </c>
      <c r="K1321" s="80">
        <v>112.4</v>
      </c>
      <c r="L1321" s="224">
        <f t="shared" si="98"/>
        <v>1814991.25</v>
      </c>
      <c r="M1321" s="223"/>
      <c r="N1321" s="223"/>
      <c r="O1321" s="61"/>
      <c r="P1321" s="69" t="str">
        <f t="shared" si="102"/>
        <v>Piutang Usaha</v>
      </c>
      <c r="Q1321" s="61"/>
    </row>
    <row r="1322" spans="1:17" hidden="1" x14ac:dyDescent="0.25">
      <c r="A1322" s="60" t="str">
        <f t="shared" si="100"/>
        <v>385112</v>
      </c>
      <c r="B1322" s="60">
        <f>COUNTIF($J$7:J1322,J1322)</f>
        <v>385</v>
      </c>
      <c r="C1322" s="60" t="str">
        <f t="shared" si="101"/>
        <v>38112,4</v>
      </c>
      <c r="D1322" s="60">
        <f>COUNTIF($K$7:K1322,K1322)</f>
        <v>38</v>
      </c>
      <c r="E1322" s="61"/>
      <c r="F1322" s="227">
        <v>44594</v>
      </c>
      <c r="G1322" s="72">
        <f t="shared" si="103"/>
        <v>44624</v>
      </c>
      <c r="H1322" s="228" t="s">
        <v>892</v>
      </c>
      <c r="I1322" s="228" t="s">
        <v>34</v>
      </c>
      <c r="J1322" s="64">
        <v>112</v>
      </c>
      <c r="K1322" s="80">
        <v>112.4</v>
      </c>
      <c r="L1322" s="224">
        <f t="shared" si="98"/>
        <v>1209994.5</v>
      </c>
      <c r="M1322" s="223"/>
      <c r="N1322" s="223"/>
      <c r="O1322" s="61"/>
      <c r="P1322" s="69" t="str">
        <f t="shared" si="102"/>
        <v>Piutang Usaha</v>
      </c>
      <c r="Q1322" s="61"/>
    </row>
    <row r="1323" spans="1:17" hidden="1" x14ac:dyDescent="0.25">
      <c r="A1323" s="60" t="str">
        <f t="shared" si="100"/>
        <v>386112</v>
      </c>
      <c r="B1323" s="60">
        <f>COUNTIF($J$7:J1323,J1323)</f>
        <v>386</v>
      </c>
      <c r="C1323" s="60" t="str">
        <f t="shared" si="101"/>
        <v>39112,4</v>
      </c>
      <c r="D1323" s="60">
        <f>COUNTIF($K$7:K1323,K1323)</f>
        <v>39</v>
      </c>
      <c r="E1323" s="61"/>
      <c r="F1323" s="227">
        <v>44594</v>
      </c>
      <c r="G1323" s="72">
        <f t="shared" si="103"/>
        <v>44624</v>
      </c>
      <c r="H1323" s="228" t="s">
        <v>893</v>
      </c>
      <c r="I1323" s="228" t="s">
        <v>34</v>
      </c>
      <c r="J1323" s="64">
        <v>112</v>
      </c>
      <c r="K1323" s="80">
        <v>112.4</v>
      </c>
      <c r="L1323" s="224">
        <f t="shared" si="98"/>
        <v>19800000</v>
      </c>
      <c r="M1323" s="223"/>
      <c r="N1323" s="223"/>
      <c r="O1323" s="61"/>
      <c r="P1323" s="69" t="str">
        <f t="shared" si="102"/>
        <v>Piutang Usaha</v>
      </c>
      <c r="Q1323" s="61"/>
    </row>
    <row r="1324" spans="1:17" hidden="1" x14ac:dyDescent="0.25">
      <c r="A1324" s="60" t="str">
        <f t="shared" si="100"/>
        <v>387112</v>
      </c>
      <c r="B1324" s="60">
        <f>COUNTIF($J$7:J1324,J1324)</f>
        <v>387</v>
      </c>
      <c r="C1324" s="60" t="str">
        <f t="shared" si="101"/>
        <v>40112,4</v>
      </c>
      <c r="D1324" s="60">
        <f>COUNTIF($K$7:K1324,K1324)</f>
        <v>40</v>
      </c>
      <c r="E1324" s="61"/>
      <c r="F1324" s="227">
        <v>44594</v>
      </c>
      <c r="G1324" s="72">
        <f t="shared" si="103"/>
        <v>44624</v>
      </c>
      <c r="H1324" s="228" t="s">
        <v>893</v>
      </c>
      <c r="I1324" s="228" t="s">
        <v>34</v>
      </c>
      <c r="J1324" s="64">
        <v>112</v>
      </c>
      <c r="K1324" s="80">
        <v>112.4</v>
      </c>
      <c r="L1324" s="224">
        <f t="shared" ref="L1324:L1373" si="104">M1567+M1810</f>
        <v>15840000</v>
      </c>
      <c r="M1324" s="223"/>
      <c r="N1324" s="223"/>
      <c r="O1324" s="61"/>
      <c r="P1324" s="69" t="str">
        <f t="shared" si="102"/>
        <v>Piutang Usaha</v>
      </c>
      <c r="Q1324" s="61"/>
    </row>
    <row r="1325" spans="1:17" hidden="1" x14ac:dyDescent="0.25">
      <c r="A1325" s="60" t="str">
        <f t="shared" si="100"/>
        <v>388112</v>
      </c>
      <c r="B1325" s="60">
        <f>COUNTIF($J$7:J1325,J1325)</f>
        <v>388</v>
      </c>
      <c r="C1325" s="60" t="str">
        <f t="shared" si="101"/>
        <v>41112,4</v>
      </c>
      <c r="D1325" s="60">
        <f>COUNTIF($K$7:K1325,K1325)</f>
        <v>41</v>
      </c>
      <c r="E1325" s="61"/>
      <c r="F1325" s="227">
        <v>44594</v>
      </c>
      <c r="G1325" s="72">
        <f t="shared" si="103"/>
        <v>44624</v>
      </c>
      <c r="H1325" s="228" t="s">
        <v>893</v>
      </c>
      <c r="I1325" s="228" t="s">
        <v>34</v>
      </c>
      <c r="J1325" s="64">
        <v>112</v>
      </c>
      <c r="K1325" s="80">
        <v>112.4</v>
      </c>
      <c r="L1325" s="224">
        <f t="shared" si="104"/>
        <v>924000</v>
      </c>
      <c r="M1325" s="223"/>
      <c r="N1325" s="223"/>
      <c r="O1325" s="61"/>
      <c r="P1325" s="69" t="str">
        <f t="shared" si="102"/>
        <v>Piutang Usaha</v>
      </c>
      <c r="Q1325" s="61"/>
    </row>
    <row r="1326" spans="1:17" hidden="1" x14ac:dyDescent="0.25">
      <c r="A1326" s="60" t="str">
        <f t="shared" si="100"/>
        <v>389112</v>
      </c>
      <c r="B1326" s="60">
        <f>COUNTIF($J$7:J1326,J1326)</f>
        <v>389</v>
      </c>
      <c r="C1326" s="60" t="str">
        <f t="shared" si="101"/>
        <v>42112,4</v>
      </c>
      <c r="D1326" s="60">
        <f>COUNTIF($K$7:K1326,K1326)</f>
        <v>42</v>
      </c>
      <c r="E1326" s="61"/>
      <c r="F1326" s="227">
        <v>44594</v>
      </c>
      <c r="G1326" s="72">
        <f t="shared" si="103"/>
        <v>44624</v>
      </c>
      <c r="H1326" s="228" t="s">
        <v>894</v>
      </c>
      <c r="I1326" s="228" t="s">
        <v>34</v>
      </c>
      <c r="J1326" s="64">
        <v>112</v>
      </c>
      <c r="K1326" s="80">
        <v>112.4</v>
      </c>
      <c r="L1326" s="224">
        <f t="shared" si="104"/>
        <v>660000</v>
      </c>
      <c r="M1326" s="223"/>
      <c r="N1326" s="223"/>
      <c r="O1326" s="61"/>
      <c r="P1326" s="69" t="str">
        <f t="shared" si="102"/>
        <v>Piutang Usaha</v>
      </c>
      <c r="Q1326" s="61"/>
    </row>
    <row r="1327" spans="1:17" hidden="1" x14ac:dyDescent="0.25">
      <c r="A1327" s="60" t="str">
        <f t="shared" si="100"/>
        <v>390112</v>
      </c>
      <c r="B1327" s="60">
        <f>COUNTIF($J$7:J1327,J1327)</f>
        <v>390</v>
      </c>
      <c r="C1327" s="60" t="str">
        <f t="shared" si="101"/>
        <v>43112,4</v>
      </c>
      <c r="D1327" s="60">
        <f>COUNTIF($K$7:K1327,K1327)</f>
        <v>43</v>
      </c>
      <c r="E1327" s="61"/>
      <c r="F1327" s="227">
        <v>44594</v>
      </c>
      <c r="G1327" s="72">
        <f t="shared" si="103"/>
        <v>44624</v>
      </c>
      <c r="H1327" s="228" t="s">
        <v>894</v>
      </c>
      <c r="I1327" s="228" t="s">
        <v>34</v>
      </c>
      <c r="J1327" s="64">
        <v>112</v>
      </c>
      <c r="K1327" s="80">
        <v>112.4</v>
      </c>
      <c r="L1327" s="224">
        <f t="shared" si="104"/>
        <v>3036000</v>
      </c>
      <c r="M1327" s="223"/>
      <c r="N1327" s="223"/>
      <c r="O1327" s="61"/>
      <c r="P1327" s="69" t="str">
        <f t="shared" si="102"/>
        <v>Piutang Usaha</v>
      </c>
      <c r="Q1327" s="61"/>
    </row>
    <row r="1328" spans="1:17" hidden="1" x14ac:dyDescent="0.25">
      <c r="A1328" s="60" t="str">
        <f t="shared" si="100"/>
        <v>391112</v>
      </c>
      <c r="B1328" s="60">
        <f>COUNTIF($J$7:J1328,J1328)</f>
        <v>391</v>
      </c>
      <c r="C1328" s="60" t="str">
        <f t="shared" si="101"/>
        <v>44112,4</v>
      </c>
      <c r="D1328" s="60">
        <f>COUNTIF($K$7:K1328,K1328)</f>
        <v>44</v>
      </c>
      <c r="E1328" s="61"/>
      <c r="F1328" s="227">
        <v>44594</v>
      </c>
      <c r="G1328" s="72">
        <f t="shared" si="103"/>
        <v>44624</v>
      </c>
      <c r="H1328" s="228" t="s">
        <v>894</v>
      </c>
      <c r="I1328" s="228" t="s">
        <v>34</v>
      </c>
      <c r="J1328" s="64">
        <v>112</v>
      </c>
      <c r="K1328" s="80">
        <v>112.4</v>
      </c>
      <c r="L1328" s="224">
        <f t="shared" si="104"/>
        <v>3828000</v>
      </c>
      <c r="M1328" s="223"/>
      <c r="N1328" s="223"/>
      <c r="O1328" s="61"/>
      <c r="P1328" s="69" t="str">
        <f t="shared" si="102"/>
        <v>Piutang Usaha</v>
      </c>
      <c r="Q1328" s="61"/>
    </row>
    <row r="1329" spans="1:17" hidden="1" x14ac:dyDescent="0.25">
      <c r="A1329" s="60" t="str">
        <f t="shared" si="100"/>
        <v>392112</v>
      </c>
      <c r="B1329" s="60">
        <f>COUNTIF($J$7:J1329,J1329)</f>
        <v>392</v>
      </c>
      <c r="C1329" s="60" t="str">
        <f t="shared" si="101"/>
        <v>45112,4</v>
      </c>
      <c r="D1329" s="60">
        <f>COUNTIF($K$7:K1329,K1329)</f>
        <v>45</v>
      </c>
      <c r="E1329" s="61"/>
      <c r="F1329" s="227">
        <v>44594</v>
      </c>
      <c r="G1329" s="72">
        <f t="shared" si="103"/>
        <v>44624</v>
      </c>
      <c r="H1329" s="228" t="s">
        <v>894</v>
      </c>
      <c r="I1329" s="228" t="s">
        <v>34</v>
      </c>
      <c r="J1329" s="64">
        <v>112</v>
      </c>
      <c r="K1329" s="80">
        <v>112.4</v>
      </c>
      <c r="L1329" s="224">
        <f t="shared" si="104"/>
        <v>528000</v>
      </c>
      <c r="M1329" s="223"/>
      <c r="N1329" s="223"/>
      <c r="O1329" s="61"/>
      <c r="P1329" s="69" t="str">
        <f t="shared" si="102"/>
        <v>Piutang Usaha</v>
      </c>
      <c r="Q1329" s="61"/>
    </row>
    <row r="1330" spans="1:17" hidden="1" x14ac:dyDescent="0.25">
      <c r="A1330" s="60" t="str">
        <f t="shared" si="100"/>
        <v>393112</v>
      </c>
      <c r="B1330" s="60">
        <f>COUNTIF($J$7:J1330,J1330)</f>
        <v>393</v>
      </c>
      <c r="C1330" s="60" t="str">
        <f t="shared" si="101"/>
        <v>46112,4</v>
      </c>
      <c r="D1330" s="60">
        <f>COUNTIF($K$7:K1330,K1330)</f>
        <v>46</v>
      </c>
      <c r="E1330" s="61"/>
      <c r="F1330" s="227">
        <v>44594</v>
      </c>
      <c r="G1330" s="72">
        <f t="shared" si="103"/>
        <v>44624</v>
      </c>
      <c r="H1330" s="228" t="s">
        <v>895</v>
      </c>
      <c r="I1330" s="228" t="s">
        <v>34</v>
      </c>
      <c r="J1330" s="64">
        <v>112</v>
      </c>
      <c r="K1330" s="80">
        <v>112.4</v>
      </c>
      <c r="L1330" s="224">
        <f t="shared" si="104"/>
        <v>1814991.25</v>
      </c>
      <c r="M1330" s="223"/>
      <c r="N1330" s="223"/>
      <c r="O1330" s="61"/>
      <c r="P1330" s="69" t="str">
        <f t="shared" si="102"/>
        <v>Piutang Usaha</v>
      </c>
      <c r="Q1330" s="61"/>
    </row>
    <row r="1331" spans="1:17" hidden="1" x14ac:dyDescent="0.25">
      <c r="A1331" s="60" t="str">
        <f t="shared" si="100"/>
        <v>394112</v>
      </c>
      <c r="B1331" s="60">
        <f>COUNTIF($J$7:J1331,J1331)</f>
        <v>394</v>
      </c>
      <c r="C1331" s="60" t="str">
        <f t="shared" si="101"/>
        <v>47112,4</v>
      </c>
      <c r="D1331" s="60">
        <f>COUNTIF($K$7:K1331,K1331)</f>
        <v>47</v>
      </c>
      <c r="E1331" s="61"/>
      <c r="F1331" s="227">
        <v>44595</v>
      </c>
      <c r="G1331" s="72">
        <f t="shared" si="103"/>
        <v>44625</v>
      </c>
      <c r="H1331" s="228" t="s">
        <v>896</v>
      </c>
      <c r="I1331" s="228" t="s">
        <v>34</v>
      </c>
      <c r="J1331" s="64">
        <v>112</v>
      </c>
      <c r="K1331" s="80">
        <v>112.4</v>
      </c>
      <c r="L1331" s="224">
        <f t="shared" si="104"/>
        <v>1209994.5</v>
      </c>
      <c r="M1331" s="223"/>
      <c r="N1331" s="223"/>
      <c r="O1331" s="61"/>
      <c r="P1331" s="69" t="str">
        <f t="shared" si="102"/>
        <v>Piutang Usaha</v>
      </c>
      <c r="Q1331" s="61"/>
    </row>
    <row r="1332" spans="1:17" hidden="1" x14ac:dyDescent="0.25">
      <c r="A1332" s="60" t="str">
        <f t="shared" si="100"/>
        <v>395112</v>
      </c>
      <c r="B1332" s="60">
        <f>COUNTIF($J$7:J1332,J1332)</f>
        <v>395</v>
      </c>
      <c r="C1332" s="60" t="str">
        <f t="shared" si="101"/>
        <v>48112,4</v>
      </c>
      <c r="D1332" s="60">
        <f>COUNTIF($K$7:K1332,K1332)</f>
        <v>48</v>
      </c>
      <c r="E1332" s="61"/>
      <c r="F1332" s="227">
        <v>44595</v>
      </c>
      <c r="G1332" s="72">
        <f t="shared" si="103"/>
        <v>44625</v>
      </c>
      <c r="H1332" s="228" t="s">
        <v>896</v>
      </c>
      <c r="I1332" s="228" t="s">
        <v>34</v>
      </c>
      <c r="J1332" s="64">
        <v>112</v>
      </c>
      <c r="K1332" s="80">
        <v>112.4</v>
      </c>
      <c r="L1332" s="224">
        <f t="shared" si="104"/>
        <v>604996.75</v>
      </c>
      <c r="M1332" s="223"/>
      <c r="N1332" s="223"/>
      <c r="O1332" s="61"/>
      <c r="P1332" s="69" t="str">
        <f t="shared" si="102"/>
        <v>Piutang Usaha</v>
      </c>
      <c r="Q1332" s="61"/>
    </row>
    <row r="1333" spans="1:17" hidden="1" x14ac:dyDescent="0.25">
      <c r="A1333" s="60" t="str">
        <f t="shared" si="100"/>
        <v>396112</v>
      </c>
      <c r="B1333" s="60">
        <f>COUNTIF($J$7:J1333,J1333)</f>
        <v>396</v>
      </c>
      <c r="C1333" s="60" t="str">
        <f t="shared" si="101"/>
        <v>49112,4</v>
      </c>
      <c r="D1333" s="60">
        <f>COUNTIF($K$7:K1333,K1333)</f>
        <v>49</v>
      </c>
      <c r="E1333" s="61"/>
      <c r="F1333" s="227">
        <v>44599</v>
      </c>
      <c r="G1333" s="72">
        <f t="shared" si="103"/>
        <v>44629</v>
      </c>
      <c r="H1333" s="228" t="s">
        <v>897</v>
      </c>
      <c r="I1333" s="228" t="s">
        <v>34</v>
      </c>
      <c r="J1333" s="64">
        <v>112</v>
      </c>
      <c r="K1333" s="80">
        <v>112.4</v>
      </c>
      <c r="L1333" s="224">
        <f t="shared" si="104"/>
        <v>2419989</v>
      </c>
      <c r="M1333" s="223"/>
      <c r="N1333" s="223"/>
      <c r="O1333" s="61"/>
      <c r="P1333" s="69" t="str">
        <f t="shared" si="102"/>
        <v>Piutang Usaha</v>
      </c>
      <c r="Q1333" s="61"/>
    </row>
    <row r="1334" spans="1:17" hidden="1" x14ac:dyDescent="0.25">
      <c r="A1334" s="60" t="str">
        <f t="shared" si="100"/>
        <v>397112</v>
      </c>
      <c r="B1334" s="60">
        <f>COUNTIF($J$7:J1334,J1334)</f>
        <v>397</v>
      </c>
      <c r="C1334" s="60" t="str">
        <f t="shared" si="101"/>
        <v>50112,4</v>
      </c>
      <c r="D1334" s="60">
        <f>COUNTIF($K$7:K1334,K1334)</f>
        <v>50</v>
      </c>
      <c r="E1334" s="61"/>
      <c r="F1334" s="227">
        <v>44600</v>
      </c>
      <c r="G1334" s="72">
        <f t="shared" si="103"/>
        <v>44630</v>
      </c>
      <c r="H1334" s="228" t="s">
        <v>898</v>
      </c>
      <c r="I1334" s="228" t="s">
        <v>34</v>
      </c>
      <c r="J1334" s="64">
        <v>112</v>
      </c>
      <c r="K1334" s="80">
        <v>112.4</v>
      </c>
      <c r="L1334" s="224">
        <f t="shared" si="104"/>
        <v>1209994.5</v>
      </c>
      <c r="M1334" s="223"/>
      <c r="N1334" s="223"/>
      <c r="O1334" s="61"/>
      <c r="P1334" s="69" t="str">
        <f t="shared" si="102"/>
        <v>Piutang Usaha</v>
      </c>
      <c r="Q1334" s="61"/>
    </row>
    <row r="1335" spans="1:17" hidden="1" x14ac:dyDescent="0.25">
      <c r="A1335" s="60" t="str">
        <f t="shared" si="100"/>
        <v>398112</v>
      </c>
      <c r="B1335" s="60">
        <f>COUNTIF($J$7:J1335,J1335)</f>
        <v>398</v>
      </c>
      <c r="C1335" s="60" t="str">
        <f t="shared" si="101"/>
        <v>51112,4</v>
      </c>
      <c r="D1335" s="60">
        <f>COUNTIF($K$7:K1335,K1335)</f>
        <v>51</v>
      </c>
      <c r="E1335" s="61"/>
      <c r="F1335" s="227">
        <v>44600</v>
      </c>
      <c r="G1335" s="72">
        <f t="shared" si="103"/>
        <v>44630</v>
      </c>
      <c r="H1335" s="228" t="s">
        <v>899</v>
      </c>
      <c r="I1335" s="228" t="s">
        <v>34</v>
      </c>
      <c r="J1335" s="64">
        <v>112</v>
      </c>
      <c r="K1335" s="80">
        <v>112.4</v>
      </c>
      <c r="L1335" s="224">
        <f t="shared" si="104"/>
        <v>3024985.75</v>
      </c>
      <c r="M1335" s="223"/>
      <c r="N1335" s="223"/>
      <c r="O1335" s="61"/>
      <c r="P1335" s="69" t="str">
        <f t="shared" si="102"/>
        <v>Piutang Usaha</v>
      </c>
      <c r="Q1335" s="61"/>
    </row>
    <row r="1336" spans="1:17" hidden="1" x14ac:dyDescent="0.25">
      <c r="A1336" s="60" t="str">
        <f t="shared" si="100"/>
        <v>399112</v>
      </c>
      <c r="B1336" s="60">
        <f>COUNTIF($J$7:J1336,J1336)</f>
        <v>399</v>
      </c>
      <c r="C1336" s="60" t="str">
        <f t="shared" si="101"/>
        <v>52112,4</v>
      </c>
      <c r="D1336" s="60">
        <f>COUNTIF($K$7:K1336,K1336)</f>
        <v>52</v>
      </c>
      <c r="E1336" s="61"/>
      <c r="F1336" s="227">
        <v>44601</v>
      </c>
      <c r="G1336" s="72">
        <f t="shared" si="103"/>
        <v>44631</v>
      </c>
      <c r="H1336" s="228" t="s">
        <v>900</v>
      </c>
      <c r="I1336" s="228" t="s">
        <v>34</v>
      </c>
      <c r="J1336" s="64">
        <v>112</v>
      </c>
      <c r="K1336" s="80">
        <v>112.4</v>
      </c>
      <c r="L1336" s="224">
        <f t="shared" si="104"/>
        <v>1814991.25</v>
      </c>
      <c r="M1336" s="223"/>
      <c r="N1336" s="223"/>
      <c r="O1336" s="61"/>
      <c r="P1336" s="69" t="str">
        <f t="shared" si="102"/>
        <v>Piutang Usaha</v>
      </c>
      <c r="Q1336" s="61"/>
    </row>
    <row r="1337" spans="1:17" hidden="1" x14ac:dyDescent="0.25">
      <c r="A1337" s="60" t="str">
        <f t="shared" si="100"/>
        <v>400112</v>
      </c>
      <c r="B1337" s="60">
        <f>COUNTIF($J$7:J1337,J1337)</f>
        <v>400</v>
      </c>
      <c r="C1337" s="60" t="str">
        <f t="shared" si="101"/>
        <v>53112,4</v>
      </c>
      <c r="D1337" s="60">
        <f>COUNTIF($K$7:K1337,K1337)</f>
        <v>53</v>
      </c>
      <c r="E1337" s="61"/>
      <c r="F1337" s="227">
        <v>44602</v>
      </c>
      <c r="G1337" s="72">
        <f t="shared" si="103"/>
        <v>44632</v>
      </c>
      <c r="H1337" s="228" t="s">
        <v>901</v>
      </c>
      <c r="I1337" s="228" t="s">
        <v>34</v>
      </c>
      <c r="J1337" s="64">
        <v>112</v>
      </c>
      <c r="K1337" s="80">
        <v>112.4</v>
      </c>
      <c r="L1337" s="224">
        <f t="shared" si="104"/>
        <v>604996.75</v>
      </c>
      <c r="M1337" s="223"/>
      <c r="N1337" s="223"/>
      <c r="O1337" s="61"/>
      <c r="P1337" s="69" t="str">
        <f t="shared" si="102"/>
        <v>Piutang Usaha</v>
      </c>
      <c r="Q1337" s="61"/>
    </row>
    <row r="1338" spans="1:17" hidden="1" x14ac:dyDescent="0.25">
      <c r="A1338" s="60" t="str">
        <f t="shared" si="100"/>
        <v>401112</v>
      </c>
      <c r="B1338" s="60">
        <f>COUNTIF($J$7:J1338,J1338)</f>
        <v>401</v>
      </c>
      <c r="C1338" s="60" t="str">
        <f t="shared" si="101"/>
        <v>54112,4</v>
      </c>
      <c r="D1338" s="60">
        <f>COUNTIF($K$7:K1338,K1338)</f>
        <v>54</v>
      </c>
      <c r="E1338" s="61"/>
      <c r="F1338" s="227">
        <v>44606</v>
      </c>
      <c r="G1338" s="72">
        <f t="shared" si="103"/>
        <v>44636</v>
      </c>
      <c r="H1338" s="228" t="s">
        <v>902</v>
      </c>
      <c r="I1338" s="228" t="s">
        <v>34</v>
      </c>
      <c r="J1338" s="64">
        <v>112</v>
      </c>
      <c r="K1338" s="80">
        <v>112.4</v>
      </c>
      <c r="L1338" s="224">
        <f t="shared" si="104"/>
        <v>1814991.2</v>
      </c>
      <c r="M1338" s="223"/>
      <c r="N1338" s="223"/>
      <c r="O1338" s="61"/>
      <c r="P1338" s="69" t="str">
        <f t="shared" si="102"/>
        <v>Piutang Usaha</v>
      </c>
      <c r="Q1338" s="61"/>
    </row>
    <row r="1339" spans="1:17" hidden="1" x14ac:dyDescent="0.25">
      <c r="A1339" s="60" t="str">
        <f t="shared" si="100"/>
        <v>402112</v>
      </c>
      <c r="B1339" s="60">
        <f>COUNTIF($J$7:J1339,J1339)</f>
        <v>402</v>
      </c>
      <c r="C1339" s="60" t="str">
        <f t="shared" si="101"/>
        <v>55112,4</v>
      </c>
      <c r="D1339" s="60">
        <f>COUNTIF($K$7:K1339,K1339)</f>
        <v>55</v>
      </c>
      <c r="E1339" s="61"/>
      <c r="F1339" s="227">
        <v>44606</v>
      </c>
      <c r="G1339" s="72">
        <f t="shared" si="103"/>
        <v>44636</v>
      </c>
      <c r="H1339" s="228" t="s">
        <v>902</v>
      </c>
      <c r="I1339" s="228" t="s">
        <v>34</v>
      </c>
      <c r="J1339" s="64">
        <v>112</v>
      </c>
      <c r="K1339" s="80">
        <v>112.4</v>
      </c>
      <c r="L1339" s="224">
        <f t="shared" si="104"/>
        <v>1209994.5</v>
      </c>
      <c r="M1339" s="223"/>
      <c r="N1339" s="223"/>
      <c r="O1339" s="61"/>
      <c r="P1339" s="69" t="str">
        <f t="shared" si="102"/>
        <v>Piutang Usaha</v>
      </c>
      <c r="Q1339" s="61"/>
    </row>
    <row r="1340" spans="1:17" hidden="1" x14ac:dyDescent="0.25">
      <c r="A1340" s="60" t="str">
        <f t="shared" si="100"/>
        <v>403112</v>
      </c>
      <c r="B1340" s="60">
        <f>COUNTIF($J$7:J1340,J1340)</f>
        <v>403</v>
      </c>
      <c r="C1340" s="60" t="str">
        <f t="shared" si="101"/>
        <v>56112,4</v>
      </c>
      <c r="D1340" s="60">
        <f>COUNTIF($K$7:K1340,K1340)</f>
        <v>56</v>
      </c>
      <c r="E1340" s="61"/>
      <c r="F1340" s="227">
        <v>44606</v>
      </c>
      <c r="G1340" s="72">
        <f t="shared" si="103"/>
        <v>44636</v>
      </c>
      <c r="H1340" s="228" t="s">
        <v>903</v>
      </c>
      <c r="I1340" s="228" t="s">
        <v>34</v>
      </c>
      <c r="J1340" s="64">
        <v>112</v>
      </c>
      <c r="K1340" s="80">
        <v>112.4</v>
      </c>
      <c r="L1340" s="224">
        <f t="shared" si="104"/>
        <v>6325000</v>
      </c>
      <c r="M1340" s="223"/>
      <c r="N1340" s="223"/>
      <c r="O1340" s="61"/>
      <c r="P1340" s="69" t="str">
        <f t="shared" si="102"/>
        <v>Piutang Usaha</v>
      </c>
      <c r="Q1340" s="61"/>
    </row>
    <row r="1341" spans="1:17" hidden="1" x14ac:dyDescent="0.25">
      <c r="A1341" s="60" t="str">
        <f t="shared" si="100"/>
        <v>404112</v>
      </c>
      <c r="B1341" s="60">
        <f>COUNTIF($J$7:J1341,J1341)</f>
        <v>404</v>
      </c>
      <c r="C1341" s="60" t="str">
        <f t="shared" si="101"/>
        <v>57112,4</v>
      </c>
      <c r="D1341" s="60">
        <f>COUNTIF($K$7:K1341,K1341)</f>
        <v>57</v>
      </c>
      <c r="E1341" s="61"/>
      <c r="F1341" s="227">
        <v>44606</v>
      </c>
      <c r="G1341" s="72">
        <f t="shared" si="103"/>
        <v>44636</v>
      </c>
      <c r="H1341" s="228" t="s">
        <v>904</v>
      </c>
      <c r="I1341" s="228" t="s">
        <v>34</v>
      </c>
      <c r="J1341" s="64">
        <v>112</v>
      </c>
      <c r="K1341" s="80">
        <v>112.4</v>
      </c>
      <c r="L1341" s="224">
        <f t="shared" si="104"/>
        <v>632500</v>
      </c>
      <c r="M1341" s="223"/>
      <c r="N1341" s="223"/>
      <c r="O1341" s="61"/>
      <c r="P1341" s="69" t="str">
        <f t="shared" si="102"/>
        <v>Piutang Usaha</v>
      </c>
      <c r="Q1341" s="61"/>
    </row>
    <row r="1342" spans="1:17" hidden="1" x14ac:dyDescent="0.25">
      <c r="A1342" s="60" t="str">
        <f t="shared" si="100"/>
        <v>405112</v>
      </c>
      <c r="B1342" s="60">
        <f>COUNTIF($J$7:J1342,J1342)</f>
        <v>405</v>
      </c>
      <c r="C1342" s="60" t="str">
        <f t="shared" si="101"/>
        <v>58112,4</v>
      </c>
      <c r="D1342" s="60">
        <f>COUNTIF($K$7:K1342,K1342)</f>
        <v>58</v>
      </c>
      <c r="E1342" s="61"/>
      <c r="F1342" s="227">
        <v>44608</v>
      </c>
      <c r="G1342" s="72">
        <f t="shared" si="103"/>
        <v>44638</v>
      </c>
      <c r="H1342" s="228" t="s">
        <v>905</v>
      </c>
      <c r="I1342" s="228" t="s">
        <v>34</v>
      </c>
      <c r="J1342" s="64">
        <v>112</v>
      </c>
      <c r="K1342" s="80">
        <v>112.4</v>
      </c>
      <c r="L1342" s="224">
        <f t="shared" si="104"/>
        <v>2419989</v>
      </c>
      <c r="M1342" s="223"/>
      <c r="N1342" s="223"/>
      <c r="O1342" s="61"/>
      <c r="P1342" s="69" t="str">
        <f t="shared" si="102"/>
        <v>Piutang Usaha</v>
      </c>
      <c r="Q1342" s="61"/>
    </row>
    <row r="1343" spans="1:17" hidden="1" x14ac:dyDescent="0.25">
      <c r="A1343" s="60" t="str">
        <f t="shared" si="100"/>
        <v>406112</v>
      </c>
      <c r="B1343" s="60">
        <f>COUNTIF($J$7:J1343,J1343)</f>
        <v>406</v>
      </c>
      <c r="C1343" s="60" t="str">
        <f t="shared" si="101"/>
        <v>59112,4</v>
      </c>
      <c r="D1343" s="60">
        <f>COUNTIF($K$7:K1343,K1343)</f>
        <v>59</v>
      </c>
      <c r="E1343" s="61"/>
      <c r="F1343" s="227">
        <v>44608</v>
      </c>
      <c r="G1343" s="72">
        <f t="shared" si="103"/>
        <v>44638</v>
      </c>
      <c r="H1343" s="228" t="s">
        <v>905</v>
      </c>
      <c r="I1343" s="228" t="s">
        <v>34</v>
      </c>
      <c r="J1343" s="64">
        <v>112</v>
      </c>
      <c r="K1343" s="80">
        <v>112.4</v>
      </c>
      <c r="L1343" s="224">
        <f t="shared" si="104"/>
        <v>1814991.2</v>
      </c>
      <c r="M1343" s="223"/>
      <c r="N1343" s="223"/>
      <c r="O1343" s="61"/>
      <c r="P1343" s="69" t="str">
        <f t="shared" si="102"/>
        <v>Piutang Usaha</v>
      </c>
      <c r="Q1343" s="61"/>
    </row>
    <row r="1344" spans="1:17" hidden="1" x14ac:dyDescent="0.25">
      <c r="A1344" s="60" t="str">
        <f t="shared" si="100"/>
        <v>407112</v>
      </c>
      <c r="B1344" s="60">
        <f>COUNTIF($J$7:J1344,J1344)</f>
        <v>407</v>
      </c>
      <c r="C1344" s="60" t="str">
        <f t="shared" si="101"/>
        <v>60112,4</v>
      </c>
      <c r="D1344" s="60">
        <f>COUNTIF($K$7:K1344,K1344)</f>
        <v>60</v>
      </c>
      <c r="E1344" s="61"/>
      <c r="F1344" s="227">
        <v>44610</v>
      </c>
      <c r="G1344" s="72">
        <f t="shared" si="103"/>
        <v>44640</v>
      </c>
      <c r="H1344" s="228" t="s">
        <v>906</v>
      </c>
      <c r="I1344" s="228" t="s">
        <v>34</v>
      </c>
      <c r="J1344" s="64">
        <v>112</v>
      </c>
      <c r="K1344" s="80">
        <v>112.4</v>
      </c>
      <c r="L1344" s="224">
        <f t="shared" si="104"/>
        <v>1518000</v>
      </c>
      <c r="M1344" s="223"/>
      <c r="N1344" s="223"/>
      <c r="O1344" s="61"/>
      <c r="P1344" s="69" t="str">
        <f t="shared" si="102"/>
        <v>Piutang Usaha</v>
      </c>
      <c r="Q1344" s="61"/>
    </row>
    <row r="1345" spans="1:17" hidden="1" x14ac:dyDescent="0.25">
      <c r="A1345" s="60" t="str">
        <f t="shared" si="100"/>
        <v>408112</v>
      </c>
      <c r="B1345" s="60">
        <f>COUNTIF($J$7:J1345,J1345)</f>
        <v>408</v>
      </c>
      <c r="C1345" s="60" t="str">
        <f t="shared" si="101"/>
        <v>61112,4</v>
      </c>
      <c r="D1345" s="60">
        <f>COUNTIF($K$7:K1345,K1345)</f>
        <v>61</v>
      </c>
      <c r="E1345" s="61"/>
      <c r="F1345" s="227">
        <v>44614</v>
      </c>
      <c r="G1345" s="72">
        <f t="shared" si="103"/>
        <v>44644</v>
      </c>
      <c r="H1345" s="228" t="s">
        <v>907</v>
      </c>
      <c r="I1345" s="228" t="s">
        <v>34</v>
      </c>
      <c r="J1345" s="64">
        <v>112</v>
      </c>
      <c r="K1345" s="80">
        <v>112.4</v>
      </c>
      <c r="L1345" s="224">
        <f t="shared" si="104"/>
        <v>604997.25</v>
      </c>
      <c r="M1345" s="223"/>
      <c r="N1345" s="223"/>
      <c r="O1345" s="61"/>
      <c r="P1345" s="69" t="str">
        <f t="shared" si="102"/>
        <v>Piutang Usaha</v>
      </c>
      <c r="Q1345" s="61"/>
    </row>
    <row r="1346" spans="1:17" hidden="1" x14ac:dyDescent="0.25">
      <c r="A1346" s="60" t="str">
        <f t="shared" si="100"/>
        <v>409112</v>
      </c>
      <c r="B1346" s="60">
        <f>COUNTIF($J$7:J1346,J1346)</f>
        <v>409</v>
      </c>
      <c r="C1346" s="60" t="str">
        <f t="shared" si="101"/>
        <v>62112,4</v>
      </c>
      <c r="D1346" s="60">
        <f>COUNTIF($K$7:K1346,K1346)</f>
        <v>62</v>
      </c>
      <c r="E1346" s="61"/>
      <c r="F1346" s="227">
        <v>44614</v>
      </c>
      <c r="G1346" s="72">
        <f t="shared" si="103"/>
        <v>44644</v>
      </c>
      <c r="H1346" s="228" t="s">
        <v>907</v>
      </c>
      <c r="I1346" s="228" t="s">
        <v>34</v>
      </c>
      <c r="J1346" s="64">
        <v>112</v>
      </c>
      <c r="K1346" s="80">
        <v>112.4</v>
      </c>
      <c r="L1346" s="224">
        <f t="shared" si="104"/>
        <v>1209994.5</v>
      </c>
      <c r="M1346" s="223"/>
      <c r="N1346" s="223"/>
      <c r="O1346" s="61"/>
      <c r="P1346" s="69" t="str">
        <f t="shared" si="102"/>
        <v>Piutang Usaha</v>
      </c>
      <c r="Q1346" s="61"/>
    </row>
    <row r="1347" spans="1:17" hidden="1" x14ac:dyDescent="0.25">
      <c r="A1347" s="60" t="str">
        <f t="shared" si="100"/>
        <v>410112</v>
      </c>
      <c r="B1347" s="60">
        <f>COUNTIF($J$7:J1347,J1347)</f>
        <v>410</v>
      </c>
      <c r="C1347" s="60" t="str">
        <f t="shared" si="101"/>
        <v>63112,4</v>
      </c>
      <c r="D1347" s="60">
        <f>COUNTIF($K$7:K1347,K1347)</f>
        <v>63</v>
      </c>
      <c r="E1347" s="61"/>
      <c r="F1347" s="227">
        <v>44614</v>
      </c>
      <c r="G1347" s="72">
        <f t="shared" si="103"/>
        <v>44644</v>
      </c>
      <c r="H1347" s="228" t="s">
        <v>907</v>
      </c>
      <c r="I1347" s="228" t="s">
        <v>34</v>
      </c>
      <c r="J1347" s="64">
        <v>112</v>
      </c>
      <c r="K1347" s="80">
        <v>112.4</v>
      </c>
      <c r="L1347" s="224">
        <f t="shared" si="104"/>
        <v>604997.25</v>
      </c>
      <c r="M1347" s="223"/>
      <c r="N1347" s="223"/>
      <c r="O1347" s="61"/>
      <c r="P1347" s="69" t="str">
        <f t="shared" si="102"/>
        <v>Piutang Usaha</v>
      </c>
      <c r="Q1347" s="61"/>
    </row>
    <row r="1348" spans="1:17" hidden="1" x14ac:dyDescent="0.25">
      <c r="A1348" s="60" t="str">
        <f t="shared" si="100"/>
        <v>411112</v>
      </c>
      <c r="B1348" s="60">
        <f>COUNTIF($J$7:J1348,J1348)</f>
        <v>411</v>
      </c>
      <c r="C1348" s="60" t="str">
        <f t="shared" si="101"/>
        <v>64112,4</v>
      </c>
      <c r="D1348" s="60">
        <f>COUNTIF($K$7:K1348,K1348)</f>
        <v>64</v>
      </c>
      <c r="E1348" s="61"/>
      <c r="F1348" s="227">
        <v>44614</v>
      </c>
      <c r="G1348" s="72">
        <f t="shared" si="103"/>
        <v>44644</v>
      </c>
      <c r="H1348" s="228" t="s">
        <v>908</v>
      </c>
      <c r="I1348" s="228" t="s">
        <v>34</v>
      </c>
      <c r="J1348" s="64">
        <v>112</v>
      </c>
      <c r="K1348" s="80">
        <v>112.4</v>
      </c>
      <c r="L1348" s="224">
        <f t="shared" si="104"/>
        <v>1814991.25</v>
      </c>
      <c r="M1348" s="223"/>
      <c r="N1348" s="223"/>
      <c r="O1348" s="61"/>
      <c r="P1348" s="69" t="str">
        <f t="shared" si="102"/>
        <v>Piutang Usaha</v>
      </c>
      <c r="Q1348" s="61"/>
    </row>
    <row r="1349" spans="1:17" hidden="1" x14ac:dyDescent="0.25">
      <c r="A1349" s="60" t="str">
        <f t="shared" si="100"/>
        <v>412112</v>
      </c>
      <c r="B1349" s="60">
        <f>COUNTIF($J$7:J1349,J1349)</f>
        <v>412</v>
      </c>
      <c r="C1349" s="60" t="str">
        <f t="shared" si="101"/>
        <v>65112,4</v>
      </c>
      <c r="D1349" s="60">
        <f>COUNTIF($K$7:K1349,K1349)</f>
        <v>65</v>
      </c>
      <c r="E1349" s="61"/>
      <c r="F1349" s="227">
        <v>44615</v>
      </c>
      <c r="G1349" s="72">
        <f t="shared" si="103"/>
        <v>44645</v>
      </c>
      <c r="H1349" s="228" t="s">
        <v>909</v>
      </c>
      <c r="I1349" s="228" t="s">
        <v>34</v>
      </c>
      <c r="J1349" s="64">
        <v>112</v>
      </c>
      <c r="K1349" s="80">
        <v>112.4</v>
      </c>
      <c r="L1349" s="224">
        <f t="shared" si="104"/>
        <v>1209994.5</v>
      </c>
      <c r="M1349" s="223"/>
      <c r="N1349" s="223"/>
      <c r="O1349" s="61"/>
      <c r="P1349" s="69" t="str">
        <f t="shared" si="102"/>
        <v>Piutang Usaha</v>
      </c>
      <c r="Q1349" s="61"/>
    </row>
    <row r="1350" spans="1:17" hidden="1" x14ac:dyDescent="0.25">
      <c r="A1350" s="60" t="str">
        <f t="shared" si="100"/>
        <v>413112</v>
      </c>
      <c r="B1350" s="60">
        <f>COUNTIF($J$7:J1350,J1350)</f>
        <v>413</v>
      </c>
      <c r="C1350" s="60" t="str">
        <f t="shared" si="101"/>
        <v>66112,4</v>
      </c>
      <c r="D1350" s="60">
        <f>COUNTIF($K$7:K1350,K1350)</f>
        <v>66</v>
      </c>
      <c r="E1350" s="61"/>
      <c r="F1350" s="227">
        <v>44615</v>
      </c>
      <c r="G1350" s="72">
        <f t="shared" si="103"/>
        <v>44645</v>
      </c>
      <c r="H1350" s="228" t="s">
        <v>910</v>
      </c>
      <c r="I1350" s="228" t="s">
        <v>34</v>
      </c>
      <c r="J1350" s="64">
        <v>112</v>
      </c>
      <c r="K1350" s="80">
        <v>112.4</v>
      </c>
      <c r="L1350" s="224">
        <f t="shared" si="104"/>
        <v>379500</v>
      </c>
      <c r="M1350" s="223"/>
      <c r="N1350" s="223"/>
      <c r="O1350" s="61"/>
      <c r="P1350" s="69" t="str">
        <f t="shared" si="102"/>
        <v>Piutang Usaha</v>
      </c>
      <c r="Q1350" s="61"/>
    </row>
    <row r="1351" spans="1:17" hidden="1" x14ac:dyDescent="0.25">
      <c r="A1351" s="60" t="str">
        <f t="shared" ref="A1351:A1414" si="105">B1351&amp;J1351</f>
        <v>414112</v>
      </c>
      <c r="B1351" s="60">
        <f>COUNTIF($J$7:J1351,J1351)</f>
        <v>414</v>
      </c>
      <c r="C1351" s="60" t="str">
        <f t="shared" ref="C1351:C1414" si="106">D1351&amp;K1351</f>
        <v>67112,4</v>
      </c>
      <c r="D1351" s="60">
        <f>COUNTIF($K$7:K1351,K1351)</f>
        <v>67</v>
      </c>
      <c r="E1351" s="61"/>
      <c r="F1351" s="227">
        <v>44616</v>
      </c>
      <c r="G1351" s="72">
        <f t="shared" si="103"/>
        <v>44646</v>
      </c>
      <c r="H1351" s="228" t="s">
        <v>911</v>
      </c>
      <c r="I1351" s="228" t="s">
        <v>34</v>
      </c>
      <c r="J1351" s="64">
        <v>112</v>
      </c>
      <c r="K1351" s="80">
        <v>112.4</v>
      </c>
      <c r="L1351" s="224">
        <f t="shared" si="104"/>
        <v>2419989</v>
      </c>
      <c r="M1351" s="223"/>
      <c r="N1351" s="223"/>
      <c r="O1351" s="61"/>
      <c r="P1351" s="69" t="str">
        <f t="shared" ref="P1351:P1414" si="107">IF(J1351=0,"-",+VLOOKUP(J1351,DAF_AKUN,2,FALSE))</f>
        <v>Piutang Usaha</v>
      </c>
      <c r="Q1351" s="61"/>
    </row>
    <row r="1352" spans="1:17" hidden="1" x14ac:dyDescent="0.25">
      <c r="A1352" s="60" t="str">
        <f t="shared" si="105"/>
        <v>415112</v>
      </c>
      <c r="B1352" s="60">
        <f>COUNTIF($J$7:J1352,J1352)</f>
        <v>415</v>
      </c>
      <c r="C1352" s="60" t="str">
        <f t="shared" si="106"/>
        <v>68112,4</v>
      </c>
      <c r="D1352" s="60">
        <f>COUNTIF($K$7:K1352,K1352)</f>
        <v>68</v>
      </c>
      <c r="E1352" s="61"/>
      <c r="F1352" s="227">
        <v>44616</v>
      </c>
      <c r="G1352" s="72">
        <f t="shared" si="103"/>
        <v>44646</v>
      </c>
      <c r="H1352" s="228" t="s">
        <v>911</v>
      </c>
      <c r="I1352" s="228" t="s">
        <v>34</v>
      </c>
      <c r="J1352" s="64">
        <v>112</v>
      </c>
      <c r="K1352" s="80">
        <v>112.4</v>
      </c>
      <c r="L1352" s="224">
        <f t="shared" si="104"/>
        <v>1814991.25</v>
      </c>
      <c r="M1352" s="223"/>
      <c r="N1352" s="223"/>
      <c r="O1352" s="61"/>
      <c r="P1352" s="69" t="str">
        <f t="shared" si="107"/>
        <v>Piutang Usaha</v>
      </c>
      <c r="Q1352" s="61"/>
    </row>
    <row r="1353" spans="1:17" hidden="1" x14ac:dyDescent="0.25">
      <c r="A1353" s="60" t="str">
        <f t="shared" si="105"/>
        <v>416112</v>
      </c>
      <c r="B1353" s="60">
        <f>COUNTIF($J$7:J1353,J1353)</f>
        <v>416</v>
      </c>
      <c r="C1353" s="60" t="str">
        <f t="shared" si="106"/>
        <v>69112,4</v>
      </c>
      <c r="D1353" s="60">
        <f>COUNTIF($K$7:K1353,K1353)</f>
        <v>69</v>
      </c>
      <c r="E1353" s="61"/>
      <c r="F1353" s="227">
        <v>44617</v>
      </c>
      <c r="G1353" s="72">
        <f t="shared" si="103"/>
        <v>44647</v>
      </c>
      <c r="H1353" s="228" t="s">
        <v>912</v>
      </c>
      <c r="I1353" s="228" t="s">
        <v>34</v>
      </c>
      <c r="J1353" s="64">
        <v>112</v>
      </c>
      <c r="K1353" s="80">
        <v>112.4</v>
      </c>
      <c r="L1353" s="224">
        <f t="shared" si="104"/>
        <v>16445000</v>
      </c>
      <c r="M1353" s="223"/>
      <c r="N1353" s="223"/>
      <c r="O1353" s="61"/>
      <c r="P1353" s="69" t="str">
        <f t="shared" si="107"/>
        <v>Piutang Usaha</v>
      </c>
      <c r="Q1353" s="61"/>
    </row>
    <row r="1354" spans="1:17" hidden="1" x14ac:dyDescent="0.25">
      <c r="A1354" s="60" t="str">
        <f t="shared" si="105"/>
        <v>417112</v>
      </c>
      <c r="B1354" s="60">
        <f>COUNTIF($J$7:J1354,J1354)</f>
        <v>417</v>
      </c>
      <c r="C1354" s="60" t="str">
        <f t="shared" si="106"/>
        <v>70112,4</v>
      </c>
      <c r="D1354" s="60">
        <f>COUNTIF($K$7:K1354,K1354)</f>
        <v>70</v>
      </c>
      <c r="E1354" s="61"/>
      <c r="F1354" s="227">
        <v>44617</v>
      </c>
      <c r="G1354" s="72">
        <f t="shared" si="103"/>
        <v>44647</v>
      </c>
      <c r="H1354" s="228" t="s">
        <v>913</v>
      </c>
      <c r="I1354" s="228" t="s">
        <v>34</v>
      </c>
      <c r="J1354" s="64">
        <v>112</v>
      </c>
      <c r="K1354" s="80">
        <v>112.4</v>
      </c>
      <c r="L1354" s="224">
        <f t="shared" si="104"/>
        <v>1209994.5</v>
      </c>
      <c r="M1354" s="223"/>
      <c r="N1354" s="223"/>
      <c r="O1354" s="61"/>
      <c r="P1354" s="69" t="str">
        <f t="shared" si="107"/>
        <v>Piutang Usaha</v>
      </c>
      <c r="Q1354" s="61"/>
    </row>
    <row r="1355" spans="1:17" hidden="1" x14ac:dyDescent="0.25">
      <c r="A1355" s="60" t="str">
        <f t="shared" si="105"/>
        <v>418112</v>
      </c>
      <c r="B1355" s="60">
        <f>COUNTIF($J$7:J1355,J1355)</f>
        <v>418</v>
      </c>
      <c r="C1355" s="60" t="str">
        <f t="shared" si="106"/>
        <v>1112,53</v>
      </c>
      <c r="D1355" s="60">
        <f>COUNTIF($K$7:K1355,K1355)</f>
        <v>1</v>
      </c>
      <c r="E1355" s="61"/>
      <c r="F1355" s="227">
        <v>44609</v>
      </c>
      <c r="G1355" s="229">
        <f>F1355+30</f>
        <v>44639</v>
      </c>
      <c r="H1355" s="228" t="s">
        <v>914</v>
      </c>
      <c r="I1355" s="228" t="s">
        <v>915</v>
      </c>
      <c r="J1355" s="64">
        <v>112</v>
      </c>
      <c r="K1355" s="80">
        <v>112.53</v>
      </c>
      <c r="L1355" s="224">
        <f t="shared" si="104"/>
        <v>2244000</v>
      </c>
      <c r="M1355" s="223"/>
      <c r="N1355" s="223"/>
      <c r="O1355" s="61"/>
      <c r="P1355" s="69" t="str">
        <f t="shared" si="107"/>
        <v>Piutang Usaha</v>
      </c>
      <c r="Q1355" s="61"/>
    </row>
    <row r="1356" spans="1:17" hidden="1" x14ac:dyDescent="0.25">
      <c r="A1356" s="60" t="str">
        <f t="shared" si="105"/>
        <v>419112</v>
      </c>
      <c r="B1356" s="60">
        <f>COUNTIF($J$7:J1356,J1356)</f>
        <v>419</v>
      </c>
      <c r="C1356" s="60" t="str">
        <f t="shared" si="106"/>
        <v>2112,53</v>
      </c>
      <c r="D1356" s="60">
        <f>COUNTIF($K$7:K1356,K1356)</f>
        <v>2</v>
      </c>
      <c r="E1356" s="61"/>
      <c r="F1356" s="227">
        <v>44609</v>
      </c>
      <c r="G1356" s="229">
        <f t="shared" ref="G1356:G1369" si="108">F1356+30</f>
        <v>44639</v>
      </c>
      <c r="H1356" s="228" t="s">
        <v>914</v>
      </c>
      <c r="I1356" s="228" t="s">
        <v>915</v>
      </c>
      <c r="J1356" s="64">
        <v>112</v>
      </c>
      <c r="K1356" s="80">
        <v>112.53</v>
      </c>
      <c r="L1356" s="224">
        <f t="shared" si="104"/>
        <v>2244000</v>
      </c>
      <c r="M1356" s="223"/>
      <c r="N1356" s="223"/>
      <c r="O1356" s="61"/>
      <c r="P1356" s="69" t="str">
        <f t="shared" si="107"/>
        <v>Piutang Usaha</v>
      </c>
      <c r="Q1356" s="61"/>
    </row>
    <row r="1357" spans="1:17" hidden="1" x14ac:dyDescent="0.25">
      <c r="A1357" s="60" t="str">
        <f t="shared" si="105"/>
        <v>420112</v>
      </c>
      <c r="B1357" s="60">
        <f>COUNTIF($J$7:J1357,J1357)</f>
        <v>420</v>
      </c>
      <c r="C1357" s="60" t="str">
        <f t="shared" si="106"/>
        <v>3112,53</v>
      </c>
      <c r="D1357" s="60">
        <f>COUNTIF($K$7:K1357,K1357)</f>
        <v>3</v>
      </c>
      <c r="E1357" s="61"/>
      <c r="F1357" s="227">
        <v>44609</v>
      </c>
      <c r="G1357" s="229">
        <f t="shared" si="108"/>
        <v>44639</v>
      </c>
      <c r="H1357" s="228" t="s">
        <v>914</v>
      </c>
      <c r="I1357" s="228" t="s">
        <v>915</v>
      </c>
      <c r="J1357" s="64">
        <v>112</v>
      </c>
      <c r="K1357" s="80">
        <v>112.53</v>
      </c>
      <c r="L1357" s="224">
        <f t="shared" si="104"/>
        <v>2244000</v>
      </c>
      <c r="M1357" s="223"/>
      <c r="N1357" s="223"/>
      <c r="O1357" s="61"/>
      <c r="P1357" s="69" t="str">
        <f t="shared" si="107"/>
        <v>Piutang Usaha</v>
      </c>
      <c r="Q1357" s="61"/>
    </row>
    <row r="1358" spans="1:17" hidden="1" x14ac:dyDescent="0.25">
      <c r="A1358" s="60" t="str">
        <f t="shared" si="105"/>
        <v>421112</v>
      </c>
      <c r="B1358" s="60">
        <f>COUNTIF($J$7:J1358,J1358)</f>
        <v>421</v>
      </c>
      <c r="C1358" s="60" t="str">
        <f t="shared" si="106"/>
        <v>4112,53</v>
      </c>
      <c r="D1358" s="60">
        <f>COUNTIF($K$7:K1358,K1358)</f>
        <v>4</v>
      </c>
      <c r="E1358" s="61"/>
      <c r="F1358" s="227">
        <v>44609</v>
      </c>
      <c r="G1358" s="229">
        <f t="shared" si="108"/>
        <v>44639</v>
      </c>
      <c r="H1358" s="228" t="s">
        <v>914</v>
      </c>
      <c r="I1358" s="228" t="s">
        <v>915</v>
      </c>
      <c r="J1358" s="64">
        <v>112</v>
      </c>
      <c r="K1358" s="80">
        <v>112.53</v>
      </c>
      <c r="L1358" s="224">
        <f t="shared" si="104"/>
        <v>2244000</v>
      </c>
      <c r="M1358" s="223"/>
      <c r="N1358" s="223"/>
      <c r="O1358" s="61"/>
      <c r="P1358" s="69" t="str">
        <f t="shared" si="107"/>
        <v>Piutang Usaha</v>
      </c>
      <c r="Q1358" s="61"/>
    </row>
    <row r="1359" spans="1:17" hidden="1" x14ac:dyDescent="0.25">
      <c r="A1359" s="60" t="str">
        <f t="shared" si="105"/>
        <v>422112</v>
      </c>
      <c r="B1359" s="60">
        <f>COUNTIF($J$7:J1359,J1359)</f>
        <v>422</v>
      </c>
      <c r="C1359" s="60" t="str">
        <f t="shared" si="106"/>
        <v>13112,3</v>
      </c>
      <c r="D1359" s="60">
        <f>COUNTIF($K$7:K1359,K1359)</f>
        <v>13</v>
      </c>
      <c r="E1359" s="61"/>
      <c r="F1359" s="227">
        <v>44594</v>
      </c>
      <c r="G1359" s="72">
        <f t="shared" si="108"/>
        <v>44624</v>
      </c>
      <c r="H1359" s="228" t="s">
        <v>916</v>
      </c>
      <c r="I1359" s="228" t="s">
        <v>48</v>
      </c>
      <c r="J1359" s="64">
        <v>112</v>
      </c>
      <c r="K1359" s="80">
        <v>112.3</v>
      </c>
      <c r="L1359" s="224">
        <f t="shared" si="104"/>
        <v>2145000</v>
      </c>
      <c r="M1359" s="223"/>
      <c r="N1359" s="223"/>
      <c r="O1359" s="61"/>
      <c r="P1359" s="69" t="str">
        <f t="shared" si="107"/>
        <v>Piutang Usaha</v>
      </c>
      <c r="Q1359" s="61"/>
    </row>
    <row r="1360" spans="1:17" hidden="1" x14ac:dyDescent="0.25">
      <c r="A1360" s="60" t="str">
        <f t="shared" si="105"/>
        <v>423112</v>
      </c>
      <c r="B1360" s="60">
        <f>COUNTIF($J$7:J1360,J1360)</f>
        <v>423</v>
      </c>
      <c r="C1360" s="60" t="str">
        <f t="shared" si="106"/>
        <v>14112,3</v>
      </c>
      <c r="D1360" s="60">
        <f>COUNTIF($K$7:K1360,K1360)</f>
        <v>14</v>
      </c>
      <c r="E1360" s="61"/>
      <c r="F1360" s="227">
        <v>44594</v>
      </c>
      <c r="G1360" s="72">
        <f t="shared" si="108"/>
        <v>44624</v>
      </c>
      <c r="H1360" s="228" t="s">
        <v>916</v>
      </c>
      <c r="I1360" s="228" t="s">
        <v>48</v>
      </c>
      <c r="J1360" s="64">
        <v>112</v>
      </c>
      <c r="K1360" s="80">
        <v>112.3</v>
      </c>
      <c r="L1360" s="224">
        <f t="shared" si="104"/>
        <v>2145000</v>
      </c>
      <c r="M1360" s="223"/>
      <c r="N1360" s="223"/>
      <c r="O1360" s="61"/>
      <c r="P1360" s="69" t="str">
        <f t="shared" si="107"/>
        <v>Piutang Usaha</v>
      </c>
      <c r="Q1360" s="61"/>
    </row>
    <row r="1361" spans="1:17" hidden="1" x14ac:dyDescent="0.25">
      <c r="A1361" s="60" t="str">
        <f t="shared" si="105"/>
        <v>424112</v>
      </c>
      <c r="B1361" s="60">
        <f>COUNTIF($J$7:J1361,J1361)</f>
        <v>424</v>
      </c>
      <c r="C1361" s="60" t="str">
        <f t="shared" si="106"/>
        <v>15112,3</v>
      </c>
      <c r="D1361" s="60">
        <f>COUNTIF($K$7:K1361,K1361)</f>
        <v>15</v>
      </c>
      <c r="E1361" s="61"/>
      <c r="F1361" s="227">
        <v>44594</v>
      </c>
      <c r="G1361" s="72">
        <f t="shared" si="108"/>
        <v>44624</v>
      </c>
      <c r="H1361" s="228" t="s">
        <v>916</v>
      </c>
      <c r="I1361" s="228" t="s">
        <v>48</v>
      </c>
      <c r="J1361" s="64">
        <v>112</v>
      </c>
      <c r="K1361" s="80">
        <v>112.3</v>
      </c>
      <c r="L1361" s="224">
        <f t="shared" si="104"/>
        <v>2145000</v>
      </c>
      <c r="M1361" s="223"/>
      <c r="N1361" s="223"/>
      <c r="O1361" s="61"/>
      <c r="P1361" s="69" t="str">
        <f t="shared" si="107"/>
        <v>Piutang Usaha</v>
      </c>
      <c r="Q1361" s="61"/>
    </row>
    <row r="1362" spans="1:17" hidden="1" x14ac:dyDescent="0.25">
      <c r="A1362" s="60" t="str">
        <f t="shared" si="105"/>
        <v>425112</v>
      </c>
      <c r="B1362" s="60">
        <f>COUNTIF($J$7:J1362,J1362)</f>
        <v>425</v>
      </c>
      <c r="C1362" s="60" t="str">
        <f t="shared" si="106"/>
        <v>16112,3</v>
      </c>
      <c r="D1362" s="60">
        <f>COUNTIF($K$7:K1362,K1362)</f>
        <v>16</v>
      </c>
      <c r="E1362" s="61"/>
      <c r="F1362" s="227">
        <v>44609</v>
      </c>
      <c r="G1362" s="72">
        <f t="shared" si="108"/>
        <v>44639</v>
      </c>
      <c r="H1362" s="228" t="s">
        <v>917</v>
      </c>
      <c r="I1362" s="228" t="s">
        <v>48</v>
      </c>
      <c r="J1362" s="64">
        <v>112</v>
      </c>
      <c r="K1362" s="80">
        <v>112.3</v>
      </c>
      <c r="L1362" s="224">
        <f t="shared" si="104"/>
        <v>2145000</v>
      </c>
      <c r="M1362" s="223"/>
      <c r="N1362" s="223"/>
      <c r="O1362" s="61"/>
      <c r="P1362" s="69" t="str">
        <f t="shared" si="107"/>
        <v>Piutang Usaha</v>
      </c>
      <c r="Q1362" s="61"/>
    </row>
    <row r="1363" spans="1:17" hidden="1" x14ac:dyDescent="0.25">
      <c r="A1363" s="60" t="str">
        <f t="shared" si="105"/>
        <v>426112</v>
      </c>
      <c r="B1363" s="60">
        <f>COUNTIF($J$7:J1363,J1363)</f>
        <v>426</v>
      </c>
      <c r="C1363" s="60" t="str">
        <f t="shared" si="106"/>
        <v>17112,3</v>
      </c>
      <c r="D1363" s="60">
        <f>COUNTIF($K$7:K1363,K1363)</f>
        <v>17</v>
      </c>
      <c r="E1363" s="61"/>
      <c r="F1363" s="227">
        <v>44609</v>
      </c>
      <c r="G1363" s="72">
        <f t="shared" si="108"/>
        <v>44639</v>
      </c>
      <c r="H1363" s="228" t="s">
        <v>917</v>
      </c>
      <c r="I1363" s="228" t="s">
        <v>48</v>
      </c>
      <c r="J1363" s="64">
        <v>112</v>
      </c>
      <c r="K1363" s="80">
        <v>112.3</v>
      </c>
      <c r="L1363" s="224">
        <f t="shared" si="104"/>
        <v>2145000</v>
      </c>
      <c r="M1363" s="223"/>
      <c r="N1363" s="223"/>
      <c r="O1363" s="61"/>
      <c r="P1363" s="69" t="str">
        <f t="shared" si="107"/>
        <v>Piutang Usaha</v>
      </c>
      <c r="Q1363" s="61"/>
    </row>
    <row r="1364" spans="1:17" hidden="1" x14ac:dyDescent="0.25">
      <c r="A1364" s="60" t="str">
        <f t="shared" si="105"/>
        <v>427112</v>
      </c>
      <c r="B1364" s="60">
        <f>COUNTIF($J$7:J1364,J1364)</f>
        <v>427</v>
      </c>
      <c r="C1364" s="60" t="str">
        <f t="shared" si="106"/>
        <v>18112,3</v>
      </c>
      <c r="D1364" s="60">
        <f>COUNTIF($K$7:K1364,K1364)</f>
        <v>18</v>
      </c>
      <c r="E1364" s="61"/>
      <c r="F1364" s="227">
        <v>44609</v>
      </c>
      <c r="G1364" s="72">
        <f t="shared" si="108"/>
        <v>44639</v>
      </c>
      <c r="H1364" s="228" t="s">
        <v>917</v>
      </c>
      <c r="I1364" s="228" t="s">
        <v>48</v>
      </c>
      <c r="J1364" s="64">
        <v>112</v>
      </c>
      <c r="K1364" s="80">
        <v>112.3</v>
      </c>
      <c r="L1364" s="224">
        <f t="shared" si="104"/>
        <v>2145000</v>
      </c>
      <c r="M1364" s="223"/>
      <c r="N1364" s="223"/>
      <c r="O1364" s="61"/>
      <c r="P1364" s="69" t="str">
        <f t="shared" si="107"/>
        <v>Piutang Usaha</v>
      </c>
      <c r="Q1364" s="61"/>
    </row>
    <row r="1365" spans="1:17" hidden="1" x14ac:dyDescent="0.25">
      <c r="A1365" s="60" t="str">
        <f t="shared" si="105"/>
        <v>428112</v>
      </c>
      <c r="B1365" s="60">
        <f>COUNTIF($J$7:J1365,J1365)</f>
        <v>428</v>
      </c>
      <c r="C1365" s="60" t="str">
        <f t="shared" si="106"/>
        <v>19112,3</v>
      </c>
      <c r="D1365" s="60">
        <f>COUNTIF($K$7:K1365,K1365)</f>
        <v>19</v>
      </c>
      <c r="E1365" s="61"/>
      <c r="F1365" s="227">
        <v>44613</v>
      </c>
      <c r="G1365" s="72">
        <f t="shared" si="108"/>
        <v>44643</v>
      </c>
      <c r="H1365" s="228" t="s">
        <v>918</v>
      </c>
      <c r="I1365" s="228" t="s">
        <v>48</v>
      </c>
      <c r="J1365" s="64">
        <v>112</v>
      </c>
      <c r="K1365" s="80">
        <v>112.3</v>
      </c>
      <c r="L1365" s="224">
        <f t="shared" si="104"/>
        <v>2145000</v>
      </c>
      <c r="M1365" s="223"/>
      <c r="N1365" s="223"/>
      <c r="O1365" s="61"/>
      <c r="P1365" s="69" t="str">
        <f t="shared" si="107"/>
        <v>Piutang Usaha</v>
      </c>
      <c r="Q1365" s="61"/>
    </row>
    <row r="1366" spans="1:17" hidden="1" x14ac:dyDescent="0.25">
      <c r="A1366" s="60" t="str">
        <f t="shared" si="105"/>
        <v>429112</v>
      </c>
      <c r="B1366" s="60">
        <f>COUNTIF($J$7:J1366,J1366)</f>
        <v>429</v>
      </c>
      <c r="C1366" s="60" t="str">
        <f t="shared" si="106"/>
        <v>20112,3</v>
      </c>
      <c r="D1366" s="60">
        <f>COUNTIF($K$7:K1366,K1366)</f>
        <v>20</v>
      </c>
      <c r="E1366" s="61"/>
      <c r="F1366" s="227">
        <v>44613</v>
      </c>
      <c r="G1366" s="72">
        <f t="shared" si="108"/>
        <v>44643</v>
      </c>
      <c r="H1366" s="228" t="s">
        <v>918</v>
      </c>
      <c r="I1366" s="228" t="s">
        <v>48</v>
      </c>
      <c r="J1366" s="64">
        <v>112</v>
      </c>
      <c r="K1366" s="80">
        <v>112.3</v>
      </c>
      <c r="L1366" s="224">
        <f t="shared" si="104"/>
        <v>2145000</v>
      </c>
      <c r="M1366" s="223"/>
      <c r="N1366" s="223"/>
      <c r="O1366" s="61"/>
      <c r="P1366" s="69" t="str">
        <f t="shared" si="107"/>
        <v>Piutang Usaha</v>
      </c>
      <c r="Q1366" s="61"/>
    </row>
    <row r="1367" spans="1:17" hidden="1" x14ac:dyDescent="0.25">
      <c r="A1367" s="60" t="str">
        <f t="shared" si="105"/>
        <v>430112</v>
      </c>
      <c r="B1367" s="60">
        <f>COUNTIF($J$7:J1367,J1367)</f>
        <v>430</v>
      </c>
      <c r="C1367" s="60" t="str">
        <f t="shared" si="106"/>
        <v>21112,3</v>
      </c>
      <c r="D1367" s="60">
        <f>COUNTIF($K$7:K1367,K1367)</f>
        <v>21</v>
      </c>
      <c r="E1367" s="61"/>
      <c r="F1367" s="227">
        <v>44616</v>
      </c>
      <c r="G1367" s="72">
        <f t="shared" si="108"/>
        <v>44646</v>
      </c>
      <c r="H1367" s="228" t="s">
        <v>919</v>
      </c>
      <c r="I1367" s="228" t="s">
        <v>48</v>
      </c>
      <c r="J1367" s="64">
        <v>112</v>
      </c>
      <c r="K1367" s="80">
        <v>112.3</v>
      </c>
      <c r="L1367" s="224">
        <f t="shared" si="104"/>
        <v>2145000</v>
      </c>
      <c r="M1367" s="223"/>
      <c r="N1367" s="223"/>
      <c r="O1367" s="61"/>
      <c r="P1367" s="69" t="str">
        <f t="shared" si="107"/>
        <v>Piutang Usaha</v>
      </c>
      <c r="Q1367" s="61"/>
    </row>
    <row r="1368" spans="1:17" hidden="1" x14ac:dyDescent="0.25">
      <c r="A1368" s="60" t="str">
        <f t="shared" si="105"/>
        <v>431112</v>
      </c>
      <c r="B1368" s="60">
        <f>COUNTIF($J$7:J1368,J1368)</f>
        <v>431</v>
      </c>
      <c r="C1368" s="60" t="str">
        <f t="shared" si="106"/>
        <v>22112,3</v>
      </c>
      <c r="D1368" s="60">
        <f>COUNTIF($K$7:K1368,K1368)</f>
        <v>22</v>
      </c>
      <c r="E1368" s="61"/>
      <c r="F1368" s="227">
        <v>44617</v>
      </c>
      <c r="G1368" s="72">
        <f t="shared" si="108"/>
        <v>44647</v>
      </c>
      <c r="H1368" s="228" t="s">
        <v>920</v>
      </c>
      <c r="I1368" s="228" t="s">
        <v>48</v>
      </c>
      <c r="J1368" s="64">
        <v>112</v>
      </c>
      <c r="K1368" s="80">
        <v>112.3</v>
      </c>
      <c r="L1368" s="224">
        <f t="shared" si="104"/>
        <v>4125000</v>
      </c>
      <c r="M1368" s="223"/>
      <c r="N1368" s="223"/>
      <c r="O1368" s="61"/>
      <c r="P1368" s="69" t="str">
        <f t="shared" si="107"/>
        <v>Piutang Usaha</v>
      </c>
      <c r="Q1368" s="61"/>
    </row>
    <row r="1369" spans="1:17" hidden="1" x14ac:dyDescent="0.25">
      <c r="A1369" s="60" t="str">
        <f t="shared" si="105"/>
        <v>432112</v>
      </c>
      <c r="B1369" s="60">
        <f>COUNTIF($J$7:J1369,J1369)</f>
        <v>432</v>
      </c>
      <c r="C1369" s="60" t="str">
        <f t="shared" si="106"/>
        <v>23112,3</v>
      </c>
      <c r="D1369" s="60">
        <f>COUNTIF($K$7:K1369,K1369)</f>
        <v>23</v>
      </c>
      <c r="E1369" s="61"/>
      <c r="F1369" s="227">
        <v>44617</v>
      </c>
      <c r="G1369" s="72">
        <f t="shared" si="108"/>
        <v>44647</v>
      </c>
      <c r="H1369" s="228" t="s">
        <v>920</v>
      </c>
      <c r="I1369" s="228" t="s">
        <v>48</v>
      </c>
      <c r="J1369" s="64">
        <v>112</v>
      </c>
      <c r="K1369" s="80">
        <v>112.3</v>
      </c>
      <c r="L1369" s="224">
        <f t="shared" si="104"/>
        <v>6187500</v>
      </c>
      <c r="M1369" s="223"/>
      <c r="N1369" s="223"/>
      <c r="O1369" s="61"/>
      <c r="P1369" s="69" t="str">
        <f t="shared" si="107"/>
        <v>Piutang Usaha</v>
      </c>
      <c r="Q1369" s="61"/>
    </row>
    <row r="1370" spans="1:17" hidden="1" x14ac:dyDescent="0.25">
      <c r="A1370" s="60" t="str">
        <f t="shared" si="105"/>
        <v>433112</v>
      </c>
      <c r="B1370" s="60">
        <f>COUNTIF($J$7:J1370,J1370)</f>
        <v>433</v>
      </c>
      <c r="C1370" s="60" t="str">
        <f t="shared" si="106"/>
        <v>3112,67</v>
      </c>
      <c r="D1370" s="60">
        <f>COUNTIF($K$7:K1370,K1370)</f>
        <v>3</v>
      </c>
      <c r="E1370" s="61"/>
      <c r="F1370" s="227">
        <v>44607</v>
      </c>
      <c r="G1370" s="72">
        <f>F1370+30</f>
        <v>44637</v>
      </c>
      <c r="H1370" s="228" t="s">
        <v>921</v>
      </c>
      <c r="I1370" s="228" t="s">
        <v>124</v>
      </c>
      <c r="J1370" s="64">
        <v>112</v>
      </c>
      <c r="K1370" s="80">
        <v>112.67</v>
      </c>
      <c r="L1370" s="224">
        <f t="shared" si="104"/>
        <v>9504000</v>
      </c>
      <c r="M1370" s="223"/>
      <c r="N1370" s="223"/>
      <c r="O1370" s="61"/>
      <c r="P1370" s="69" t="str">
        <f t="shared" si="107"/>
        <v>Piutang Usaha</v>
      </c>
      <c r="Q1370" s="61"/>
    </row>
    <row r="1371" spans="1:17" hidden="1" x14ac:dyDescent="0.25">
      <c r="A1371" s="60" t="str">
        <f t="shared" si="105"/>
        <v>434112</v>
      </c>
      <c r="B1371" s="60">
        <f>COUNTIF($J$7:J1371,J1371)</f>
        <v>434</v>
      </c>
      <c r="C1371" s="60" t="str">
        <f t="shared" si="106"/>
        <v>3112,64</v>
      </c>
      <c r="D1371" s="60">
        <f>COUNTIF($K$7:K1371,K1371)</f>
        <v>3</v>
      </c>
      <c r="E1371" s="61"/>
      <c r="F1371" s="227">
        <v>44595</v>
      </c>
      <c r="G1371" s="229">
        <f>F1371+30</f>
        <v>44625</v>
      </c>
      <c r="H1371" s="228" t="s">
        <v>922</v>
      </c>
      <c r="I1371" s="228" t="s">
        <v>28</v>
      </c>
      <c r="J1371" s="64">
        <v>112</v>
      </c>
      <c r="K1371" s="80">
        <v>112.64</v>
      </c>
      <c r="L1371" s="224">
        <f t="shared" si="104"/>
        <v>1320000</v>
      </c>
      <c r="M1371" s="223"/>
      <c r="N1371" s="223"/>
      <c r="O1371" s="61"/>
      <c r="P1371" s="69" t="str">
        <f t="shared" si="107"/>
        <v>Piutang Usaha</v>
      </c>
      <c r="Q1371" s="61"/>
    </row>
    <row r="1372" spans="1:17" hidden="1" x14ac:dyDescent="0.25">
      <c r="A1372" s="60" t="str">
        <f t="shared" si="105"/>
        <v>435112</v>
      </c>
      <c r="B1372" s="60">
        <f>COUNTIF($J$7:J1372,J1372)</f>
        <v>435</v>
      </c>
      <c r="C1372" s="60" t="str">
        <f t="shared" si="106"/>
        <v>4112,64</v>
      </c>
      <c r="D1372" s="60">
        <f>COUNTIF($K$7:K1372,K1372)</f>
        <v>4</v>
      </c>
      <c r="E1372" s="61"/>
      <c r="F1372" s="227">
        <v>44595</v>
      </c>
      <c r="G1372" s="229">
        <f t="shared" ref="G1372:G1373" si="109">F1372+30</f>
        <v>44625</v>
      </c>
      <c r="H1372" s="228" t="s">
        <v>922</v>
      </c>
      <c r="I1372" s="228" t="s">
        <v>28</v>
      </c>
      <c r="J1372" s="64">
        <v>112</v>
      </c>
      <c r="K1372" s="80">
        <v>112.64</v>
      </c>
      <c r="L1372" s="224">
        <f t="shared" si="104"/>
        <v>5280000</v>
      </c>
      <c r="M1372" s="223"/>
      <c r="N1372" s="223"/>
      <c r="O1372" s="61"/>
      <c r="P1372" s="69" t="str">
        <f t="shared" si="107"/>
        <v>Piutang Usaha</v>
      </c>
      <c r="Q1372" s="61"/>
    </row>
    <row r="1373" spans="1:17" hidden="1" x14ac:dyDescent="0.25">
      <c r="A1373" s="60" t="str">
        <f t="shared" si="105"/>
        <v>436112</v>
      </c>
      <c r="B1373" s="60">
        <f>COUNTIF($J$7:J1373,J1373)</f>
        <v>436</v>
      </c>
      <c r="C1373" s="60" t="str">
        <f t="shared" si="106"/>
        <v>5112,64</v>
      </c>
      <c r="D1373" s="60">
        <f>COUNTIF($K$7:K1373,K1373)</f>
        <v>5</v>
      </c>
      <c r="E1373" s="61"/>
      <c r="F1373" s="227">
        <v>44595</v>
      </c>
      <c r="G1373" s="229">
        <f t="shared" si="109"/>
        <v>44625</v>
      </c>
      <c r="H1373" s="228" t="s">
        <v>922</v>
      </c>
      <c r="I1373" s="228" t="s">
        <v>28</v>
      </c>
      <c r="J1373" s="64">
        <v>112</v>
      </c>
      <c r="K1373" s="80">
        <v>112.64</v>
      </c>
      <c r="L1373" s="224">
        <f t="shared" si="104"/>
        <v>1320000</v>
      </c>
      <c r="M1373" s="223"/>
      <c r="N1373" s="223"/>
      <c r="O1373" s="61"/>
      <c r="P1373" s="69" t="str">
        <f t="shared" si="107"/>
        <v>Piutang Usaha</v>
      </c>
      <c r="Q1373" s="61"/>
    </row>
    <row r="1374" spans="1:17" hidden="1" x14ac:dyDescent="0.25">
      <c r="A1374" s="60" t="str">
        <f t="shared" si="105"/>
        <v>120211,01</v>
      </c>
      <c r="B1374" s="60">
        <f>COUNTIF($J$7:J1374,J1374)</f>
        <v>120</v>
      </c>
      <c r="C1374" s="60" t="str">
        <f t="shared" si="106"/>
        <v>0</v>
      </c>
      <c r="D1374" s="60">
        <f>COUNTIF($K$7:K1374,K1374)</f>
        <v>0</v>
      </c>
      <c r="E1374" s="61"/>
      <c r="F1374" s="227">
        <v>44599</v>
      </c>
      <c r="G1374" s="228"/>
      <c r="H1374" s="228" t="s">
        <v>818</v>
      </c>
      <c r="I1374" s="228" t="s">
        <v>99</v>
      </c>
      <c r="J1374" s="67">
        <v>211.01</v>
      </c>
      <c r="K1374" s="65"/>
      <c r="L1374" s="224"/>
      <c r="M1374" s="223">
        <v>387500</v>
      </c>
      <c r="N1374" s="223"/>
      <c r="O1374" s="61"/>
      <c r="P1374" s="69" t="str">
        <f t="shared" si="107"/>
        <v>Hutang Pajak PPN</v>
      </c>
      <c r="Q1374" s="61"/>
    </row>
    <row r="1375" spans="1:17" hidden="1" x14ac:dyDescent="0.25">
      <c r="A1375" s="60" t="str">
        <f t="shared" si="105"/>
        <v>121211,01</v>
      </c>
      <c r="B1375" s="60">
        <f>COUNTIF($J$7:J1375,J1375)</f>
        <v>121</v>
      </c>
      <c r="C1375" s="60" t="str">
        <f t="shared" si="106"/>
        <v>0</v>
      </c>
      <c r="D1375" s="60">
        <f>COUNTIF($K$7:K1375,K1375)</f>
        <v>0</v>
      </c>
      <c r="E1375" s="61"/>
      <c r="F1375" s="227">
        <v>44613</v>
      </c>
      <c r="G1375" s="228"/>
      <c r="H1375" s="228" t="s">
        <v>819</v>
      </c>
      <c r="I1375" s="228" t="s">
        <v>99</v>
      </c>
      <c r="J1375" s="67">
        <v>211.01</v>
      </c>
      <c r="K1375" s="65"/>
      <c r="L1375" s="224"/>
      <c r="M1375" s="223">
        <v>387500</v>
      </c>
      <c r="N1375" s="223"/>
      <c r="O1375" s="61"/>
      <c r="P1375" s="69" t="str">
        <f t="shared" si="107"/>
        <v>Hutang Pajak PPN</v>
      </c>
      <c r="Q1375" s="61"/>
    </row>
    <row r="1376" spans="1:17" hidden="1" x14ac:dyDescent="0.25">
      <c r="A1376" s="60" t="str">
        <f t="shared" si="105"/>
        <v>122211,01</v>
      </c>
      <c r="B1376" s="60">
        <f>COUNTIF($J$7:J1376,J1376)</f>
        <v>122</v>
      </c>
      <c r="C1376" s="60" t="str">
        <f t="shared" si="106"/>
        <v>0</v>
      </c>
      <c r="D1376" s="60">
        <f>COUNTIF($K$7:K1376,K1376)</f>
        <v>0</v>
      </c>
      <c r="E1376" s="61"/>
      <c r="F1376" s="227">
        <v>44616</v>
      </c>
      <c r="G1376" s="228"/>
      <c r="H1376" s="228" t="s">
        <v>820</v>
      </c>
      <c r="I1376" s="228" t="s">
        <v>99</v>
      </c>
      <c r="J1376" s="67">
        <v>211.01</v>
      </c>
      <c r="K1376" s="65"/>
      <c r="L1376" s="224"/>
      <c r="M1376" s="223">
        <v>387500</v>
      </c>
      <c r="N1376" s="223"/>
      <c r="O1376" s="61"/>
      <c r="P1376" s="69" t="str">
        <f t="shared" si="107"/>
        <v>Hutang Pajak PPN</v>
      </c>
      <c r="Q1376" s="61"/>
    </row>
    <row r="1377" spans="1:17" hidden="1" x14ac:dyDescent="0.25">
      <c r="A1377" s="60" t="str">
        <f t="shared" si="105"/>
        <v>123211,01</v>
      </c>
      <c r="B1377" s="60">
        <f>COUNTIF($J$7:J1377,J1377)</f>
        <v>123</v>
      </c>
      <c r="C1377" s="60" t="str">
        <f t="shared" si="106"/>
        <v>0</v>
      </c>
      <c r="D1377" s="60">
        <f>COUNTIF($K$7:K1377,K1377)</f>
        <v>0</v>
      </c>
      <c r="E1377" s="61"/>
      <c r="F1377" s="227">
        <v>44616</v>
      </c>
      <c r="G1377" s="228"/>
      <c r="H1377" s="228" t="s">
        <v>821</v>
      </c>
      <c r="I1377" s="228" t="s">
        <v>822</v>
      </c>
      <c r="J1377" s="67">
        <v>211.01</v>
      </c>
      <c r="K1377" s="65"/>
      <c r="L1377" s="224"/>
      <c r="M1377" s="223">
        <v>18181</v>
      </c>
      <c r="N1377" s="223"/>
      <c r="O1377" s="61"/>
      <c r="P1377" s="69" t="str">
        <f t="shared" si="107"/>
        <v>Hutang Pajak PPN</v>
      </c>
      <c r="Q1377" s="61"/>
    </row>
    <row r="1378" spans="1:17" hidden="1" x14ac:dyDescent="0.25">
      <c r="A1378" s="60" t="str">
        <f t="shared" si="105"/>
        <v>124211,01</v>
      </c>
      <c r="B1378" s="60">
        <f>COUNTIF($J$7:J1378,J1378)</f>
        <v>124</v>
      </c>
      <c r="C1378" s="60" t="str">
        <f t="shared" si="106"/>
        <v>0</v>
      </c>
      <c r="D1378" s="60">
        <f>COUNTIF($K$7:K1378,K1378)</f>
        <v>0</v>
      </c>
      <c r="E1378" s="61"/>
      <c r="F1378" s="227">
        <v>44616</v>
      </c>
      <c r="G1378" s="228"/>
      <c r="H1378" s="228" t="s">
        <v>823</v>
      </c>
      <c r="I1378" s="228" t="s">
        <v>824</v>
      </c>
      <c r="J1378" s="67">
        <v>211.01</v>
      </c>
      <c r="K1378" s="65"/>
      <c r="L1378" s="224"/>
      <c r="M1378" s="223">
        <v>95000</v>
      </c>
      <c r="N1378" s="223"/>
      <c r="O1378" s="61"/>
      <c r="P1378" s="69" t="str">
        <f t="shared" si="107"/>
        <v>Hutang Pajak PPN</v>
      </c>
      <c r="Q1378" s="61"/>
    </row>
    <row r="1379" spans="1:17" hidden="1" x14ac:dyDescent="0.25">
      <c r="A1379" s="60" t="str">
        <f t="shared" si="105"/>
        <v>125211,01</v>
      </c>
      <c r="B1379" s="60">
        <f>COUNTIF($J$7:J1379,J1379)</f>
        <v>125</v>
      </c>
      <c r="C1379" s="60" t="str">
        <f t="shared" si="106"/>
        <v>0</v>
      </c>
      <c r="D1379" s="60">
        <f>COUNTIF($K$7:K1379,K1379)</f>
        <v>0</v>
      </c>
      <c r="E1379" s="61"/>
      <c r="F1379" s="227">
        <v>44594</v>
      </c>
      <c r="G1379" s="228"/>
      <c r="H1379" s="228" t="s">
        <v>825</v>
      </c>
      <c r="I1379" s="228" t="s">
        <v>15</v>
      </c>
      <c r="J1379" s="67">
        <v>211.01</v>
      </c>
      <c r="K1379" s="65"/>
      <c r="L1379" s="224"/>
      <c r="M1379" s="223">
        <v>1727272.7000000002</v>
      </c>
      <c r="N1379" s="223"/>
      <c r="O1379" s="61"/>
      <c r="P1379" s="69" t="str">
        <f t="shared" si="107"/>
        <v>Hutang Pajak PPN</v>
      </c>
      <c r="Q1379" s="61"/>
    </row>
    <row r="1380" spans="1:17" hidden="1" x14ac:dyDescent="0.25">
      <c r="A1380" s="60" t="str">
        <f t="shared" si="105"/>
        <v>126211,01</v>
      </c>
      <c r="B1380" s="60">
        <f>COUNTIF($J$7:J1380,J1380)</f>
        <v>126</v>
      </c>
      <c r="C1380" s="60" t="str">
        <f t="shared" si="106"/>
        <v>0</v>
      </c>
      <c r="D1380" s="60">
        <f>COUNTIF($K$7:K1380,K1380)</f>
        <v>0</v>
      </c>
      <c r="E1380" s="61"/>
      <c r="F1380" s="227">
        <v>44599</v>
      </c>
      <c r="G1380" s="228"/>
      <c r="H1380" s="228" t="s">
        <v>826</v>
      </c>
      <c r="I1380" s="228" t="s">
        <v>44</v>
      </c>
      <c r="J1380" s="67">
        <v>211.01</v>
      </c>
      <c r="K1380" s="65"/>
      <c r="L1380" s="224"/>
      <c r="M1380" s="223">
        <v>698181.81818399997</v>
      </c>
      <c r="N1380" s="223"/>
      <c r="O1380" s="61"/>
      <c r="P1380" s="69" t="str">
        <f t="shared" si="107"/>
        <v>Hutang Pajak PPN</v>
      </c>
      <c r="Q1380" s="61"/>
    </row>
    <row r="1381" spans="1:17" hidden="1" x14ac:dyDescent="0.25">
      <c r="A1381" s="60" t="str">
        <f t="shared" si="105"/>
        <v>127211,01</v>
      </c>
      <c r="B1381" s="60">
        <f>COUNTIF($J$7:J1381,J1381)</f>
        <v>127</v>
      </c>
      <c r="C1381" s="60" t="str">
        <f t="shared" si="106"/>
        <v>0</v>
      </c>
      <c r="D1381" s="60">
        <f>COUNTIF($K$7:K1381,K1381)</f>
        <v>0</v>
      </c>
      <c r="E1381" s="61"/>
      <c r="F1381" s="227">
        <v>44599</v>
      </c>
      <c r="G1381" s="228"/>
      <c r="H1381" s="228" t="s">
        <v>826</v>
      </c>
      <c r="I1381" s="228" t="s">
        <v>44</v>
      </c>
      <c r="J1381" s="67">
        <v>211.01</v>
      </c>
      <c r="K1381" s="65"/>
      <c r="L1381" s="224"/>
      <c r="M1381" s="231">
        <v>174545.45454599999</v>
      </c>
      <c r="N1381" s="231"/>
      <c r="O1381" s="61"/>
      <c r="P1381" s="69" t="str">
        <f t="shared" si="107"/>
        <v>Hutang Pajak PPN</v>
      </c>
      <c r="Q1381" s="61"/>
    </row>
    <row r="1382" spans="1:17" hidden="1" x14ac:dyDescent="0.25">
      <c r="A1382" s="60" t="str">
        <f t="shared" si="105"/>
        <v>128211,01</v>
      </c>
      <c r="B1382" s="60">
        <f>COUNTIF($J$7:J1382,J1382)</f>
        <v>128</v>
      </c>
      <c r="C1382" s="60" t="str">
        <f t="shared" si="106"/>
        <v>0</v>
      </c>
      <c r="D1382" s="60">
        <f>COUNTIF($K$7:K1382,K1382)</f>
        <v>0</v>
      </c>
      <c r="E1382" s="61"/>
      <c r="F1382" s="227">
        <v>44610</v>
      </c>
      <c r="G1382" s="228"/>
      <c r="H1382" s="228" t="s">
        <v>827</v>
      </c>
      <c r="I1382" s="228" t="s">
        <v>44</v>
      </c>
      <c r="J1382" s="67">
        <v>211.01</v>
      </c>
      <c r="K1382" s="65"/>
      <c r="L1382" s="224"/>
      <c r="M1382" s="231">
        <v>872727.27272999997</v>
      </c>
      <c r="N1382" s="231"/>
      <c r="O1382" s="61"/>
      <c r="P1382" s="69" t="str">
        <f t="shared" si="107"/>
        <v>Hutang Pajak PPN</v>
      </c>
      <c r="Q1382" s="61"/>
    </row>
    <row r="1383" spans="1:17" hidden="1" x14ac:dyDescent="0.25">
      <c r="A1383" s="60" t="str">
        <f t="shared" si="105"/>
        <v>129211,01</v>
      </c>
      <c r="B1383" s="60">
        <f>COUNTIF($J$7:J1383,J1383)</f>
        <v>129</v>
      </c>
      <c r="C1383" s="60" t="str">
        <f t="shared" si="106"/>
        <v>0</v>
      </c>
      <c r="D1383" s="60">
        <f>COUNTIF($K$7:K1383,K1383)</f>
        <v>0</v>
      </c>
      <c r="E1383" s="61"/>
      <c r="F1383" s="227">
        <v>44613</v>
      </c>
      <c r="G1383" s="228"/>
      <c r="H1383" s="228" t="s">
        <v>828</v>
      </c>
      <c r="I1383" s="228" t="s">
        <v>829</v>
      </c>
      <c r="J1383" s="67">
        <v>211.01</v>
      </c>
      <c r="K1383" s="65"/>
      <c r="L1383" s="224"/>
      <c r="M1383" s="231">
        <v>136363.63638000001</v>
      </c>
      <c r="N1383" s="231"/>
      <c r="O1383" s="61"/>
      <c r="P1383" s="69" t="str">
        <f t="shared" si="107"/>
        <v>Hutang Pajak PPN</v>
      </c>
      <c r="Q1383" s="61"/>
    </row>
    <row r="1384" spans="1:17" hidden="1" x14ac:dyDescent="0.25">
      <c r="A1384" s="60" t="str">
        <f t="shared" si="105"/>
        <v>130211,01</v>
      </c>
      <c r="B1384" s="60">
        <f>COUNTIF($J$7:J1384,J1384)</f>
        <v>130</v>
      </c>
      <c r="C1384" s="60" t="str">
        <f t="shared" si="106"/>
        <v>0</v>
      </c>
      <c r="D1384" s="60">
        <f>COUNTIF($K$7:K1384,K1384)</f>
        <v>0</v>
      </c>
      <c r="E1384" s="61"/>
      <c r="F1384" s="227">
        <v>44613</v>
      </c>
      <c r="G1384" s="228"/>
      <c r="H1384" s="228" t="s">
        <v>830</v>
      </c>
      <c r="I1384" s="228" t="s">
        <v>831</v>
      </c>
      <c r="J1384" s="67">
        <v>211.01</v>
      </c>
      <c r="K1384" s="65"/>
      <c r="L1384" s="224"/>
      <c r="M1384" s="231">
        <v>110000</v>
      </c>
      <c r="N1384" s="231"/>
      <c r="O1384" s="61"/>
      <c r="P1384" s="69" t="str">
        <f t="shared" si="107"/>
        <v>Hutang Pajak PPN</v>
      </c>
      <c r="Q1384" s="61"/>
    </row>
    <row r="1385" spans="1:17" hidden="1" x14ac:dyDescent="0.25">
      <c r="A1385" s="60" t="str">
        <f t="shared" si="105"/>
        <v>131211,01</v>
      </c>
      <c r="B1385" s="60">
        <f>COUNTIF($J$7:J1385,J1385)</f>
        <v>131</v>
      </c>
      <c r="C1385" s="60" t="str">
        <f t="shared" si="106"/>
        <v>0</v>
      </c>
      <c r="D1385" s="60">
        <f>COUNTIF($K$7:K1385,K1385)</f>
        <v>0</v>
      </c>
      <c r="E1385" s="61"/>
      <c r="F1385" s="227">
        <v>44617</v>
      </c>
      <c r="G1385" s="228"/>
      <c r="H1385" s="228" t="s">
        <v>832</v>
      </c>
      <c r="I1385" s="228" t="s">
        <v>58</v>
      </c>
      <c r="J1385" s="67">
        <v>211.01</v>
      </c>
      <c r="K1385" s="65"/>
      <c r="L1385" s="224"/>
      <c r="M1385" s="231">
        <v>87500</v>
      </c>
      <c r="N1385" s="231"/>
      <c r="O1385" s="61"/>
      <c r="P1385" s="69" t="str">
        <f t="shared" si="107"/>
        <v>Hutang Pajak PPN</v>
      </c>
      <c r="Q1385" s="61"/>
    </row>
    <row r="1386" spans="1:17" hidden="1" x14ac:dyDescent="0.25">
      <c r="A1386" s="60" t="str">
        <f t="shared" si="105"/>
        <v>132211,01</v>
      </c>
      <c r="B1386" s="60">
        <f>COUNTIF($J$7:J1386,J1386)</f>
        <v>132</v>
      </c>
      <c r="C1386" s="60" t="str">
        <f t="shared" si="106"/>
        <v>0</v>
      </c>
      <c r="D1386" s="60">
        <f>COUNTIF($K$7:K1386,K1386)</f>
        <v>0</v>
      </c>
      <c r="E1386" s="61"/>
      <c r="F1386" s="227">
        <v>44617</v>
      </c>
      <c r="G1386" s="228"/>
      <c r="H1386" s="228" t="s">
        <v>832</v>
      </c>
      <c r="I1386" s="228" t="s">
        <v>58</v>
      </c>
      <c r="J1386" s="67">
        <v>211.01</v>
      </c>
      <c r="K1386" s="65"/>
      <c r="L1386" s="224"/>
      <c r="M1386" s="231">
        <v>87500</v>
      </c>
      <c r="N1386" s="231"/>
      <c r="O1386" s="61"/>
      <c r="P1386" s="69" t="str">
        <f t="shared" si="107"/>
        <v>Hutang Pajak PPN</v>
      </c>
      <c r="Q1386" s="61"/>
    </row>
    <row r="1387" spans="1:17" hidden="1" x14ac:dyDescent="0.25">
      <c r="A1387" s="60" t="str">
        <f t="shared" si="105"/>
        <v>133211,01</v>
      </c>
      <c r="B1387" s="60">
        <f>COUNTIF($J$7:J1387,J1387)</f>
        <v>133</v>
      </c>
      <c r="C1387" s="60" t="str">
        <f t="shared" si="106"/>
        <v>0</v>
      </c>
      <c r="D1387" s="60">
        <f>COUNTIF($K$7:K1387,K1387)</f>
        <v>0</v>
      </c>
      <c r="E1387" s="61"/>
      <c r="F1387" s="227">
        <v>44617</v>
      </c>
      <c r="G1387" s="228"/>
      <c r="H1387" s="228" t="s">
        <v>833</v>
      </c>
      <c r="I1387" s="228" t="s">
        <v>834</v>
      </c>
      <c r="J1387" s="67">
        <v>211.01</v>
      </c>
      <c r="K1387" s="65"/>
      <c r="L1387" s="224"/>
      <c r="M1387" s="231">
        <v>6240000</v>
      </c>
      <c r="N1387" s="231"/>
      <c r="O1387" s="61"/>
      <c r="P1387" s="69" t="str">
        <f t="shared" si="107"/>
        <v>Hutang Pajak PPN</v>
      </c>
      <c r="Q1387" s="61"/>
    </row>
    <row r="1388" spans="1:17" hidden="1" x14ac:dyDescent="0.25">
      <c r="A1388" s="60" t="str">
        <f t="shared" si="105"/>
        <v>134211,01</v>
      </c>
      <c r="B1388" s="60">
        <f>COUNTIF($J$7:J1388,J1388)</f>
        <v>134</v>
      </c>
      <c r="C1388" s="60" t="str">
        <f t="shared" si="106"/>
        <v>0</v>
      </c>
      <c r="D1388" s="60">
        <f>COUNTIF($K$7:K1388,K1388)</f>
        <v>0</v>
      </c>
      <c r="E1388" s="61"/>
      <c r="F1388" s="227">
        <v>44617</v>
      </c>
      <c r="G1388" s="228"/>
      <c r="H1388" s="228" t="s">
        <v>833</v>
      </c>
      <c r="I1388" s="228" t="s">
        <v>834</v>
      </c>
      <c r="J1388" s="67">
        <v>211.01</v>
      </c>
      <c r="K1388" s="65"/>
      <c r="L1388" s="224"/>
      <c r="M1388" s="231">
        <v>7800000</v>
      </c>
      <c r="N1388" s="231"/>
      <c r="O1388" s="61"/>
      <c r="P1388" s="69" t="str">
        <f t="shared" si="107"/>
        <v>Hutang Pajak PPN</v>
      </c>
      <c r="Q1388" s="61"/>
    </row>
    <row r="1389" spans="1:17" hidden="1" x14ac:dyDescent="0.25">
      <c r="A1389" s="60" t="str">
        <f t="shared" si="105"/>
        <v>135211,01</v>
      </c>
      <c r="B1389" s="60">
        <f>COUNTIF($J$7:J1389,J1389)</f>
        <v>135</v>
      </c>
      <c r="C1389" s="60" t="str">
        <f t="shared" si="106"/>
        <v>0</v>
      </c>
      <c r="D1389" s="60">
        <f>COUNTIF($K$7:K1389,K1389)</f>
        <v>0</v>
      </c>
      <c r="E1389" s="61"/>
      <c r="F1389" s="227">
        <v>44617</v>
      </c>
      <c r="G1389" s="228"/>
      <c r="H1389" s="228" t="s">
        <v>833</v>
      </c>
      <c r="I1389" s="228" t="s">
        <v>834</v>
      </c>
      <c r="J1389" s="67">
        <v>211.01</v>
      </c>
      <c r="K1389" s="65"/>
      <c r="L1389" s="224"/>
      <c r="M1389" s="231">
        <v>3120000</v>
      </c>
      <c r="N1389" s="231"/>
      <c r="O1389" s="61"/>
      <c r="P1389" s="69" t="str">
        <f t="shared" si="107"/>
        <v>Hutang Pajak PPN</v>
      </c>
      <c r="Q1389" s="61"/>
    </row>
    <row r="1390" spans="1:17" hidden="1" x14ac:dyDescent="0.25">
      <c r="A1390" s="60" t="str">
        <f t="shared" si="105"/>
        <v>136211,01</v>
      </c>
      <c r="B1390" s="60">
        <f>COUNTIF($J$7:J1390,J1390)</f>
        <v>136</v>
      </c>
      <c r="C1390" s="60" t="str">
        <f t="shared" si="106"/>
        <v>0</v>
      </c>
      <c r="D1390" s="60">
        <f>COUNTIF($K$7:K1390,K1390)</f>
        <v>0</v>
      </c>
      <c r="E1390" s="61"/>
      <c r="F1390" s="227">
        <v>44599</v>
      </c>
      <c r="G1390" s="228"/>
      <c r="H1390" s="228" t="s">
        <v>835</v>
      </c>
      <c r="I1390" s="228" t="s">
        <v>834</v>
      </c>
      <c r="J1390" s="67">
        <v>211.01</v>
      </c>
      <c r="K1390" s="65"/>
      <c r="L1390" s="224"/>
      <c r="M1390" s="231">
        <v>1872000</v>
      </c>
      <c r="N1390" s="231"/>
      <c r="O1390" s="61"/>
      <c r="P1390" s="69" t="str">
        <f t="shared" si="107"/>
        <v>Hutang Pajak PPN</v>
      </c>
      <c r="Q1390" s="61"/>
    </row>
    <row r="1391" spans="1:17" hidden="1" x14ac:dyDescent="0.25">
      <c r="A1391" s="60" t="str">
        <f t="shared" si="105"/>
        <v>137211,01</v>
      </c>
      <c r="B1391" s="60">
        <f>COUNTIF($J$7:J1391,J1391)</f>
        <v>137</v>
      </c>
      <c r="C1391" s="60" t="str">
        <f t="shared" si="106"/>
        <v>0</v>
      </c>
      <c r="D1391" s="60">
        <f>COUNTIF($K$7:K1391,K1391)</f>
        <v>0</v>
      </c>
      <c r="E1391" s="61"/>
      <c r="F1391" s="227">
        <v>44599</v>
      </c>
      <c r="G1391" s="228"/>
      <c r="H1391" s="228" t="s">
        <v>835</v>
      </c>
      <c r="I1391" s="228" t="s">
        <v>834</v>
      </c>
      <c r="J1391" s="67">
        <v>211.01</v>
      </c>
      <c r="K1391" s="65"/>
      <c r="L1391" s="224"/>
      <c r="M1391" s="231">
        <v>1248000</v>
      </c>
      <c r="N1391" s="231"/>
      <c r="O1391" s="61"/>
      <c r="P1391" s="69" t="str">
        <f t="shared" si="107"/>
        <v>Hutang Pajak PPN</v>
      </c>
      <c r="Q1391" s="61"/>
    </row>
    <row r="1392" spans="1:17" hidden="1" x14ac:dyDescent="0.25">
      <c r="A1392" s="60" t="str">
        <f t="shared" si="105"/>
        <v>138211,01</v>
      </c>
      <c r="B1392" s="60">
        <f>COUNTIF($J$7:J1392,J1392)</f>
        <v>138</v>
      </c>
      <c r="C1392" s="60" t="str">
        <f t="shared" si="106"/>
        <v>0</v>
      </c>
      <c r="D1392" s="60">
        <f>COUNTIF($K$7:K1392,K1392)</f>
        <v>0</v>
      </c>
      <c r="E1392" s="61"/>
      <c r="F1392" s="227">
        <v>44599</v>
      </c>
      <c r="G1392" s="228"/>
      <c r="H1392" s="228" t="s">
        <v>835</v>
      </c>
      <c r="I1392" s="228" t="s">
        <v>834</v>
      </c>
      <c r="J1392" s="67">
        <v>211.01</v>
      </c>
      <c r="K1392" s="65"/>
      <c r="L1392" s="224"/>
      <c r="M1392" s="231">
        <v>7800000</v>
      </c>
      <c r="N1392" s="231"/>
      <c r="O1392" s="61"/>
      <c r="P1392" s="69" t="str">
        <f t="shared" si="107"/>
        <v>Hutang Pajak PPN</v>
      </c>
      <c r="Q1392" s="61"/>
    </row>
    <row r="1393" spans="1:17" hidden="1" x14ac:dyDescent="0.25">
      <c r="A1393" s="60" t="str">
        <f t="shared" si="105"/>
        <v>139211,01</v>
      </c>
      <c r="B1393" s="60">
        <f>COUNTIF($J$7:J1393,J1393)</f>
        <v>139</v>
      </c>
      <c r="C1393" s="60" t="str">
        <f t="shared" si="106"/>
        <v>0</v>
      </c>
      <c r="D1393" s="60">
        <f>COUNTIF($K$7:K1393,K1393)</f>
        <v>0</v>
      </c>
      <c r="E1393" s="61"/>
      <c r="F1393" s="227">
        <v>44594</v>
      </c>
      <c r="G1393" s="228"/>
      <c r="H1393" s="228" t="s">
        <v>836</v>
      </c>
      <c r="I1393" s="228" t="s">
        <v>18</v>
      </c>
      <c r="J1393" s="67">
        <v>211.01</v>
      </c>
      <c r="K1393" s="65"/>
      <c r="L1393" s="224"/>
      <c r="M1393" s="231">
        <v>1372500</v>
      </c>
      <c r="N1393" s="231"/>
      <c r="O1393" s="61"/>
      <c r="P1393" s="69" t="str">
        <f t="shared" si="107"/>
        <v>Hutang Pajak PPN</v>
      </c>
      <c r="Q1393" s="61"/>
    </row>
    <row r="1394" spans="1:17" hidden="1" x14ac:dyDescent="0.25">
      <c r="A1394" s="60" t="str">
        <f t="shared" si="105"/>
        <v>140211,01</v>
      </c>
      <c r="B1394" s="60">
        <f>COUNTIF($J$7:J1394,J1394)</f>
        <v>140</v>
      </c>
      <c r="C1394" s="60" t="str">
        <f t="shared" si="106"/>
        <v>0</v>
      </c>
      <c r="D1394" s="60">
        <f>COUNTIF($K$7:K1394,K1394)</f>
        <v>0</v>
      </c>
      <c r="E1394" s="61"/>
      <c r="F1394" s="227">
        <v>44594</v>
      </c>
      <c r="G1394" s="228"/>
      <c r="H1394" s="228" t="s">
        <v>837</v>
      </c>
      <c r="I1394" s="228" t="s">
        <v>18</v>
      </c>
      <c r="J1394" s="67">
        <v>211.01</v>
      </c>
      <c r="K1394" s="65"/>
      <c r="L1394" s="224"/>
      <c r="M1394" s="231">
        <v>177000</v>
      </c>
      <c r="N1394" s="231"/>
      <c r="O1394" s="61"/>
      <c r="P1394" s="69" t="str">
        <f t="shared" si="107"/>
        <v>Hutang Pajak PPN</v>
      </c>
      <c r="Q1394" s="61"/>
    </row>
    <row r="1395" spans="1:17" hidden="1" x14ac:dyDescent="0.25">
      <c r="A1395" s="60" t="str">
        <f t="shared" si="105"/>
        <v>141211,01</v>
      </c>
      <c r="B1395" s="60">
        <f>COUNTIF($J$7:J1395,J1395)</f>
        <v>141</v>
      </c>
      <c r="C1395" s="60" t="str">
        <f t="shared" si="106"/>
        <v>0</v>
      </c>
      <c r="D1395" s="60">
        <f>COUNTIF($K$7:K1395,K1395)</f>
        <v>0</v>
      </c>
      <c r="E1395" s="61"/>
      <c r="F1395" s="227">
        <v>44594</v>
      </c>
      <c r="G1395" s="228"/>
      <c r="H1395" s="228" t="s">
        <v>838</v>
      </c>
      <c r="I1395" s="228" t="s">
        <v>18</v>
      </c>
      <c r="J1395" s="67">
        <v>211.01</v>
      </c>
      <c r="K1395" s="65"/>
      <c r="L1395" s="224"/>
      <c r="M1395" s="231">
        <v>0</v>
      </c>
      <c r="N1395" s="231"/>
      <c r="O1395" s="61"/>
      <c r="P1395" s="69" t="str">
        <f t="shared" si="107"/>
        <v>Hutang Pajak PPN</v>
      </c>
      <c r="Q1395" s="61"/>
    </row>
    <row r="1396" spans="1:17" hidden="1" x14ac:dyDescent="0.25">
      <c r="A1396" s="60" t="str">
        <f t="shared" si="105"/>
        <v>142211,01</v>
      </c>
      <c r="B1396" s="60">
        <f>COUNTIF($J$7:J1396,J1396)</f>
        <v>142</v>
      </c>
      <c r="C1396" s="60" t="str">
        <f t="shared" si="106"/>
        <v>0</v>
      </c>
      <c r="D1396" s="60">
        <f>COUNTIF($K$7:K1396,K1396)</f>
        <v>0</v>
      </c>
      <c r="E1396" s="61"/>
      <c r="F1396" s="227">
        <v>44594</v>
      </c>
      <c r="G1396" s="228"/>
      <c r="H1396" s="228" t="s">
        <v>839</v>
      </c>
      <c r="I1396" s="228" t="s">
        <v>18</v>
      </c>
      <c r="J1396" s="67">
        <v>211.01</v>
      </c>
      <c r="K1396" s="65"/>
      <c r="L1396" s="224"/>
      <c r="M1396" s="231">
        <v>4100000</v>
      </c>
      <c r="N1396" s="231"/>
      <c r="O1396" s="61"/>
      <c r="P1396" s="69" t="str">
        <f t="shared" si="107"/>
        <v>Hutang Pajak PPN</v>
      </c>
      <c r="Q1396" s="61"/>
    </row>
    <row r="1397" spans="1:17" hidden="1" x14ac:dyDescent="0.25">
      <c r="A1397" s="60" t="str">
        <f t="shared" si="105"/>
        <v>143211,01</v>
      </c>
      <c r="B1397" s="60">
        <f>COUNTIF($J$7:J1397,J1397)</f>
        <v>143</v>
      </c>
      <c r="C1397" s="60" t="str">
        <f t="shared" si="106"/>
        <v>0</v>
      </c>
      <c r="D1397" s="60">
        <f>COUNTIF($K$7:K1397,K1397)</f>
        <v>0</v>
      </c>
      <c r="E1397" s="61"/>
      <c r="F1397" s="227">
        <v>44594</v>
      </c>
      <c r="G1397" s="228"/>
      <c r="H1397" s="228" t="s">
        <v>840</v>
      </c>
      <c r="I1397" s="228" t="s">
        <v>18</v>
      </c>
      <c r="J1397" s="67">
        <v>211.01</v>
      </c>
      <c r="K1397" s="65"/>
      <c r="L1397" s="224"/>
      <c r="M1397" s="231">
        <v>152250</v>
      </c>
      <c r="N1397" s="231"/>
      <c r="O1397" s="61"/>
      <c r="P1397" s="69" t="str">
        <f t="shared" si="107"/>
        <v>Hutang Pajak PPN</v>
      </c>
      <c r="Q1397" s="61"/>
    </row>
    <row r="1398" spans="1:17" hidden="1" x14ac:dyDescent="0.25">
      <c r="A1398" s="60" t="str">
        <f t="shared" si="105"/>
        <v>144211,01</v>
      </c>
      <c r="B1398" s="60">
        <f>COUNTIF($J$7:J1398,J1398)</f>
        <v>144</v>
      </c>
      <c r="C1398" s="60" t="str">
        <f t="shared" si="106"/>
        <v>0</v>
      </c>
      <c r="D1398" s="60">
        <f>COUNTIF($K$7:K1398,K1398)</f>
        <v>0</v>
      </c>
      <c r="E1398" s="61"/>
      <c r="F1398" s="227">
        <v>44594</v>
      </c>
      <c r="G1398" s="228"/>
      <c r="H1398" s="228" t="s">
        <v>840</v>
      </c>
      <c r="I1398" s="228" t="s">
        <v>18</v>
      </c>
      <c r="J1398" s="67">
        <v>211.01</v>
      </c>
      <c r="K1398" s="65"/>
      <c r="L1398" s="224"/>
      <c r="M1398" s="231">
        <v>456750</v>
      </c>
      <c r="N1398" s="231"/>
      <c r="O1398" s="61"/>
      <c r="P1398" s="69" t="str">
        <f t="shared" si="107"/>
        <v>Hutang Pajak PPN</v>
      </c>
      <c r="Q1398" s="61"/>
    </row>
    <row r="1399" spans="1:17" hidden="1" x14ac:dyDescent="0.25">
      <c r="A1399" s="60" t="str">
        <f t="shared" si="105"/>
        <v>145211,01</v>
      </c>
      <c r="B1399" s="60">
        <f>COUNTIF($J$7:J1399,J1399)</f>
        <v>145</v>
      </c>
      <c r="C1399" s="60" t="str">
        <f t="shared" si="106"/>
        <v>0</v>
      </c>
      <c r="D1399" s="60">
        <f>COUNTIF($K$7:K1399,K1399)</f>
        <v>0</v>
      </c>
      <c r="E1399" s="61"/>
      <c r="F1399" s="227">
        <v>44594</v>
      </c>
      <c r="G1399" s="228"/>
      <c r="H1399" s="228" t="s">
        <v>840</v>
      </c>
      <c r="I1399" s="228" t="s">
        <v>18</v>
      </c>
      <c r="J1399" s="67">
        <v>211.01</v>
      </c>
      <c r="K1399" s="65"/>
      <c r="L1399" s="224"/>
      <c r="M1399" s="231">
        <v>609000</v>
      </c>
      <c r="N1399" s="231"/>
      <c r="O1399" s="61"/>
      <c r="P1399" s="69" t="str">
        <f t="shared" si="107"/>
        <v>Hutang Pajak PPN</v>
      </c>
      <c r="Q1399" s="61"/>
    </row>
    <row r="1400" spans="1:17" hidden="1" x14ac:dyDescent="0.25">
      <c r="A1400" s="60" t="str">
        <f t="shared" si="105"/>
        <v>146211,01</v>
      </c>
      <c r="B1400" s="60">
        <f>COUNTIF($J$7:J1400,J1400)</f>
        <v>146</v>
      </c>
      <c r="C1400" s="60" t="str">
        <f t="shared" si="106"/>
        <v>0</v>
      </c>
      <c r="D1400" s="60">
        <f>COUNTIF($K$7:K1400,K1400)</f>
        <v>0</v>
      </c>
      <c r="E1400" s="61"/>
      <c r="F1400" s="227">
        <v>44594</v>
      </c>
      <c r="G1400" s="228"/>
      <c r="H1400" s="228" t="s">
        <v>840</v>
      </c>
      <c r="I1400" s="228" t="s">
        <v>18</v>
      </c>
      <c r="J1400" s="67">
        <v>211.01</v>
      </c>
      <c r="K1400" s="65"/>
      <c r="L1400" s="224"/>
      <c r="M1400" s="231">
        <v>152250</v>
      </c>
      <c r="N1400" s="231"/>
      <c r="O1400" s="61"/>
      <c r="P1400" s="69" t="str">
        <f t="shared" si="107"/>
        <v>Hutang Pajak PPN</v>
      </c>
      <c r="Q1400" s="61"/>
    </row>
    <row r="1401" spans="1:17" hidden="1" x14ac:dyDescent="0.25">
      <c r="A1401" s="60" t="str">
        <f t="shared" si="105"/>
        <v>147211,01</v>
      </c>
      <c r="B1401" s="60">
        <f>COUNTIF($J$7:J1401,J1401)</f>
        <v>147</v>
      </c>
      <c r="C1401" s="60" t="str">
        <f t="shared" si="106"/>
        <v>0</v>
      </c>
      <c r="D1401" s="60">
        <f>COUNTIF($K$7:K1401,K1401)</f>
        <v>0</v>
      </c>
      <c r="E1401" s="61"/>
      <c r="F1401" s="227">
        <v>44596</v>
      </c>
      <c r="G1401" s="228"/>
      <c r="H1401" s="228" t="s">
        <v>841</v>
      </c>
      <c r="I1401" s="228" t="s">
        <v>18</v>
      </c>
      <c r="J1401" s="67">
        <v>211.01</v>
      </c>
      <c r="K1401" s="65"/>
      <c r="L1401" s="224"/>
      <c r="M1401" s="231">
        <v>246000</v>
      </c>
      <c r="N1401" s="231"/>
      <c r="O1401" s="61"/>
      <c r="P1401" s="69" t="str">
        <f t="shared" si="107"/>
        <v>Hutang Pajak PPN</v>
      </c>
      <c r="Q1401" s="61"/>
    </row>
    <row r="1402" spans="1:17" hidden="1" x14ac:dyDescent="0.25">
      <c r="A1402" s="60" t="str">
        <f t="shared" si="105"/>
        <v>148211,01</v>
      </c>
      <c r="B1402" s="60">
        <f>COUNTIF($J$7:J1402,J1402)</f>
        <v>148</v>
      </c>
      <c r="C1402" s="60" t="str">
        <f t="shared" si="106"/>
        <v>0</v>
      </c>
      <c r="D1402" s="60">
        <f>COUNTIF($K$7:K1402,K1402)</f>
        <v>0</v>
      </c>
      <c r="E1402" s="61"/>
      <c r="F1402" s="227">
        <v>44596</v>
      </c>
      <c r="G1402" s="228"/>
      <c r="H1402" s="228" t="s">
        <v>841</v>
      </c>
      <c r="I1402" s="228" t="s">
        <v>18</v>
      </c>
      <c r="J1402" s="67">
        <v>211.01</v>
      </c>
      <c r="K1402" s="65"/>
      <c r="L1402" s="224"/>
      <c r="M1402" s="231">
        <v>410000</v>
      </c>
      <c r="N1402" s="231"/>
      <c r="O1402" s="61"/>
      <c r="P1402" s="69" t="str">
        <f t="shared" si="107"/>
        <v>Hutang Pajak PPN</v>
      </c>
      <c r="Q1402" s="61"/>
    </row>
    <row r="1403" spans="1:17" hidden="1" x14ac:dyDescent="0.25">
      <c r="A1403" s="60" t="str">
        <f t="shared" si="105"/>
        <v>149211,01</v>
      </c>
      <c r="B1403" s="60">
        <f>COUNTIF($J$7:J1403,J1403)</f>
        <v>149</v>
      </c>
      <c r="C1403" s="60" t="str">
        <f t="shared" si="106"/>
        <v>0</v>
      </c>
      <c r="D1403" s="60">
        <f>COUNTIF($K$7:K1403,K1403)</f>
        <v>0</v>
      </c>
      <c r="E1403" s="61"/>
      <c r="F1403" s="227">
        <v>44596</v>
      </c>
      <c r="G1403" s="228"/>
      <c r="H1403" s="228" t="s">
        <v>842</v>
      </c>
      <c r="I1403" s="228" t="s">
        <v>18</v>
      </c>
      <c r="J1403" s="67">
        <v>211.01</v>
      </c>
      <c r="K1403" s="65"/>
      <c r="L1403" s="224"/>
      <c r="M1403" s="231">
        <v>896250</v>
      </c>
      <c r="N1403" s="231"/>
      <c r="O1403" s="61"/>
      <c r="P1403" s="69" t="str">
        <f t="shared" si="107"/>
        <v>Hutang Pajak PPN</v>
      </c>
      <c r="Q1403" s="61"/>
    </row>
    <row r="1404" spans="1:17" hidden="1" x14ac:dyDescent="0.25">
      <c r="A1404" s="60" t="str">
        <f t="shared" si="105"/>
        <v>150211,01</v>
      </c>
      <c r="B1404" s="60">
        <f>COUNTIF($J$7:J1404,J1404)</f>
        <v>150</v>
      </c>
      <c r="C1404" s="60" t="str">
        <f t="shared" si="106"/>
        <v>0</v>
      </c>
      <c r="D1404" s="60">
        <f>COUNTIF($K$7:K1404,K1404)</f>
        <v>0</v>
      </c>
      <c r="E1404" s="61"/>
      <c r="F1404" s="227">
        <v>44596</v>
      </c>
      <c r="G1404" s="228"/>
      <c r="H1404" s="228" t="s">
        <v>842</v>
      </c>
      <c r="I1404" s="228" t="s">
        <v>18</v>
      </c>
      <c r="J1404" s="67">
        <v>211.01</v>
      </c>
      <c r="K1404" s="65"/>
      <c r="L1404" s="224"/>
      <c r="M1404" s="231">
        <v>358500</v>
      </c>
      <c r="N1404" s="231"/>
      <c r="O1404" s="61"/>
      <c r="P1404" s="69" t="str">
        <f t="shared" si="107"/>
        <v>Hutang Pajak PPN</v>
      </c>
      <c r="Q1404" s="61"/>
    </row>
    <row r="1405" spans="1:17" hidden="1" x14ac:dyDescent="0.25">
      <c r="A1405" s="60" t="str">
        <f t="shared" si="105"/>
        <v>151211,01</v>
      </c>
      <c r="B1405" s="60">
        <f>COUNTIF($J$7:J1405,J1405)</f>
        <v>151</v>
      </c>
      <c r="C1405" s="60" t="str">
        <f t="shared" si="106"/>
        <v>0</v>
      </c>
      <c r="D1405" s="60">
        <f>COUNTIF($K$7:K1405,K1405)</f>
        <v>0</v>
      </c>
      <c r="E1405" s="61"/>
      <c r="F1405" s="227">
        <v>44596</v>
      </c>
      <c r="G1405" s="228"/>
      <c r="H1405" s="228" t="s">
        <v>842</v>
      </c>
      <c r="I1405" s="228" t="s">
        <v>18</v>
      </c>
      <c r="J1405" s="67">
        <v>211.01</v>
      </c>
      <c r="K1405" s="65"/>
      <c r="L1405" s="224"/>
      <c r="M1405" s="231">
        <v>358500</v>
      </c>
      <c r="N1405" s="231"/>
      <c r="O1405" s="61"/>
      <c r="P1405" s="69" t="str">
        <f t="shared" si="107"/>
        <v>Hutang Pajak PPN</v>
      </c>
      <c r="Q1405" s="61"/>
    </row>
    <row r="1406" spans="1:17" hidden="1" x14ac:dyDescent="0.25">
      <c r="A1406" s="60" t="str">
        <f t="shared" si="105"/>
        <v>152211,01</v>
      </c>
      <c r="B1406" s="60">
        <f>COUNTIF($J$7:J1406,J1406)</f>
        <v>152</v>
      </c>
      <c r="C1406" s="60" t="str">
        <f t="shared" si="106"/>
        <v>0</v>
      </c>
      <c r="D1406" s="60">
        <f>COUNTIF($K$7:K1406,K1406)</f>
        <v>0</v>
      </c>
      <c r="E1406" s="61"/>
      <c r="F1406" s="227">
        <v>44596</v>
      </c>
      <c r="G1406" s="228"/>
      <c r="H1406" s="228" t="s">
        <v>842</v>
      </c>
      <c r="I1406" s="228" t="s">
        <v>18</v>
      </c>
      <c r="J1406" s="67">
        <v>211.01</v>
      </c>
      <c r="K1406" s="65"/>
      <c r="L1406" s="224"/>
      <c r="M1406" s="231">
        <v>179250</v>
      </c>
      <c r="N1406" s="231"/>
      <c r="O1406" s="61"/>
      <c r="P1406" s="69" t="str">
        <f t="shared" si="107"/>
        <v>Hutang Pajak PPN</v>
      </c>
      <c r="Q1406" s="61"/>
    </row>
    <row r="1407" spans="1:17" hidden="1" x14ac:dyDescent="0.25">
      <c r="A1407" s="60" t="str">
        <f t="shared" si="105"/>
        <v>153211,01</v>
      </c>
      <c r="B1407" s="60">
        <f>COUNTIF($J$7:J1407,J1407)</f>
        <v>153</v>
      </c>
      <c r="C1407" s="60" t="str">
        <f t="shared" si="106"/>
        <v>0</v>
      </c>
      <c r="D1407" s="60">
        <f>COUNTIF($K$7:K1407,K1407)</f>
        <v>0</v>
      </c>
      <c r="E1407" s="61"/>
      <c r="F1407" s="227">
        <v>44601</v>
      </c>
      <c r="G1407" s="228"/>
      <c r="H1407" s="228" t="s">
        <v>843</v>
      </c>
      <c r="I1407" s="228" t="s">
        <v>18</v>
      </c>
      <c r="J1407" s="67">
        <v>211.01</v>
      </c>
      <c r="K1407" s="65"/>
      <c r="L1407" s="224"/>
      <c r="M1407" s="231">
        <v>717000</v>
      </c>
      <c r="N1407" s="231"/>
      <c r="O1407" s="61"/>
      <c r="P1407" s="69" t="str">
        <f t="shared" si="107"/>
        <v>Hutang Pajak PPN</v>
      </c>
      <c r="Q1407" s="61"/>
    </row>
    <row r="1408" spans="1:17" hidden="1" x14ac:dyDescent="0.25">
      <c r="A1408" s="60" t="str">
        <f t="shared" si="105"/>
        <v>154211,01</v>
      </c>
      <c r="B1408" s="60">
        <f>COUNTIF($J$7:J1408,J1408)</f>
        <v>154</v>
      </c>
      <c r="C1408" s="60" t="str">
        <f t="shared" si="106"/>
        <v>0</v>
      </c>
      <c r="D1408" s="60">
        <f>COUNTIF($K$7:K1408,K1408)</f>
        <v>0</v>
      </c>
      <c r="E1408" s="61"/>
      <c r="F1408" s="227">
        <v>44601</v>
      </c>
      <c r="G1408" s="228"/>
      <c r="H1408" s="228" t="s">
        <v>843</v>
      </c>
      <c r="I1408" s="228" t="s">
        <v>18</v>
      </c>
      <c r="J1408" s="67">
        <v>211.01</v>
      </c>
      <c r="K1408" s="65"/>
      <c r="L1408" s="224"/>
      <c r="M1408" s="231">
        <v>358500</v>
      </c>
      <c r="N1408" s="231"/>
      <c r="O1408" s="61"/>
      <c r="P1408" s="69" t="str">
        <f t="shared" si="107"/>
        <v>Hutang Pajak PPN</v>
      </c>
      <c r="Q1408" s="61"/>
    </row>
    <row r="1409" spans="1:17" hidden="1" x14ac:dyDescent="0.25">
      <c r="A1409" s="60" t="str">
        <f t="shared" si="105"/>
        <v>155211,01</v>
      </c>
      <c r="B1409" s="60">
        <f>COUNTIF($J$7:J1409,J1409)</f>
        <v>155</v>
      </c>
      <c r="C1409" s="60" t="str">
        <f t="shared" si="106"/>
        <v>0</v>
      </c>
      <c r="D1409" s="60">
        <f>COUNTIF($K$7:K1409,K1409)</f>
        <v>0</v>
      </c>
      <c r="E1409" s="61"/>
      <c r="F1409" s="227">
        <v>44601</v>
      </c>
      <c r="G1409" s="228"/>
      <c r="H1409" s="228" t="s">
        <v>843</v>
      </c>
      <c r="I1409" s="228" t="s">
        <v>18</v>
      </c>
      <c r="J1409" s="67">
        <v>211.01</v>
      </c>
      <c r="K1409" s="65"/>
      <c r="L1409" s="224"/>
      <c r="M1409" s="231">
        <v>717000</v>
      </c>
      <c r="N1409" s="231"/>
      <c r="O1409" s="61"/>
      <c r="P1409" s="69" t="str">
        <f t="shared" si="107"/>
        <v>Hutang Pajak PPN</v>
      </c>
      <c r="Q1409" s="61"/>
    </row>
    <row r="1410" spans="1:17" hidden="1" x14ac:dyDescent="0.25">
      <c r="A1410" s="60" t="str">
        <f t="shared" si="105"/>
        <v>156211,01</v>
      </c>
      <c r="B1410" s="60">
        <f>COUNTIF($J$7:J1410,J1410)</f>
        <v>156</v>
      </c>
      <c r="C1410" s="60" t="str">
        <f t="shared" si="106"/>
        <v>0</v>
      </c>
      <c r="D1410" s="60">
        <f>COUNTIF($K$7:K1410,K1410)</f>
        <v>0</v>
      </c>
      <c r="E1410" s="61"/>
      <c r="F1410" s="227">
        <v>44601</v>
      </c>
      <c r="G1410" s="228"/>
      <c r="H1410" s="228" t="s">
        <v>844</v>
      </c>
      <c r="I1410" s="228" t="s">
        <v>18</v>
      </c>
      <c r="J1410" s="67">
        <v>211.01</v>
      </c>
      <c r="K1410" s="65"/>
      <c r="L1410" s="224"/>
      <c r="M1410" s="231">
        <v>418500</v>
      </c>
      <c r="N1410" s="231"/>
      <c r="O1410" s="61"/>
      <c r="P1410" s="69" t="str">
        <f t="shared" si="107"/>
        <v>Hutang Pajak PPN</v>
      </c>
      <c r="Q1410" s="61"/>
    </row>
    <row r="1411" spans="1:17" hidden="1" x14ac:dyDescent="0.25">
      <c r="A1411" s="60" t="str">
        <f t="shared" si="105"/>
        <v>157211,01</v>
      </c>
      <c r="B1411" s="60">
        <f>COUNTIF($J$7:J1411,J1411)</f>
        <v>157</v>
      </c>
      <c r="C1411" s="60" t="str">
        <f t="shared" si="106"/>
        <v>0</v>
      </c>
      <c r="D1411" s="60">
        <f>COUNTIF($K$7:K1411,K1411)</f>
        <v>0</v>
      </c>
      <c r="E1411" s="61"/>
      <c r="F1411" s="227">
        <v>44601</v>
      </c>
      <c r="G1411" s="228"/>
      <c r="H1411" s="228" t="s">
        <v>844</v>
      </c>
      <c r="I1411" s="228" t="s">
        <v>18</v>
      </c>
      <c r="J1411" s="67">
        <v>211.01</v>
      </c>
      <c r="K1411" s="65"/>
      <c r="L1411" s="224"/>
      <c r="M1411" s="231">
        <v>418500</v>
      </c>
      <c r="N1411" s="231"/>
      <c r="O1411" s="61"/>
      <c r="P1411" s="69" t="str">
        <f t="shared" si="107"/>
        <v>Hutang Pajak PPN</v>
      </c>
      <c r="Q1411" s="61"/>
    </row>
    <row r="1412" spans="1:17" hidden="1" x14ac:dyDescent="0.25">
      <c r="A1412" s="60" t="str">
        <f t="shared" si="105"/>
        <v>158211,01</v>
      </c>
      <c r="B1412" s="60">
        <f>COUNTIF($J$7:J1412,J1412)</f>
        <v>158</v>
      </c>
      <c r="C1412" s="60" t="str">
        <f t="shared" si="106"/>
        <v>0</v>
      </c>
      <c r="D1412" s="60">
        <f>COUNTIF($K$7:K1412,K1412)</f>
        <v>0</v>
      </c>
      <c r="E1412" s="61"/>
      <c r="F1412" s="227">
        <v>44601</v>
      </c>
      <c r="G1412" s="228"/>
      <c r="H1412" s="228" t="s">
        <v>844</v>
      </c>
      <c r="I1412" s="228" t="s">
        <v>18</v>
      </c>
      <c r="J1412" s="67">
        <v>211.01</v>
      </c>
      <c r="K1412" s="65"/>
      <c r="L1412" s="224"/>
      <c r="M1412" s="231">
        <v>209250</v>
      </c>
      <c r="N1412" s="231"/>
      <c r="O1412" s="61"/>
      <c r="P1412" s="69" t="str">
        <f t="shared" si="107"/>
        <v>Hutang Pajak PPN</v>
      </c>
      <c r="Q1412" s="61"/>
    </row>
    <row r="1413" spans="1:17" hidden="1" x14ac:dyDescent="0.25">
      <c r="A1413" s="60" t="str">
        <f t="shared" si="105"/>
        <v>159211,01</v>
      </c>
      <c r="B1413" s="60">
        <f>COUNTIF($J$7:J1413,J1413)</f>
        <v>159</v>
      </c>
      <c r="C1413" s="60" t="str">
        <f t="shared" si="106"/>
        <v>0</v>
      </c>
      <c r="D1413" s="60">
        <f>COUNTIF($K$7:K1413,K1413)</f>
        <v>0</v>
      </c>
      <c r="E1413" s="61"/>
      <c r="F1413" s="227">
        <v>44601</v>
      </c>
      <c r="G1413" s="228"/>
      <c r="H1413" s="228" t="s">
        <v>844</v>
      </c>
      <c r="I1413" s="228" t="s">
        <v>18</v>
      </c>
      <c r="J1413" s="67">
        <v>211.01</v>
      </c>
      <c r="K1413" s="65"/>
      <c r="L1413" s="224"/>
      <c r="M1413" s="231">
        <v>209250</v>
      </c>
      <c r="N1413" s="231"/>
      <c r="O1413" s="61"/>
      <c r="P1413" s="69" t="str">
        <f t="shared" si="107"/>
        <v>Hutang Pajak PPN</v>
      </c>
      <c r="Q1413" s="61"/>
    </row>
    <row r="1414" spans="1:17" hidden="1" x14ac:dyDescent="0.25">
      <c r="A1414" s="60" t="str">
        <f t="shared" si="105"/>
        <v>160211,01</v>
      </c>
      <c r="B1414" s="60">
        <f>COUNTIF($J$7:J1414,J1414)</f>
        <v>160</v>
      </c>
      <c r="C1414" s="60" t="str">
        <f t="shared" si="106"/>
        <v>0</v>
      </c>
      <c r="D1414" s="60">
        <f>COUNTIF($K$7:K1414,K1414)</f>
        <v>0</v>
      </c>
      <c r="E1414" s="61"/>
      <c r="F1414" s="227">
        <v>44601</v>
      </c>
      <c r="G1414" s="228"/>
      <c r="H1414" s="228" t="s">
        <v>844</v>
      </c>
      <c r="I1414" s="228" t="s">
        <v>18</v>
      </c>
      <c r="J1414" s="67">
        <v>211.01</v>
      </c>
      <c r="K1414" s="65"/>
      <c r="L1414" s="224"/>
      <c r="M1414" s="231">
        <v>209250</v>
      </c>
      <c r="N1414" s="231"/>
      <c r="O1414" s="61"/>
      <c r="P1414" s="69" t="str">
        <f t="shared" si="107"/>
        <v>Hutang Pajak PPN</v>
      </c>
      <c r="Q1414" s="61"/>
    </row>
    <row r="1415" spans="1:17" hidden="1" x14ac:dyDescent="0.25">
      <c r="A1415" s="60" t="str">
        <f t="shared" ref="A1415:A1478" si="110">B1415&amp;J1415</f>
        <v>161211,01</v>
      </c>
      <c r="B1415" s="60">
        <f>COUNTIF($J$7:J1415,J1415)</f>
        <v>161</v>
      </c>
      <c r="C1415" s="60" t="str">
        <f t="shared" ref="C1415:C1478" si="111">D1415&amp;K1415</f>
        <v>0</v>
      </c>
      <c r="D1415" s="60">
        <f>COUNTIF($K$7:K1415,K1415)</f>
        <v>0</v>
      </c>
      <c r="E1415" s="61"/>
      <c r="F1415" s="227">
        <v>44601</v>
      </c>
      <c r="G1415" s="228"/>
      <c r="H1415" s="228" t="s">
        <v>844</v>
      </c>
      <c r="I1415" s="228" t="s">
        <v>18</v>
      </c>
      <c r="J1415" s="67">
        <v>211.01</v>
      </c>
      <c r="K1415" s="65"/>
      <c r="L1415" s="224"/>
      <c r="M1415" s="231">
        <v>354000</v>
      </c>
      <c r="N1415" s="231"/>
      <c r="O1415" s="61"/>
      <c r="P1415" s="69" t="str">
        <f t="shared" ref="P1415:P1478" si="112">IF(J1415=0,"-",+VLOOKUP(J1415,DAF_AKUN,2,FALSE))</f>
        <v>Hutang Pajak PPN</v>
      </c>
      <c r="Q1415" s="61"/>
    </row>
    <row r="1416" spans="1:17" hidden="1" x14ac:dyDescent="0.25">
      <c r="A1416" s="60" t="str">
        <f t="shared" si="110"/>
        <v>162211,01</v>
      </c>
      <c r="B1416" s="60">
        <f>COUNTIF($J$7:J1416,J1416)</f>
        <v>162</v>
      </c>
      <c r="C1416" s="60" t="str">
        <f t="shared" si="111"/>
        <v>0</v>
      </c>
      <c r="D1416" s="60">
        <f>COUNTIF($K$7:K1416,K1416)</f>
        <v>0</v>
      </c>
      <c r="E1416" s="61"/>
      <c r="F1416" s="227">
        <v>44601</v>
      </c>
      <c r="G1416" s="228"/>
      <c r="H1416" s="228" t="s">
        <v>844</v>
      </c>
      <c r="I1416" s="228" t="s">
        <v>18</v>
      </c>
      <c r="J1416" s="67">
        <v>211.01</v>
      </c>
      <c r="K1416" s="65"/>
      <c r="L1416" s="224"/>
      <c r="M1416" s="231">
        <v>354000</v>
      </c>
      <c r="N1416" s="231"/>
      <c r="O1416" s="61"/>
      <c r="P1416" s="69" t="str">
        <f t="shared" si="112"/>
        <v>Hutang Pajak PPN</v>
      </c>
      <c r="Q1416" s="61"/>
    </row>
    <row r="1417" spans="1:17" hidden="1" x14ac:dyDescent="0.25">
      <c r="A1417" s="60" t="str">
        <f t="shared" si="110"/>
        <v>163211,01</v>
      </c>
      <c r="B1417" s="60">
        <f>COUNTIF($J$7:J1417,J1417)</f>
        <v>163</v>
      </c>
      <c r="C1417" s="60" t="str">
        <f t="shared" si="111"/>
        <v>0</v>
      </c>
      <c r="D1417" s="60">
        <f>COUNTIF($K$7:K1417,K1417)</f>
        <v>0</v>
      </c>
      <c r="E1417" s="61"/>
      <c r="F1417" s="227">
        <v>44601</v>
      </c>
      <c r="G1417" s="228"/>
      <c r="H1417" s="228" t="s">
        <v>844</v>
      </c>
      <c r="I1417" s="228" t="s">
        <v>18</v>
      </c>
      <c r="J1417" s="67">
        <v>211.01</v>
      </c>
      <c r="K1417" s="65"/>
      <c r="L1417" s="224"/>
      <c r="M1417" s="231">
        <v>354000</v>
      </c>
      <c r="N1417" s="231"/>
      <c r="O1417" s="61"/>
      <c r="P1417" s="69" t="str">
        <f t="shared" si="112"/>
        <v>Hutang Pajak PPN</v>
      </c>
      <c r="Q1417" s="61"/>
    </row>
    <row r="1418" spans="1:17" hidden="1" x14ac:dyDescent="0.25">
      <c r="A1418" s="60" t="str">
        <f t="shared" si="110"/>
        <v>164211,01</v>
      </c>
      <c r="B1418" s="60">
        <f>COUNTIF($J$7:J1418,J1418)</f>
        <v>164</v>
      </c>
      <c r="C1418" s="60" t="str">
        <f t="shared" si="111"/>
        <v>0</v>
      </c>
      <c r="D1418" s="60">
        <f>COUNTIF($K$7:K1418,K1418)</f>
        <v>0</v>
      </c>
      <c r="E1418" s="61"/>
      <c r="F1418" s="227">
        <v>44601</v>
      </c>
      <c r="G1418" s="228"/>
      <c r="H1418" s="228" t="s">
        <v>845</v>
      </c>
      <c r="I1418" s="228" t="s">
        <v>18</v>
      </c>
      <c r="J1418" s="67">
        <v>211.01</v>
      </c>
      <c r="K1418" s="65"/>
      <c r="L1418" s="224"/>
      <c r="M1418" s="231">
        <v>152250</v>
      </c>
      <c r="N1418" s="231"/>
      <c r="O1418" s="61"/>
      <c r="P1418" s="69" t="str">
        <f t="shared" si="112"/>
        <v>Hutang Pajak PPN</v>
      </c>
      <c r="Q1418" s="61"/>
    </row>
    <row r="1419" spans="1:17" hidden="1" x14ac:dyDescent="0.25">
      <c r="A1419" s="60" t="str">
        <f t="shared" si="110"/>
        <v>165211,01</v>
      </c>
      <c r="B1419" s="60">
        <f>COUNTIF($J$7:J1419,J1419)</f>
        <v>165</v>
      </c>
      <c r="C1419" s="60" t="str">
        <f t="shared" si="111"/>
        <v>0</v>
      </c>
      <c r="D1419" s="60">
        <f>COUNTIF($K$7:K1419,K1419)</f>
        <v>0</v>
      </c>
      <c r="E1419" s="61"/>
      <c r="F1419" s="227">
        <v>44602</v>
      </c>
      <c r="G1419" s="228"/>
      <c r="H1419" s="228" t="s">
        <v>846</v>
      </c>
      <c r="I1419" s="228" t="s">
        <v>18</v>
      </c>
      <c r="J1419" s="67">
        <v>211.01</v>
      </c>
      <c r="K1419" s="65"/>
      <c r="L1419" s="224"/>
      <c r="M1419" s="231">
        <v>4100000</v>
      </c>
      <c r="N1419" s="231"/>
      <c r="O1419" s="61"/>
      <c r="P1419" s="69" t="str">
        <f t="shared" si="112"/>
        <v>Hutang Pajak PPN</v>
      </c>
      <c r="Q1419" s="61"/>
    </row>
    <row r="1420" spans="1:17" hidden="1" x14ac:dyDescent="0.25">
      <c r="A1420" s="60" t="str">
        <f t="shared" si="110"/>
        <v>166211,01</v>
      </c>
      <c r="B1420" s="60">
        <f>COUNTIF($J$7:J1420,J1420)</f>
        <v>166</v>
      </c>
      <c r="C1420" s="60" t="str">
        <f t="shared" si="111"/>
        <v>0</v>
      </c>
      <c r="D1420" s="60">
        <f>COUNTIF($K$7:K1420,K1420)</f>
        <v>0</v>
      </c>
      <c r="E1420" s="61"/>
      <c r="F1420" s="227">
        <v>44602</v>
      </c>
      <c r="G1420" s="228"/>
      <c r="H1420" s="228" t="s">
        <v>847</v>
      </c>
      <c r="I1420" s="228" t="s">
        <v>18</v>
      </c>
      <c r="J1420" s="67">
        <v>211.01</v>
      </c>
      <c r="K1420" s="65"/>
      <c r="L1420" s="224"/>
      <c r="M1420" s="231">
        <v>1254750</v>
      </c>
      <c r="N1420" s="231"/>
      <c r="O1420" s="61"/>
      <c r="P1420" s="69" t="str">
        <f t="shared" si="112"/>
        <v>Hutang Pajak PPN</v>
      </c>
      <c r="Q1420" s="61"/>
    </row>
    <row r="1421" spans="1:17" hidden="1" x14ac:dyDescent="0.25">
      <c r="A1421" s="60" t="str">
        <f t="shared" si="110"/>
        <v>167211,01</v>
      </c>
      <c r="B1421" s="60">
        <f>COUNTIF($J$7:J1421,J1421)</f>
        <v>167</v>
      </c>
      <c r="C1421" s="60" t="str">
        <f t="shared" si="111"/>
        <v>0</v>
      </c>
      <c r="D1421" s="60">
        <f>COUNTIF($K$7:K1421,K1421)</f>
        <v>0</v>
      </c>
      <c r="E1421" s="61"/>
      <c r="F1421" s="227">
        <v>44602</v>
      </c>
      <c r="G1421" s="228"/>
      <c r="H1421" s="228" t="s">
        <v>847</v>
      </c>
      <c r="I1421" s="228" t="s">
        <v>18</v>
      </c>
      <c r="J1421" s="67">
        <v>211.01</v>
      </c>
      <c r="K1421" s="65"/>
      <c r="L1421" s="224"/>
      <c r="M1421" s="231">
        <v>1254750</v>
      </c>
      <c r="N1421" s="231"/>
      <c r="O1421" s="61"/>
      <c r="P1421" s="69" t="str">
        <f t="shared" si="112"/>
        <v>Hutang Pajak PPN</v>
      </c>
      <c r="Q1421" s="61"/>
    </row>
    <row r="1422" spans="1:17" hidden="1" x14ac:dyDescent="0.25">
      <c r="A1422" s="60" t="str">
        <f t="shared" si="110"/>
        <v>168211,01</v>
      </c>
      <c r="B1422" s="60">
        <f>COUNTIF($J$7:J1422,J1422)</f>
        <v>168</v>
      </c>
      <c r="C1422" s="60" t="str">
        <f t="shared" si="111"/>
        <v>0</v>
      </c>
      <c r="D1422" s="60">
        <f>COUNTIF($K$7:K1422,K1422)</f>
        <v>0</v>
      </c>
      <c r="E1422" s="61"/>
      <c r="F1422" s="227">
        <v>44602</v>
      </c>
      <c r="G1422" s="228"/>
      <c r="H1422" s="228" t="s">
        <v>848</v>
      </c>
      <c r="I1422" s="228" t="s">
        <v>18</v>
      </c>
      <c r="J1422" s="67">
        <v>211.01</v>
      </c>
      <c r="K1422" s="65"/>
      <c r="L1422" s="224"/>
      <c r="M1422" s="231">
        <v>82000</v>
      </c>
      <c r="N1422" s="231"/>
      <c r="O1422" s="61"/>
      <c r="P1422" s="69" t="str">
        <f t="shared" si="112"/>
        <v>Hutang Pajak PPN</v>
      </c>
      <c r="Q1422" s="61"/>
    </row>
    <row r="1423" spans="1:17" hidden="1" x14ac:dyDescent="0.25">
      <c r="A1423" s="60" t="str">
        <f t="shared" si="110"/>
        <v>169211,01</v>
      </c>
      <c r="B1423" s="60">
        <f>COUNTIF($J$7:J1423,J1423)</f>
        <v>169</v>
      </c>
      <c r="C1423" s="60" t="str">
        <f t="shared" si="111"/>
        <v>0</v>
      </c>
      <c r="D1423" s="60">
        <f>COUNTIF($K$7:K1423,K1423)</f>
        <v>0</v>
      </c>
      <c r="E1423" s="61"/>
      <c r="F1423" s="227">
        <v>44602</v>
      </c>
      <c r="G1423" s="228"/>
      <c r="H1423" s="228" t="s">
        <v>848</v>
      </c>
      <c r="I1423" s="228" t="s">
        <v>18</v>
      </c>
      <c r="J1423" s="67">
        <v>211.01</v>
      </c>
      <c r="K1423" s="65"/>
      <c r="L1423" s="224"/>
      <c r="M1423" s="231">
        <v>164000</v>
      </c>
      <c r="N1423" s="231"/>
      <c r="O1423" s="61"/>
      <c r="P1423" s="69" t="str">
        <f t="shared" si="112"/>
        <v>Hutang Pajak PPN</v>
      </c>
      <c r="Q1423" s="61"/>
    </row>
    <row r="1424" spans="1:17" hidden="1" x14ac:dyDescent="0.25">
      <c r="A1424" s="60" t="str">
        <f t="shared" si="110"/>
        <v>170211,01</v>
      </c>
      <c r="B1424" s="60">
        <f>COUNTIF($J$7:J1424,J1424)</f>
        <v>170</v>
      </c>
      <c r="C1424" s="60" t="str">
        <f t="shared" si="111"/>
        <v>0</v>
      </c>
      <c r="D1424" s="60">
        <f>COUNTIF($K$7:K1424,K1424)</f>
        <v>0</v>
      </c>
      <c r="E1424" s="61"/>
      <c r="F1424" s="227">
        <v>44602</v>
      </c>
      <c r="G1424" s="228"/>
      <c r="H1424" s="228" t="s">
        <v>848</v>
      </c>
      <c r="I1424" s="228" t="s">
        <v>18</v>
      </c>
      <c r="J1424" s="67">
        <v>211.01</v>
      </c>
      <c r="K1424" s="65"/>
      <c r="L1424" s="224"/>
      <c r="M1424" s="231">
        <v>82000</v>
      </c>
      <c r="N1424" s="231"/>
      <c r="O1424" s="61"/>
      <c r="P1424" s="69" t="str">
        <f t="shared" si="112"/>
        <v>Hutang Pajak PPN</v>
      </c>
      <c r="Q1424" s="61"/>
    </row>
    <row r="1425" spans="1:17" hidden="1" x14ac:dyDescent="0.25">
      <c r="A1425" s="60" t="str">
        <f t="shared" si="110"/>
        <v>171211,01</v>
      </c>
      <c r="B1425" s="60">
        <f>COUNTIF($J$7:J1425,J1425)</f>
        <v>171</v>
      </c>
      <c r="C1425" s="60" t="str">
        <f t="shared" si="111"/>
        <v>0</v>
      </c>
      <c r="D1425" s="60">
        <f>COUNTIF($K$7:K1425,K1425)</f>
        <v>0</v>
      </c>
      <c r="E1425" s="61"/>
      <c r="F1425" s="227">
        <v>44606</v>
      </c>
      <c r="G1425" s="228"/>
      <c r="H1425" s="228" t="s">
        <v>849</v>
      </c>
      <c r="I1425" s="228" t="s">
        <v>18</v>
      </c>
      <c r="J1425" s="67">
        <v>211.01</v>
      </c>
      <c r="K1425" s="65"/>
      <c r="L1425" s="224"/>
      <c r="M1425" s="231">
        <v>1640000</v>
      </c>
      <c r="N1425" s="231"/>
      <c r="O1425" s="61"/>
      <c r="P1425" s="69" t="str">
        <f t="shared" si="112"/>
        <v>Hutang Pajak PPN</v>
      </c>
      <c r="Q1425" s="61"/>
    </row>
    <row r="1426" spans="1:17" hidden="1" x14ac:dyDescent="0.25">
      <c r="A1426" s="60" t="str">
        <f t="shared" si="110"/>
        <v>172211,01</v>
      </c>
      <c r="B1426" s="60">
        <f>COUNTIF($J$7:J1426,J1426)</f>
        <v>172</v>
      </c>
      <c r="C1426" s="60" t="str">
        <f t="shared" si="111"/>
        <v>0</v>
      </c>
      <c r="D1426" s="60">
        <f>COUNTIF($K$7:K1426,K1426)</f>
        <v>0</v>
      </c>
      <c r="E1426" s="61"/>
      <c r="F1426" s="227">
        <v>44606</v>
      </c>
      <c r="G1426" s="228"/>
      <c r="H1426" s="228" t="s">
        <v>850</v>
      </c>
      <c r="I1426" s="228" t="s">
        <v>18</v>
      </c>
      <c r="J1426" s="67">
        <v>211.01</v>
      </c>
      <c r="K1426" s="65"/>
      <c r="L1426" s="224"/>
      <c r="M1426" s="231">
        <v>609000</v>
      </c>
      <c r="N1426" s="231"/>
      <c r="O1426" s="61"/>
      <c r="P1426" s="69" t="str">
        <f t="shared" si="112"/>
        <v>Hutang Pajak PPN</v>
      </c>
      <c r="Q1426" s="61"/>
    </row>
    <row r="1427" spans="1:17" hidden="1" x14ac:dyDescent="0.25">
      <c r="A1427" s="60" t="str">
        <f t="shared" si="110"/>
        <v>173211,01</v>
      </c>
      <c r="B1427" s="60">
        <f>COUNTIF($J$7:J1427,J1427)</f>
        <v>173</v>
      </c>
      <c r="C1427" s="60" t="str">
        <f t="shared" si="111"/>
        <v>0</v>
      </c>
      <c r="D1427" s="60">
        <f>COUNTIF($K$7:K1427,K1427)</f>
        <v>0</v>
      </c>
      <c r="E1427" s="61"/>
      <c r="F1427" s="227">
        <v>44606</v>
      </c>
      <c r="G1427" s="228"/>
      <c r="H1427" s="228" t="s">
        <v>850</v>
      </c>
      <c r="I1427" s="228" t="s">
        <v>18</v>
      </c>
      <c r="J1427" s="67">
        <v>211.01</v>
      </c>
      <c r="K1427" s="65"/>
      <c r="L1427" s="224"/>
      <c r="M1427" s="231">
        <v>152250</v>
      </c>
      <c r="N1427" s="231"/>
      <c r="O1427" s="61"/>
      <c r="P1427" s="69" t="str">
        <f t="shared" si="112"/>
        <v>Hutang Pajak PPN</v>
      </c>
      <c r="Q1427" s="61"/>
    </row>
    <row r="1428" spans="1:17" hidden="1" x14ac:dyDescent="0.25">
      <c r="A1428" s="60" t="str">
        <f t="shared" si="110"/>
        <v>174211,01</v>
      </c>
      <c r="B1428" s="60">
        <f>COUNTIF($J$7:J1428,J1428)</f>
        <v>174</v>
      </c>
      <c r="C1428" s="60" t="str">
        <f t="shared" si="111"/>
        <v>0</v>
      </c>
      <c r="D1428" s="60">
        <f>COUNTIF($K$7:K1428,K1428)</f>
        <v>0</v>
      </c>
      <c r="E1428" s="61"/>
      <c r="F1428" s="227">
        <v>44606</v>
      </c>
      <c r="G1428" s="228"/>
      <c r="H1428" s="228" t="s">
        <v>850</v>
      </c>
      <c r="I1428" s="228" t="s">
        <v>18</v>
      </c>
      <c r="J1428" s="67">
        <v>211.01</v>
      </c>
      <c r="K1428" s="65"/>
      <c r="L1428" s="224"/>
      <c r="M1428" s="231">
        <v>304500</v>
      </c>
      <c r="N1428" s="231"/>
      <c r="O1428" s="61"/>
      <c r="P1428" s="69" t="str">
        <f t="shared" si="112"/>
        <v>Hutang Pajak PPN</v>
      </c>
      <c r="Q1428" s="61"/>
    </row>
    <row r="1429" spans="1:17" hidden="1" x14ac:dyDescent="0.25">
      <c r="A1429" s="60" t="str">
        <f t="shared" si="110"/>
        <v>175211,01</v>
      </c>
      <c r="B1429" s="60">
        <f>COUNTIF($J$7:J1429,J1429)</f>
        <v>175</v>
      </c>
      <c r="C1429" s="60" t="str">
        <f t="shared" si="111"/>
        <v>0</v>
      </c>
      <c r="D1429" s="60">
        <f>COUNTIF($K$7:K1429,K1429)</f>
        <v>0</v>
      </c>
      <c r="E1429" s="61"/>
      <c r="F1429" s="227">
        <v>44606</v>
      </c>
      <c r="G1429" s="228"/>
      <c r="H1429" s="228" t="s">
        <v>850</v>
      </c>
      <c r="I1429" s="228" t="s">
        <v>18</v>
      </c>
      <c r="J1429" s="67">
        <v>211.01</v>
      </c>
      <c r="K1429" s="65"/>
      <c r="L1429" s="224"/>
      <c r="M1429" s="231">
        <v>609000</v>
      </c>
      <c r="N1429" s="231"/>
      <c r="O1429" s="61"/>
      <c r="P1429" s="69" t="str">
        <f t="shared" si="112"/>
        <v>Hutang Pajak PPN</v>
      </c>
      <c r="Q1429" s="61"/>
    </row>
    <row r="1430" spans="1:17" hidden="1" x14ac:dyDescent="0.25">
      <c r="A1430" s="60" t="str">
        <f t="shared" si="110"/>
        <v>176211,01</v>
      </c>
      <c r="B1430" s="60">
        <f>COUNTIF($J$7:J1430,J1430)</f>
        <v>176</v>
      </c>
      <c r="C1430" s="60" t="str">
        <f t="shared" si="111"/>
        <v>0</v>
      </c>
      <c r="D1430" s="60">
        <f>COUNTIF($K$7:K1430,K1430)</f>
        <v>0</v>
      </c>
      <c r="E1430" s="61"/>
      <c r="F1430" s="227">
        <v>44608</v>
      </c>
      <c r="G1430" s="228"/>
      <c r="H1430" s="228" t="s">
        <v>851</v>
      </c>
      <c r="I1430" s="228" t="s">
        <v>18</v>
      </c>
      <c r="J1430" s="67">
        <v>211.01</v>
      </c>
      <c r="K1430" s="65"/>
      <c r="L1430" s="224"/>
      <c r="M1430" s="231">
        <v>328000</v>
      </c>
      <c r="N1430" s="231"/>
      <c r="O1430" s="61"/>
      <c r="P1430" s="69" t="str">
        <f t="shared" si="112"/>
        <v>Hutang Pajak PPN</v>
      </c>
      <c r="Q1430" s="61"/>
    </row>
    <row r="1431" spans="1:17" hidden="1" x14ac:dyDescent="0.25">
      <c r="A1431" s="60" t="str">
        <f t="shared" si="110"/>
        <v>177211,01</v>
      </c>
      <c r="B1431" s="60">
        <f>COUNTIF($J$7:J1431,J1431)</f>
        <v>177</v>
      </c>
      <c r="C1431" s="60" t="str">
        <f t="shared" si="111"/>
        <v>0</v>
      </c>
      <c r="D1431" s="60">
        <f>COUNTIF($K$7:K1431,K1431)</f>
        <v>0</v>
      </c>
      <c r="E1431" s="61"/>
      <c r="F1431" s="227">
        <v>44608</v>
      </c>
      <c r="G1431" s="228"/>
      <c r="H1431" s="228" t="s">
        <v>851</v>
      </c>
      <c r="I1431" s="228" t="s">
        <v>18</v>
      </c>
      <c r="J1431" s="67">
        <v>211.01</v>
      </c>
      <c r="K1431" s="65"/>
      <c r="L1431" s="224"/>
      <c r="M1431" s="231">
        <v>328000</v>
      </c>
      <c r="N1431" s="231"/>
      <c r="O1431" s="61"/>
      <c r="P1431" s="69" t="str">
        <f t="shared" si="112"/>
        <v>Hutang Pajak PPN</v>
      </c>
      <c r="Q1431" s="61"/>
    </row>
    <row r="1432" spans="1:17" hidden="1" x14ac:dyDescent="0.25">
      <c r="A1432" s="60" t="str">
        <f t="shared" si="110"/>
        <v>178211,01</v>
      </c>
      <c r="B1432" s="60">
        <f>COUNTIF($J$7:J1432,J1432)</f>
        <v>178</v>
      </c>
      <c r="C1432" s="60" t="str">
        <f t="shared" si="111"/>
        <v>0</v>
      </c>
      <c r="D1432" s="60">
        <f>COUNTIF($K$7:K1432,K1432)</f>
        <v>0</v>
      </c>
      <c r="E1432" s="61"/>
      <c r="F1432" s="227">
        <v>44613</v>
      </c>
      <c r="G1432" s="228"/>
      <c r="H1432" s="228" t="s">
        <v>852</v>
      </c>
      <c r="I1432" s="228" t="s">
        <v>18</v>
      </c>
      <c r="J1432" s="67">
        <v>211.01</v>
      </c>
      <c r="K1432" s="65"/>
      <c r="L1432" s="224"/>
      <c r="M1432" s="231">
        <v>537750</v>
      </c>
      <c r="N1432" s="231"/>
      <c r="O1432" s="61"/>
      <c r="P1432" s="69" t="str">
        <f t="shared" si="112"/>
        <v>Hutang Pajak PPN</v>
      </c>
      <c r="Q1432" s="61"/>
    </row>
    <row r="1433" spans="1:17" hidden="1" x14ac:dyDescent="0.25">
      <c r="A1433" s="60" t="str">
        <f t="shared" si="110"/>
        <v>179211,01</v>
      </c>
      <c r="B1433" s="60">
        <f>COUNTIF($J$7:J1433,J1433)</f>
        <v>179</v>
      </c>
      <c r="C1433" s="60" t="str">
        <f t="shared" si="111"/>
        <v>0</v>
      </c>
      <c r="D1433" s="60">
        <f>COUNTIF($K$7:K1433,K1433)</f>
        <v>0</v>
      </c>
      <c r="E1433" s="61"/>
      <c r="F1433" s="227">
        <v>44613</v>
      </c>
      <c r="G1433" s="228"/>
      <c r="H1433" s="228" t="s">
        <v>852</v>
      </c>
      <c r="I1433" s="228" t="s">
        <v>18</v>
      </c>
      <c r="J1433" s="67">
        <v>211.01</v>
      </c>
      <c r="K1433" s="65"/>
      <c r="L1433" s="224"/>
      <c r="M1433" s="231">
        <v>717000</v>
      </c>
      <c r="N1433" s="231"/>
      <c r="O1433" s="61"/>
      <c r="P1433" s="69" t="str">
        <f t="shared" si="112"/>
        <v>Hutang Pajak PPN</v>
      </c>
      <c r="Q1433" s="61"/>
    </row>
    <row r="1434" spans="1:17" hidden="1" x14ac:dyDescent="0.25">
      <c r="A1434" s="60" t="str">
        <f t="shared" si="110"/>
        <v>180211,01</v>
      </c>
      <c r="B1434" s="60">
        <f>COUNTIF($J$7:J1434,J1434)</f>
        <v>180</v>
      </c>
      <c r="C1434" s="60" t="str">
        <f t="shared" si="111"/>
        <v>0</v>
      </c>
      <c r="D1434" s="60">
        <f>COUNTIF($K$7:K1434,K1434)</f>
        <v>0</v>
      </c>
      <c r="E1434" s="61"/>
      <c r="F1434" s="227">
        <v>44613</v>
      </c>
      <c r="G1434" s="228"/>
      <c r="H1434" s="228" t="s">
        <v>852</v>
      </c>
      <c r="I1434" s="228" t="s">
        <v>18</v>
      </c>
      <c r="J1434" s="67">
        <v>211.01</v>
      </c>
      <c r="K1434" s="65"/>
      <c r="L1434" s="224"/>
      <c r="M1434" s="231">
        <v>717000</v>
      </c>
      <c r="N1434" s="231"/>
      <c r="O1434" s="61"/>
      <c r="P1434" s="69" t="str">
        <f t="shared" si="112"/>
        <v>Hutang Pajak PPN</v>
      </c>
      <c r="Q1434" s="61"/>
    </row>
    <row r="1435" spans="1:17" hidden="1" x14ac:dyDescent="0.25">
      <c r="A1435" s="60" t="str">
        <f t="shared" si="110"/>
        <v>181211,01</v>
      </c>
      <c r="B1435" s="60">
        <f>COUNTIF($J$7:J1435,J1435)</f>
        <v>181</v>
      </c>
      <c r="C1435" s="60" t="str">
        <f t="shared" si="111"/>
        <v>0</v>
      </c>
      <c r="D1435" s="60">
        <f>COUNTIF($K$7:K1435,K1435)</f>
        <v>0</v>
      </c>
      <c r="E1435" s="61"/>
      <c r="F1435" s="227">
        <v>44613</v>
      </c>
      <c r="G1435" s="228"/>
      <c r="H1435" s="228" t="s">
        <v>852</v>
      </c>
      <c r="I1435" s="228" t="s">
        <v>18</v>
      </c>
      <c r="J1435" s="67">
        <v>211.01</v>
      </c>
      <c r="K1435" s="65"/>
      <c r="L1435" s="224"/>
      <c r="M1435" s="231">
        <v>358500</v>
      </c>
      <c r="N1435" s="231"/>
      <c r="O1435" s="61"/>
      <c r="P1435" s="69" t="str">
        <f t="shared" si="112"/>
        <v>Hutang Pajak PPN</v>
      </c>
      <c r="Q1435" s="61"/>
    </row>
    <row r="1436" spans="1:17" hidden="1" x14ac:dyDescent="0.25">
      <c r="A1436" s="60" t="str">
        <f t="shared" si="110"/>
        <v>182211,01</v>
      </c>
      <c r="B1436" s="60">
        <f>COUNTIF($J$7:J1436,J1436)</f>
        <v>182</v>
      </c>
      <c r="C1436" s="60" t="str">
        <f t="shared" si="111"/>
        <v>0</v>
      </c>
      <c r="D1436" s="60">
        <f>COUNTIF($K$7:K1436,K1436)</f>
        <v>0</v>
      </c>
      <c r="E1436" s="61"/>
      <c r="F1436" s="227">
        <v>44615</v>
      </c>
      <c r="G1436" s="228"/>
      <c r="H1436" s="228" t="s">
        <v>853</v>
      </c>
      <c r="I1436" s="228" t="s">
        <v>18</v>
      </c>
      <c r="J1436" s="67">
        <v>211.01</v>
      </c>
      <c r="K1436" s="65"/>
      <c r="L1436" s="224"/>
      <c r="M1436" s="231">
        <v>537750</v>
      </c>
      <c r="N1436" s="231"/>
      <c r="O1436" s="61"/>
      <c r="P1436" s="69" t="str">
        <f t="shared" si="112"/>
        <v>Hutang Pajak PPN</v>
      </c>
      <c r="Q1436" s="61"/>
    </row>
    <row r="1437" spans="1:17" hidden="1" x14ac:dyDescent="0.25">
      <c r="A1437" s="60" t="str">
        <f t="shared" si="110"/>
        <v>183211,01</v>
      </c>
      <c r="B1437" s="60">
        <f>COUNTIF($J$7:J1437,J1437)</f>
        <v>183</v>
      </c>
      <c r="C1437" s="60" t="str">
        <f t="shared" si="111"/>
        <v>0</v>
      </c>
      <c r="D1437" s="60">
        <f>COUNTIF($K$7:K1437,K1437)</f>
        <v>0</v>
      </c>
      <c r="E1437" s="61"/>
      <c r="F1437" s="227">
        <v>44615</v>
      </c>
      <c r="G1437" s="228"/>
      <c r="H1437" s="228" t="s">
        <v>853</v>
      </c>
      <c r="I1437" s="228" t="s">
        <v>18</v>
      </c>
      <c r="J1437" s="67">
        <v>211.01</v>
      </c>
      <c r="K1437" s="65"/>
      <c r="L1437" s="224"/>
      <c r="M1437" s="231">
        <v>896250</v>
      </c>
      <c r="N1437" s="231"/>
      <c r="O1437" s="61"/>
      <c r="P1437" s="69" t="str">
        <f t="shared" si="112"/>
        <v>Hutang Pajak PPN</v>
      </c>
      <c r="Q1437" s="61"/>
    </row>
    <row r="1438" spans="1:17" hidden="1" x14ac:dyDescent="0.25">
      <c r="A1438" s="60" t="str">
        <f t="shared" si="110"/>
        <v>184211,01</v>
      </c>
      <c r="B1438" s="60">
        <f>COUNTIF($J$7:J1438,J1438)</f>
        <v>184</v>
      </c>
      <c r="C1438" s="60" t="str">
        <f t="shared" si="111"/>
        <v>0</v>
      </c>
      <c r="D1438" s="60">
        <f>COUNTIF($K$7:K1438,K1438)</f>
        <v>0</v>
      </c>
      <c r="E1438" s="61"/>
      <c r="F1438" s="227">
        <v>44615</v>
      </c>
      <c r="G1438" s="228"/>
      <c r="H1438" s="228" t="s">
        <v>853</v>
      </c>
      <c r="I1438" s="228" t="s">
        <v>18</v>
      </c>
      <c r="J1438" s="67">
        <v>211.01</v>
      </c>
      <c r="K1438" s="65"/>
      <c r="L1438" s="224"/>
      <c r="M1438" s="231">
        <v>537750</v>
      </c>
      <c r="N1438" s="231"/>
      <c r="O1438" s="61"/>
      <c r="P1438" s="69" t="str">
        <f t="shared" si="112"/>
        <v>Hutang Pajak PPN</v>
      </c>
      <c r="Q1438" s="61"/>
    </row>
    <row r="1439" spans="1:17" hidden="1" x14ac:dyDescent="0.25">
      <c r="A1439" s="60" t="str">
        <f t="shared" si="110"/>
        <v>185211,01</v>
      </c>
      <c r="B1439" s="60">
        <f>COUNTIF($J$7:J1439,J1439)</f>
        <v>185</v>
      </c>
      <c r="C1439" s="60" t="str">
        <f t="shared" si="111"/>
        <v>0</v>
      </c>
      <c r="D1439" s="60">
        <f>COUNTIF($K$7:K1439,K1439)</f>
        <v>0</v>
      </c>
      <c r="E1439" s="61"/>
      <c r="F1439" s="227">
        <v>44617</v>
      </c>
      <c r="G1439" s="228"/>
      <c r="H1439" s="228" t="s">
        <v>854</v>
      </c>
      <c r="I1439" s="228" t="s">
        <v>18</v>
      </c>
      <c r="J1439" s="67">
        <v>211.01</v>
      </c>
      <c r="K1439" s="65"/>
      <c r="L1439" s="224"/>
      <c r="M1439" s="231">
        <v>82000</v>
      </c>
      <c r="N1439" s="231"/>
      <c r="O1439" s="61"/>
      <c r="P1439" s="69" t="str">
        <f t="shared" si="112"/>
        <v>Hutang Pajak PPN</v>
      </c>
      <c r="Q1439" s="61"/>
    </row>
    <row r="1440" spans="1:17" hidden="1" x14ac:dyDescent="0.25">
      <c r="A1440" s="60" t="str">
        <f t="shared" si="110"/>
        <v>186211,01</v>
      </c>
      <c r="B1440" s="60">
        <f>COUNTIF($J$7:J1440,J1440)</f>
        <v>186</v>
      </c>
      <c r="C1440" s="60" t="str">
        <f t="shared" si="111"/>
        <v>0</v>
      </c>
      <c r="D1440" s="60">
        <f>COUNTIF($K$7:K1440,K1440)</f>
        <v>0</v>
      </c>
      <c r="E1440" s="61"/>
      <c r="F1440" s="227">
        <v>44617</v>
      </c>
      <c r="G1440" s="228"/>
      <c r="H1440" s="228" t="s">
        <v>855</v>
      </c>
      <c r="I1440" s="228" t="s">
        <v>18</v>
      </c>
      <c r="J1440" s="67">
        <v>211.01</v>
      </c>
      <c r="K1440" s="65"/>
      <c r="L1440" s="224"/>
      <c r="M1440" s="231">
        <v>177000</v>
      </c>
      <c r="N1440" s="231"/>
      <c r="O1440" s="61"/>
      <c r="P1440" s="69" t="str">
        <f t="shared" si="112"/>
        <v>Hutang Pajak PPN</v>
      </c>
      <c r="Q1440" s="61"/>
    </row>
    <row r="1441" spans="1:17" hidden="1" x14ac:dyDescent="0.25">
      <c r="A1441" s="60" t="str">
        <f t="shared" si="110"/>
        <v>187211,01</v>
      </c>
      <c r="B1441" s="60">
        <f>COUNTIF($J$7:J1441,J1441)</f>
        <v>187</v>
      </c>
      <c r="C1441" s="60" t="str">
        <f t="shared" si="111"/>
        <v>0</v>
      </c>
      <c r="D1441" s="60">
        <f>COUNTIF($K$7:K1441,K1441)</f>
        <v>0</v>
      </c>
      <c r="E1441" s="61"/>
      <c r="F1441" s="227">
        <v>44617</v>
      </c>
      <c r="G1441" s="228"/>
      <c r="H1441" s="228" t="s">
        <v>855</v>
      </c>
      <c r="I1441" s="228" t="s">
        <v>18</v>
      </c>
      <c r="J1441" s="67">
        <v>211.01</v>
      </c>
      <c r="K1441" s="65"/>
      <c r="L1441" s="224"/>
      <c r="M1441" s="231">
        <v>354000</v>
      </c>
      <c r="N1441" s="231"/>
      <c r="O1441" s="61"/>
      <c r="P1441" s="69" t="str">
        <f t="shared" si="112"/>
        <v>Hutang Pajak PPN</v>
      </c>
      <c r="Q1441" s="61"/>
    </row>
    <row r="1442" spans="1:17" hidden="1" x14ac:dyDescent="0.25">
      <c r="A1442" s="60" t="str">
        <f t="shared" si="110"/>
        <v>188211,01</v>
      </c>
      <c r="B1442" s="60">
        <f>COUNTIF($J$7:J1442,J1442)</f>
        <v>188</v>
      </c>
      <c r="C1442" s="60" t="str">
        <f t="shared" si="111"/>
        <v>0</v>
      </c>
      <c r="D1442" s="60">
        <f>COUNTIF($K$7:K1442,K1442)</f>
        <v>0</v>
      </c>
      <c r="E1442" s="61"/>
      <c r="F1442" s="227">
        <v>44617</v>
      </c>
      <c r="G1442" s="228"/>
      <c r="H1442" s="228" t="s">
        <v>855</v>
      </c>
      <c r="I1442" s="228" t="s">
        <v>18</v>
      </c>
      <c r="J1442" s="67">
        <v>211.01</v>
      </c>
      <c r="K1442" s="65"/>
      <c r="L1442" s="224"/>
      <c r="M1442" s="231">
        <v>354000</v>
      </c>
      <c r="N1442" s="231"/>
      <c r="O1442" s="61"/>
      <c r="P1442" s="69" t="str">
        <f t="shared" si="112"/>
        <v>Hutang Pajak PPN</v>
      </c>
      <c r="Q1442" s="61"/>
    </row>
    <row r="1443" spans="1:17" hidden="1" x14ac:dyDescent="0.25">
      <c r="A1443" s="60" t="str">
        <f t="shared" si="110"/>
        <v>189211,01</v>
      </c>
      <c r="B1443" s="60">
        <f>COUNTIF($J$7:J1443,J1443)</f>
        <v>189</v>
      </c>
      <c r="C1443" s="60" t="str">
        <f t="shared" si="111"/>
        <v>0</v>
      </c>
      <c r="D1443" s="60">
        <f>COUNTIF($K$7:K1443,K1443)</f>
        <v>0</v>
      </c>
      <c r="E1443" s="61"/>
      <c r="F1443" s="227">
        <v>44617</v>
      </c>
      <c r="G1443" s="228"/>
      <c r="H1443" s="228" t="s">
        <v>855</v>
      </c>
      <c r="I1443" s="228" t="s">
        <v>18</v>
      </c>
      <c r="J1443" s="67">
        <v>211.01</v>
      </c>
      <c r="K1443" s="65"/>
      <c r="L1443" s="224"/>
      <c r="M1443" s="231">
        <v>177000</v>
      </c>
      <c r="N1443" s="231"/>
      <c r="O1443" s="61"/>
      <c r="P1443" s="69" t="str">
        <f t="shared" si="112"/>
        <v>Hutang Pajak PPN</v>
      </c>
      <c r="Q1443" s="61"/>
    </row>
    <row r="1444" spans="1:17" hidden="1" x14ac:dyDescent="0.25">
      <c r="A1444" s="60" t="str">
        <f t="shared" si="110"/>
        <v>190211,01</v>
      </c>
      <c r="B1444" s="60">
        <f>COUNTIF($J$7:J1444,J1444)</f>
        <v>190</v>
      </c>
      <c r="C1444" s="60" t="str">
        <f t="shared" si="111"/>
        <v>0</v>
      </c>
      <c r="D1444" s="60">
        <f>COUNTIF($K$7:K1444,K1444)</f>
        <v>0</v>
      </c>
      <c r="E1444" s="61"/>
      <c r="F1444" s="227">
        <v>44617</v>
      </c>
      <c r="G1444" s="228"/>
      <c r="H1444" s="228" t="s">
        <v>855</v>
      </c>
      <c r="I1444" s="228" t="s">
        <v>18</v>
      </c>
      <c r="J1444" s="67">
        <v>211.01</v>
      </c>
      <c r="K1444" s="65"/>
      <c r="L1444" s="224"/>
      <c r="M1444" s="231">
        <v>209250</v>
      </c>
      <c r="N1444" s="231"/>
      <c r="O1444" s="61"/>
      <c r="P1444" s="69" t="str">
        <f t="shared" si="112"/>
        <v>Hutang Pajak PPN</v>
      </c>
      <c r="Q1444" s="61"/>
    </row>
    <row r="1445" spans="1:17" hidden="1" x14ac:dyDescent="0.25">
      <c r="A1445" s="60" t="str">
        <f t="shared" si="110"/>
        <v>191211,01</v>
      </c>
      <c r="B1445" s="60">
        <f>COUNTIF($J$7:J1445,J1445)</f>
        <v>191</v>
      </c>
      <c r="C1445" s="60" t="str">
        <f t="shared" si="111"/>
        <v>0</v>
      </c>
      <c r="D1445" s="60">
        <f>COUNTIF($K$7:K1445,K1445)</f>
        <v>0</v>
      </c>
      <c r="E1445" s="61"/>
      <c r="F1445" s="227">
        <v>44617</v>
      </c>
      <c r="G1445" s="228"/>
      <c r="H1445" s="228" t="s">
        <v>855</v>
      </c>
      <c r="I1445" s="228" t="s">
        <v>18</v>
      </c>
      <c r="J1445" s="67">
        <v>211.01</v>
      </c>
      <c r="K1445" s="65"/>
      <c r="L1445" s="224"/>
      <c r="M1445" s="231">
        <v>209250</v>
      </c>
      <c r="N1445" s="231"/>
      <c r="O1445" s="61"/>
      <c r="P1445" s="69" t="str">
        <f t="shared" si="112"/>
        <v>Hutang Pajak PPN</v>
      </c>
      <c r="Q1445" s="61"/>
    </row>
    <row r="1446" spans="1:17" hidden="1" x14ac:dyDescent="0.25">
      <c r="A1446" s="60" t="str">
        <f t="shared" si="110"/>
        <v>192211,01</v>
      </c>
      <c r="B1446" s="60">
        <f>COUNTIF($J$7:J1446,J1446)</f>
        <v>192</v>
      </c>
      <c r="C1446" s="60" t="str">
        <f t="shared" si="111"/>
        <v>0</v>
      </c>
      <c r="D1446" s="60">
        <f>COUNTIF($K$7:K1446,K1446)</f>
        <v>0</v>
      </c>
      <c r="E1446" s="61"/>
      <c r="F1446" s="227">
        <v>44617</v>
      </c>
      <c r="G1446" s="228"/>
      <c r="H1446" s="228" t="s">
        <v>855</v>
      </c>
      <c r="I1446" s="228" t="s">
        <v>18</v>
      </c>
      <c r="J1446" s="67">
        <v>211.01</v>
      </c>
      <c r="K1446" s="65"/>
      <c r="L1446" s="224"/>
      <c r="M1446" s="231">
        <v>209250</v>
      </c>
      <c r="N1446" s="231"/>
      <c r="O1446" s="61"/>
      <c r="P1446" s="69" t="str">
        <f t="shared" si="112"/>
        <v>Hutang Pajak PPN</v>
      </c>
      <c r="Q1446" s="61"/>
    </row>
    <row r="1447" spans="1:17" hidden="1" x14ac:dyDescent="0.25">
      <c r="A1447" s="60" t="str">
        <f t="shared" si="110"/>
        <v>193211,01</v>
      </c>
      <c r="B1447" s="60">
        <f>COUNTIF($J$7:J1447,J1447)</f>
        <v>193</v>
      </c>
      <c r="C1447" s="60" t="str">
        <f t="shared" si="111"/>
        <v>0</v>
      </c>
      <c r="D1447" s="60">
        <f>COUNTIF($K$7:K1447,K1447)</f>
        <v>0</v>
      </c>
      <c r="E1447" s="61"/>
      <c r="F1447" s="227">
        <v>44617</v>
      </c>
      <c r="G1447" s="228"/>
      <c r="H1447" s="228" t="s">
        <v>855</v>
      </c>
      <c r="I1447" s="228" t="s">
        <v>18</v>
      </c>
      <c r="J1447" s="67">
        <v>211.01</v>
      </c>
      <c r="K1447" s="65"/>
      <c r="L1447" s="224"/>
      <c r="M1447" s="231">
        <v>209250</v>
      </c>
      <c r="N1447" s="231"/>
      <c r="O1447" s="61"/>
      <c r="P1447" s="69" t="str">
        <f t="shared" si="112"/>
        <v>Hutang Pajak PPN</v>
      </c>
      <c r="Q1447" s="61"/>
    </row>
    <row r="1448" spans="1:17" hidden="1" x14ac:dyDescent="0.25">
      <c r="A1448" s="60" t="str">
        <f t="shared" si="110"/>
        <v>194211,01</v>
      </c>
      <c r="B1448" s="60">
        <f>COUNTIF($J$7:J1448,J1448)</f>
        <v>194</v>
      </c>
      <c r="C1448" s="60" t="str">
        <f t="shared" si="111"/>
        <v>0</v>
      </c>
      <c r="D1448" s="60">
        <f>COUNTIF($K$7:K1448,K1448)</f>
        <v>0</v>
      </c>
      <c r="E1448" s="61"/>
      <c r="F1448" s="227">
        <v>44599</v>
      </c>
      <c r="G1448" s="228"/>
      <c r="H1448" s="228" t="s">
        <v>856</v>
      </c>
      <c r="I1448" s="228" t="s">
        <v>20</v>
      </c>
      <c r="J1448" s="67">
        <v>211.01</v>
      </c>
      <c r="K1448" s="65"/>
      <c r="L1448" s="224"/>
      <c r="M1448" s="231">
        <v>328000</v>
      </c>
      <c r="N1448" s="231"/>
      <c r="O1448" s="61"/>
      <c r="P1448" s="69" t="str">
        <f t="shared" si="112"/>
        <v>Hutang Pajak PPN</v>
      </c>
      <c r="Q1448" s="61"/>
    </row>
    <row r="1449" spans="1:17" hidden="1" x14ac:dyDescent="0.25">
      <c r="A1449" s="60" t="str">
        <f t="shared" si="110"/>
        <v>195211,01</v>
      </c>
      <c r="B1449" s="60">
        <f>COUNTIF($J$7:J1449,J1449)</f>
        <v>195</v>
      </c>
      <c r="C1449" s="60" t="str">
        <f t="shared" si="111"/>
        <v>0</v>
      </c>
      <c r="D1449" s="60">
        <f>COUNTIF($K$7:K1449,K1449)</f>
        <v>0</v>
      </c>
      <c r="E1449" s="61"/>
      <c r="F1449" s="227">
        <v>44599</v>
      </c>
      <c r="G1449" s="228"/>
      <c r="H1449" s="228" t="s">
        <v>856</v>
      </c>
      <c r="I1449" s="228" t="s">
        <v>20</v>
      </c>
      <c r="J1449" s="67">
        <v>211.01</v>
      </c>
      <c r="K1449" s="65"/>
      <c r="L1449" s="224"/>
      <c r="M1449" s="231">
        <v>82000</v>
      </c>
      <c r="N1449" s="231"/>
      <c r="O1449" s="61"/>
      <c r="P1449" s="69" t="str">
        <f t="shared" si="112"/>
        <v>Hutang Pajak PPN</v>
      </c>
      <c r="Q1449" s="61"/>
    </row>
    <row r="1450" spans="1:17" hidden="1" x14ac:dyDescent="0.25">
      <c r="A1450" s="60" t="str">
        <f t="shared" si="110"/>
        <v>196211,01</v>
      </c>
      <c r="B1450" s="60">
        <f>COUNTIF($J$7:J1450,J1450)</f>
        <v>196</v>
      </c>
      <c r="C1450" s="60" t="str">
        <f t="shared" si="111"/>
        <v>0</v>
      </c>
      <c r="D1450" s="60">
        <f>COUNTIF($K$7:K1450,K1450)</f>
        <v>0</v>
      </c>
      <c r="E1450" s="61"/>
      <c r="F1450" s="227">
        <v>44599</v>
      </c>
      <c r="G1450" s="228"/>
      <c r="H1450" s="228" t="s">
        <v>857</v>
      </c>
      <c r="I1450" s="228" t="s">
        <v>20</v>
      </c>
      <c r="J1450" s="67">
        <v>211.01</v>
      </c>
      <c r="K1450" s="65"/>
      <c r="L1450" s="224"/>
      <c r="M1450" s="231">
        <v>531000</v>
      </c>
      <c r="N1450" s="231"/>
      <c r="O1450" s="61"/>
      <c r="P1450" s="69" t="str">
        <f t="shared" si="112"/>
        <v>Hutang Pajak PPN</v>
      </c>
      <c r="Q1450" s="61"/>
    </row>
    <row r="1451" spans="1:17" hidden="1" x14ac:dyDescent="0.25">
      <c r="A1451" s="60" t="str">
        <f t="shared" si="110"/>
        <v>197211,01</v>
      </c>
      <c r="B1451" s="60">
        <f>COUNTIF($J$7:J1451,J1451)</f>
        <v>197</v>
      </c>
      <c r="C1451" s="60" t="str">
        <f t="shared" si="111"/>
        <v>0</v>
      </c>
      <c r="D1451" s="60">
        <f>COUNTIF($K$7:K1451,K1451)</f>
        <v>0</v>
      </c>
      <c r="E1451" s="61"/>
      <c r="F1451" s="227">
        <v>44599</v>
      </c>
      <c r="G1451" s="228"/>
      <c r="H1451" s="228" t="s">
        <v>857</v>
      </c>
      <c r="I1451" s="228" t="s">
        <v>20</v>
      </c>
      <c r="J1451" s="67">
        <v>211.01</v>
      </c>
      <c r="K1451" s="65"/>
      <c r="L1451" s="224"/>
      <c r="M1451" s="231">
        <v>177000</v>
      </c>
      <c r="N1451" s="231"/>
      <c r="O1451" s="61"/>
      <c r="P1451" s="69" t="str">
        <f t="shared" si="112"/>
        <v>Hutang Pajak PPN</v>
      </c>
      <c r="Q1451" s="61"/>
    </row>
    <row r="1452" spans="1:17" hidden="1" x14ac:dyDescent="0.25">
      <c r="A1452" s="60" t="str">
        <f t="shared" si="110"/>
        <v>198211,01</v>
      </c>
      <c r="B1452" s="60">
        <f>COUNTIF($J$7:J1452,J1452)</f>
        <v>198</v>
      </c>
      <c r="C1452" s="60" t="str">
        <f t="shared" si="111"/>
        <v>0</v>
      </c>
      <c r="D1452" s="60">
        <f>COUNTIF($K$7:K1452,K1452)</f>
        <v>0</v>
      </c>
      <c r="E1452" s="61"/>
      <c r="F1452" s="227">
        <v>44599</v>
      </c>
      <c r="G1452" s="228"/>
      <c r="H1452" s="228" t="s">
        <v>857</v>
      </c>
      <c r="I1452" s="228" t="s">
        <v>20</v>
      </c>
      <c r="J1452" s="67">
        <v>211.01</v>
      </c>
      <c r="K1452" s="65"/>
      <c r="L1452" s="224"/>
      <c r="M1452" s="231">
        <v>177000</v>
      </c>
      <c r="N1452" s="231"/>
      <c r="O1452" s="61"/>
      <c r="P1452" s="69" t="str">
        <f t="shared" si="112"/>
        <v>Hutang Pajak PPN</v>
      </c>
      <c r="Q1452" s="61"/>
    </row>
    <row r="1453" spans="1:17" hidden="1" x14ac:dyDescent="0.25">
      <c r="A1453" s="60" t="str">
        <f t="shared" si="110"/>
        <v>199211,01</v>
      </c>
      <c r="B1453" s="60">
        <f>COUNTIF($J$7:J1453,J1453)</f>
        <v>199</v>
      </c>
      <c r="C1453" s="60" t="str">
        <f t="shared" si="111"/>
        <v>0</v>
      </c>
      <c r="D1453" s="60">
        <f>COUNTIF($K$7:K1453,K1453)</f>
        <v>0</v>
      </c>
      <c r="E1453" s="61"/>
      <c r="F1453" s="227">
        <v>44599</v>
      </c>
      <c r="G1453" s="228"/>
      <c r="H1453" s="228" t="s">
        <v>857</v>
      </c>
      <c r="I1453" s="228" t="s">
        <v>20</v>
      </c>
      <c r="J1453" s="67">
        <v>211.01</v>
      </c>
      <c r="K1453" s="65"/>
      <c r="L1453" s="224"/>
      <c r="M1453" s="231">
        <v>627750</v>
      </c>
      <c r="N1453" s="231"/>
      <c r="O1453" s="61"/>
      <c r="P1453" s="69" t="str">
        <f t="shared" si="112"/>
        <v>Hutang Pajak PPN</v>
      </c>
      <c r="Q1453" s="61"/>
    </row>
    <row r="1454" spans="1:17" hidden="1" x14ac:dyDescent="0.25">
      <c r="A1454" s="60" t="str">
        <f t="shared" si="110"/>
        <v>200211,01</v>
      </c>
      <c r="B1454" s="60">
        <f>COUNTIF($J$7:J1454,J1454)</f>
        <v>200</v>
      </c>
      <c r="C1454" s="60" t="str">
        <f t="shared" si="111"/>
        <v>0</v>
      </c>
      <c r="D1454" s="60">
        <f>COUNTIF($K$7:K1454,K1454)</f>
        <v>0</v>
      </c>
      <c r="E1454" s="61"/>
      <c r="F1454" s="227">
        <v>44599</v>
      </c>
      <c r="G1454" s="228"/>
      <c r="H1454" s="228" t="s">
        <v>857</v>
      </c>
      <c r="I1454" s="228" t="s">
        <v>20</v>
      </c>
      <c r="J1454" s="67">
        <v>211.01</v>
      </c>
      <c r="K1454" s="65"/>
      <c r="L1454" s="224"/>
      <c r="M1454" s="231">
        <v>627750</v>
      </c>
      <c r="N1454" s="231"/>
      <c r="O1454" s="61"/>
      <c r="P1454" s="69" t="str">
        <f t="shared" si="112"/>
        <v>Hutang Pajak PPN</v>
      </c>
      <c r="Q1454" s="61"/>
    </row>
    <row r="1455" spans="1:17" hidden="1" x14ac:dyDescent="0.25">
      <c r="A1455" s="60" t="str">
        <f t="shared" si="110"/>
        <v>201211,01</v>
      </c>
      <c r="B1455" s="60">
        <f>COUNTIF($J$7:J1455,J1455)</f>
        <v>201</v>
      </c>
      <c r="C1455" s="60" t="str">
        <f t="shared" si="111"/>
        <v>0</v>
      </c>
      <c r="D1455" s="60">
        <f>COUNTIF($K$7:K1455,K1455)</f>
        <v>0</v>
      </c>
      <c r="E1455" s="61"/>
      <c r="F1455" s="227">
        <v>44599</v>
      </c>
      <c r="G1455" s="228"/>
      <c r="H1455" s="228" t="s">
        <v>857</v>
      </c>
      <c r="I1455" s="228" t="s">
        <v>20</v>
      </c>
      <c r="J1455" s="67">
        <v>211.01</v>
      </c>
      <c r="K1455" s="65"/>
      <c r="L1455" s="224"/>
      <c r="M1455" s="231">
        <v>209250</v>
      </c>
      <c r="N1455" s="231"/>
      <c r="O1455" s="61"/>
      <c r="P1455" s="69" t="str">
        <f t="shared" si="112"/>
        <v>Hutang Pajak PPN</v>
      </c>
      <c r="Q1455" s="61"/>
    </row>
    <row r="1456" spans="1:17" hidden="1" x14ac:dyDescent="0.25">
      <c r="A1456" s="60" t="str">
        <f t="shared" si="110"/>
        <v>202211,01</v>
      </c>
      <c r="B1456" s="60">
        <f>COUNTIF($J$7:J1456,J1456)</f>
        <v>202</v>
      </c>
      <c r="C1456" s="60" t="str">
        <f t="shared" si="111"/>
        <v>0</v>
      </c>
      <c r="D1456" s="60">
        <f>COUNTIF($K$7:K1456,K1456)</f>
        <v>0</v>
      </c>
      <c r="E1456" s="61"/>
      <c r="F1456" s="227">
        <v>44601</v>
      </c>
      <c r="G1456" s="228"/>
      <c r="H1456" s="228" t="s">
        <v>858</v>
      </c>
      <c r="I1456" s="228" t="s">
        <v>20</v>
      </c>
      <c r="J1456" s="67">
        <v>211.01</v>
      </c>
      <c r="K1456" s="65"/>
      <c r="L1456" s="224"/>
      <c r="M1456" s="231">
        <v>531000</v>
      </c>
      <c r="N1456" s="231"/>
      <c r="O1456" s="61"/>
      <c r="P1456" s="69" t="str">
        <f t="shared" si="112"/>
        <v>Hutang Pajak PPN</v>
      </c>
      <c r="Q1456" s="61"/>
    </row>
    <row r="1457" spans="1:17" hidden="1" x14ac:dyDescent="0.25">
      <c r="A1457" s="60" t="str">
        <f t="shared" si="110"/>
        <v>203211,01</v>
      </c>
      <c r="B1457" s="60">
        <f>COUNTIF($J$7:J1457,J1457)</f>
        <v>203</v>
      </c>
      <c r="C1457" s="60" t="str">
        <f t="shared" si="111"/>
        <v>0</v>
      </c>
      <c r="D1457" s="60">
        <f>COUNTIF($K$7:K1457,K1457)</f>
        <v>0</v>
      </c>
      <c r="E1457" s="61"/>
      <c r="F1457" s="227">
        <v>44601</v>
      </c>
      <c r="G1457" s="228"/>
      <c r="H1457" s="228" t="s">
        <v>858</v>
      </c>
      <c r="I1457" s="228" t="s">
        <v>20</v>
      </c>
      <c r="J1457" s="67">
        <v>211.01</v>
      </c>
      <c r="K1457" s="65"/>
      <c r="L1457" s="224"/>
      <c r="M1457" s="231">
        <v>418500</v>
      </c>
      <c r="N1457" s="231"/>
      <c r="O1457" s="61"/>
      <c r="P1457" s="69" t="str">
        <f t="shared" si="112"/>
        <v>Hutang Pajak PPN</v>
      </c>
      <c r="Q1457" s="61"/>
    </row>
    <row r="1458" spans="1:17" hidden="1" x14ac:dyDescent="0.25">
      <c r="A1458" s="60" t="str">
        <f t="shared" si="110"/>
        <v>204211,01</v>
      </c>
      <c r="B1458" s="60">
        <f>COUNTIF($J$7:J1458,J1458)</f>
        <v>204</v>
      </c>
      <c r="C1458" s="60" t="str">
        <f t="shared" si="111"/>
        <v>0</v>
      </c>
      <c r="D1458" s="60">
        <f>COUNTIF($K$7:K1458,K1458)</f>
        <v>0</v>
      </c>
      <c r="E1458" s="61"/>
      <c r="F1458" s="227">
        <v>44601</v>
      </c>
      <c r="G1458" s="228"/>
      <c r="H1458" s="228" t="s">
        <v>858</v>
      </c>
      <c r="I1458" s="228" t="s">
        <v>20</v>
      </c>
      <c r="J1458" s="67">
        <v>211.01</v>
      </c>
      <c r="K1458" s="65"/>
      <c r="L1458" s="224"/>
      <c r="M1458" s="231">
        <v>418500</v>
      </c>
      <c r="N1458" s="231"/>
      <c r="O1458" s="61"/>
      <c r="P1458" s="69" t="str">
        <f t="shared" si="112"/>
        <v>Hutang Pajak PPN</v>
      </c>
      <c r="Q1458" s="61"/>
    </row>
    <row r="1459" spans="1:17" hidden="1" x14ac:dyDescent="0.25">
      <c r="A1459" s="60" t="str">
        <f t="shared" si="110"/>
        <v>205211,01</v>
      </c>
      <c r="B1459" s="60">
        <f>COUNTIF($J$7:J1459,J1459)</f>
        <v>205</v>
      </c>
      <c r="C1459" s="60" t="str">
        <f t="shared" si="111"/>
        <v>0</v>
      </c>
      <c r="D1459" s="60">
        <f>COUNTIF($K$7:K1459,K1459)</f>
        <v>0</v>
      </c>
      <c r="E1459" s="61"/>
      <c r="F1459" s="227">
        <v>44601</v>
      </c>
      <c r="G1459" s="228"/>
      <c r="H1459" s="228" t="s">
        <v>858</v>
      </c>
      <c r="I1459" s="228" t="s">
        <v>20</v>
      </c>
      <c r="J1459" s="67">
        <v>211.01</v>
      </c>
      <c r="K1459" s="65"/>
      <c r="L1459" s="224"/>
      <c r="M1459" s="231">
        <v>418500</v>
      </c>
      <c r="N1459" s="231"/>
      <c r="O1459" s="61"/>
      <c r="P1459" s="69" t="str">
        <f t="shared" si="112"/>
        <v>Hutang Pajak PPN</v>
      </c>
      <c r="Q1459" s="61"/>
    </row>
    <row r="1460" spans="1:17" hidden="1" x14ac:dyDescent="0.25">
      <c r="A1460" s="60" t="str">
        <f t="shared" si="110"/>
        <v>206211,01</v>
      </c>
      <c r="B1460" s="60">
        <f>COUNTIF($J$7:J1460,J1460)</f>
        <v>206</v>
      </c>
      <c r="C1460" s="60" t="str">
        <f t="shared" si="111"/>
        <v>0</v>
      </c>
      <c r="D1460" s="60">
        <f>COUNTIF($K$7:K1460,K1460)</f>
        <v>0</v>
      </c>
      <c r="E1460" s="61"/>
      <c r="F1460" s="227">
        <v>44601</v>
      </c>
      <c r="G1460" s="228"/>
      <c r="H1460" s="228" t="s">
        <v>859</v>
      </c>
      <c r="I1460" s="228" t="s">
        <v>20</v>
      </c>
      <c r="J1460" s="67">
        <v>211.01</v>
      </c>
      <c r="K1460" s="65"/>
      <c r="L1460" s="224"/>
      <c r="M1460" s="231">
        <v>1046250</v>
      </c>
      <c r="N1460" s="231"/>
      <c r="O1460" s="61"/>
      <c r="P1460" s="69" t="str">
        <f t="shared" si="112"/>
        <v>Hutang Pajak PPN</v>
      </c>
      <c r="Q1460" s="61"/>
    </row>
    <row r="1461" spans="1:17" hidden="1" x14ac:dyDescent="0.25">
      <c r="A1461" s="60" t="str">
        <f t="shared" si="110"/>
        <v>207211,01</v>
      </c>
      <c r="B1461" s="60">
        <f>COUNTIF($J$7:J1461,J1461)</f>
        <v>207</v>
      </c>
      <c r="C1461" s="60" t="str">
        <f t="shared" si="111"/>
        <v>0</v>
      </c>
      <c r="D1461" s="60">
        <f>COUNTIF($K$7:K1461,K1461)</f>
        <v>0</v>
      </c>
      <c r="E1461" s="61"/>
      <c r="F1461" s="227">
        <v>44601</v>
      </c>
      <c r="G1461" s="228"/>
      <c r="H1461" s="228" t="s">
        <v>859</v>
      </c>
      <c r="I1461" s="228" t="s">
        <v>20</v>
      </c>
      <c r="J1461" s="67">
        <v>211.01</v>
      </c>
      <c r="K1461" s="65"/>
      <c r="L1461" s="224"/>
      <c r="M1461" s="231">
        <v>1046250</v>
      </c>
      <c r="N1461" s="231"/>
      <c r="O1461" s="61"/>
      <c r="P1461" s="69" t="str">
        <f t="shared" si="112"/>
        <v>Hutang Pajak PPN</v>
      </c>
      <c r="Q1461" s="61"/>
    </row>
    <row r="1462" spans="1:17" hidden="1" x14ac:dyDescent="0.25">
      <c r="A1462" s="60" t="str">
        <f t="shared" si="110"/>
        <v>208211,01</v>
      </c>
      <c r="B1462" s="60">
        <f>COUNTIF($J$7:J1462,J1462)</f>
        <v>208</v>
      </c>
      <c r="C1462" s="60" t="str">
        <f t="shared" si="111"/>
        <v>0</v>
      </c>
      <c r="D1462" s="60">
        <f>COUNTIF($K$7:K1462,K1462)</f>
        <v>0</v>
      </c>
      <c r="E1462" s="61"/>
      <c r="F1462" s="227">
        <v>44601</v>
      </c>
      <c r="G1462" s="228"/>
      <c r="H1462" s="228" t="s">
        <v>859</v>
      </c>
      <c r="I1462" s="228" t="s">
        <v>20</v>
      </c>
      <c r="J1462" s="67">
        <v>211.01</v>
      </c>
      <c r="K1462" s="65"/>
      <c r="L1462" s="224"/>
      <c r="M1462" s="231">
        <v>209250</v>
      </c>
      <c r="N1462" s="231"/>
      <c r="O1462" s="61"/>
      <c r="P1462" s="69" t="str">
        <f t="shared" si="112"/>
        <v>Hutang Pajak PPN</v>
      </c>
      <c r="Q1462" s="61"/>
    </row>
    <row r="1463" spans="1:17" hidden="1" x14ac:dyDescent="0.25">
      <c r="A1463" s="60" t="str">
        <f t="shared" si="110"/>
        <v>209211,01</v>
      </c>
      <c r="B1463" s="60">
        <f>COUNTIF($J$7:J1463,J1463)</f>
        <v>209</v>
      </c>
      <c r="C1463" s="60" t="str">
        <f t="shared" si="111"/>
        <v>0</v>
      </c>
      <c r="D1463" s="60">
        <f>COUNTIF($K$7:K1463,K1463)</f>
        <v>0</v>
      </c>
      <c r="E1463" s="61"/>
      <c r="F1463" s="227">
        <v>44610</v>
      </c>
      <c r="G1463" s="228"/>
      <c r="H1463" s="228" t="s">
        <v>860</v>
      </c>
      <c r="I1463" s="228" t="s">
        <v>20</v>
      </c>
      <c r="J1463" s="67">
        <v>211.01</v>
      </c>
      <c r="K1463" s="65"/>
      <c r="L1463" s="224"/>
      <c r="M1463" s="231">
        <v>418500</v>
      </c>
      <c r="N1463" s="231"/>
      <c r="O1463" s="61"/>
      <c r="P1463" s="69" t="str">
        <f t="shared" si="112"/>
        <v>Hutang Pajak PPN</v>
      </c>
      <c r="Q1463" s="61"/>
    </row>
    <row r="1464" spans="1:17" hidden="1" x14ac:dyDescent="0.25">
      <c r="A1464" s="60" t="str">
        <f t="shared" si="110"/>
        <v>210211,01</v>
      </c>
      <c r="B1464" s="60">
        <f>COUNTIF($J$7:J1464,J1464)</f>
        <v>210</v>
      </c>
      <c r="C1464" s="60" t="str">
        <f t="shared" si="111"/>
        <v>0</v>
      </c>
      <c r="D1464" s="60">
        <f>COUNTIF($K$7:K1464,K1464)</f>
        <v>0</v>
      </c>
      <c r="E1464" s="61"/>
      <c r="F1464" s="227">
        <v>44610</v>
      </c>
      <c r="G1464" s="228"/>
      <c r="H1464" s="228" t="s">
        <v>860</v>
      </c>
      <c r="I1464" s="228" t="s">
        <v>20</v>
      </c>
      <c r="J1464" s="67">
        <v>211.01</v>
      </c>
      <c r="K1464" s="65"/>
      <c r="L1464" s="224"/>
      <c r="M1464" s="231">
        <v>627750</v>
      </c>
      <c r="N1464" s="231"/>
      <c r="O1464" s="61"/>
      <c r="P1464" s="69" t="str">
        <f t="shared" si="112"/>
        <v>Hutang Pajak PPN</v>
      </c>
      <c r="Q1464" s="61"/>
    </row>
    <row r="1465" spans="1:17" hidden="1" x14ac:dyDescent="0.25">
      <c r="A1465" s="60" t="str">
        <f t="shared" si="110"/>
        <v>211211,01</v>
      </c>
      <c r="B1465" s="60">
        <f>COUNTIF($J$7:J1465,J1465)</f>
        <v>211</v>
      </c>
      <c r="C1465" s="60" t="str">
        <f t="shared" si="111"/>
        <v>0</v>
      </c>
      <c r="D1465" s="60">
        <f>COUNTIF($K$7:K1465,K1465)</f>
        <v>0</v>
      </c>
      <c r="E1465" s="61"/>
      <c r="F1465" s="227">
        <v>44610</v>
      </c>
      <c r="G1465" s="228"/>
      <c r="H1465" s="228" t="s">
        <v>860</v>
      </c>
      <c r="I1465" s="228" t="s">
        <v>20</v>
      </c>
      <c r="J1465" s="67">
        <v>211.01</v>
      </c>
      <c r="K1465" s="65"/>
      <c r="L1465" s="224"/>
      <c r="M1465" s="231">
        <v>627750</v>
      </c>
      <c r="N1465" s="231"/>
      <c r="O1465" s="61"/>
      <c r="P1465" s="69" t="str">
        <f t="shared" si="112"/>
        <v>Hutang Pajak PPN</v>
      </c>
      <c r="Q1465" s="61"/>
    </row>
    <row r="1466" spans="1:17" hidden="1" x14ac:dyDescent="0.25">
      <c r="A1466" s="60" t="str">
        <f t="shared" si="110"/>
        <v>212211,01</v>
      </c>
      <c r="B1466" s="60">
        <f>COUNTIF($J$7:J1466,J1466)</f>
        <v>212</v>
      </c>
      <c r="C1466" s="60" t="str">
        <f t="shared" si="111"/>
        <v>0</v>
      </c>
      <c r="D1466" s="60">
        <f>COUNTIF($K$7:K1466,K1466)</f>
        <v>0</v>
      </c>
      <c r="E1466" s="61"/>
      <c r="F1466" s="227">
        <v>44610</v>
      </c>
      <c r="G1466" s="228"/>
      <c r="H1466" s="228" t="s">
        <v>860</v>
      </c>
      <c r="I1466" s="228" t="s">
        <v>20</v>
      </c>
      <c r="J1466" s="67">
        <v>211.01</v>
      </c>
      <c r="K1466" s="65"/>
      <c r="L1466" s="224"/>
      <c r="M1466" s="231">
        <v>209250</v>
      </c>
      <c r="N1466" s="231"/>
      <c r="O1466" s="61"/>
      <c r="P1466" s="69" t="str">
        <f t="shared" si="112"/>
        <v>Hutang Pajak PPN</v>
      </c>
      <c r="Q1466" s="61"/>
    </row>
    <row r="1467" spans="1:17" hidden="1" x14ac:dyDescent="0.25">
      <c r="A1467" s="60" t="str">
        <f t="shared" si="110"/>
        <v>213211,01</v>
      </c>
      <c r="B1467" s="60">
        <f>COUNTIF($J$7:J1467,J1467)</f>
        <v>213</v>
      </c>
      <c r="C1467" s="60" t="str">
        <f t="shared" si="111"/>
        <v>0</v>
      </c>
      <c r="D1467" s="60">
        <f>COUNTIF($K$7:K1467,K1467)</f>
        <v>0</v>
      </c>
      <c r="E1467" s="61"/>
      <c r="F1467" s="227">
        <v>44610</v>
      </c>
      <c r="G1467" s="228"/>
      <c r="H1467" s="228" t="s">
        <v>860</v>
      </c>
      <c r="I1467" s="228" t="s">
        <v>20</v>
      </c>
      <c r="J1467" s="67">
        <v>211.01</v>
      </c>
      <c r="K1467" s="65"/>
      <c r="L1467" s="224"/>
      <c r="M1467" s="231">
        <v>354000</v>
      </c>
      <c r="N1467" s="231"/>
      <c r="O1467" s="61"/>
      <c r="P1467" s="69" t="str">
        <f t="shared" si="112"/>
        <v>Hutang Pajak PPN</v>
      </c>
      <c r="Q1467" s="61"/>
    </row>
    <row r="1468" spans="1:17" hidden="1" x14ac:dyDescent="0.25">
      <c r="A1468" s="60" t="str">
        <f t="shared" si="110"/>
        <v>214211,01</v>
      </c>
      <c r="B1468" s="60">
        <f>COUNTIF($J$7:J1468,J1468)</f>
        <v>214</v>
      </c>
      <c r="C1468" s="60" t="str">
        <f t="shared" si="111"/>
        <v>0</v>
      </c>
      <c r="D1468" s="60">
        <f>COUNTIF($K$7:K1468,K1468)</f>
        <v>0</v>
      </c>
      <c r="E1468" s="61"/>
      <c r="F1468" s="227">
        <v>44610</v>
      </c>
      <c r="G1468" s="228"/>
      <c r="H1468" s="228" t="s">
        <v>861</v>
      </c>
      <c r="I1468" s="228" t="s">
        <v>20</v>
      </c>
      <c r="J1468" s="67">
        <v>211.01</v>
      </c>
      <c r="K1468" s="65"/>
      <c r="L1468" s="224"/>
      <c r="M1468" s="231">
        <v>328000</v>
      </c>
      <c r="N1468" s="231"/>
      <c r="O1468" s="61"/>
      <c r="P1468" s="69" t="str">
        <f t="shared" si="112"/>
        <v>Hutang Pajak PPN</v>
      </c>
      <c r="Q1468" s="61"/>
    </row>
    <row r="1469" spans="1:17" hidden="1" x14ac:dyDescent="0.25">
      <c r="A1469" s="60" t="str">
        <f t="shared" si="110"/>
        <v>215211,01</v>
      </c>
      <c r="B1469" s="60">
        <f>COUNTIF($J$7:J1469,J1469)</f>
        <v>215</v>
      </c>
      <c r="C1469" s="60" t="str">
        <f t="shared" si="111"/>
        <v>0</v>
      </c>
      <c r="D1469" s="60">
        <f>COUNTIF($K$7:K1469,K1469)</f>
        <v>0</v>
      </c>
      <c r="E1469" s="61"/>
      <c r="F1469" s="227">
        <v>44610</v>
      </c>
      <c r="G1469" s="228"/>
      <c r="H1469" s="228" t="s">
        <v>861</v>
      </c>
      <c r="I1469" s="228" t="s">
        <v>20</v>
      </c>
      <c r="J1469" s="67">
        <v>211.01</v>
      </c>
      <c r="K1469" s="65"/>
      <c r="L1469" s="224"/>
      <c r="M1469" s="231">
        <v>82000</v>
      </c>
      <c r="N1469" s="231"/>
      <c r="O1469" s="61"/>
      <c r="P1469" s="69" t="str">
        <f t="shared" si="112"/>
        <v>Hutang Pajak PPN</v>
      </c>
      <c r="Q1469" s="61"/>
    </row>
    <row r="1470" spans="1:17" hidden="1" x14ac:dyDescent="0.25">
      <c r="A1470" s="60" t="str">
        <f t="shared" si="110"/>
        <v>216211,01</v>
      </c>
      <c r="B1470" s="60">
        <f>COUNTIF($J$7:J1470,J1470)</f>
        <v>216</v>
      </c>
      <c r="C1470" s="60" t="str">
        <f t="shared" si="111"/>
        <v>0</v>
      </c>
      <c r="D1470" s="60">
        <f>COUNTIF($K$7:K1470,K1470)</f>
        <v>0</v>
      </c>
      <c r="E1470" s="61"/>
      <c r="F1470" s="227">
        <v>44600</v>
      </c>
      <c r="G1470" s="228"/>
      <c r="H1470" s="228" t="s">
        <v>862</v>
      </c>
      <c r="I1470" s="228" t="s">
        <v>863</v>
      </c>
      <c r="J1470" s="67">
        <v>211.01</v>
      </c>
      <c r="K1470" s="65"/>
      <c r="L1470" s="224"/>
      <c r="M1470" s="231">
        <v>2190000</v>
      </c>
      <c r="N1470" s="231"/>
      <c r="O1470" s="61"/>
      <c r="P1470" s="69" t="str">
        <f t="shared" si="112"/>
        <v>Hutang Pajak PPN</v>
      </c>
      <c r="Q1470" s="61"/>
    </row>
    <row r="1471" spans="1:17" hidden="1" x14ac:dyDescent="0.25">
      <c r="A1471" s="60" t="str">
        <f t="shared" si="110"/>
        <v>217211,01</v>
      </c>
      <c r="B1471" s="60">
        <f>COUNTIF($J$7:J1471,J1471)</f>
        <v>217</v>
      </c>
      <c r="C1471" s="60" t="str">
        <f t="shared" si="111"/>
        <v>0</v>
      </c>
      <c r="D1471" s="60">
        <f>COUNTIF($K$7:K1471,K1471)</f>
        <v>0</v>
      </c>
      <c r="E1471" s="61"/>
      <c r="F1471" s="227">
        <v>44600</v>
      </c>
      <c r="G1471" s="228"/>
      <c r="H1471" s="228" t="s">
        <v>862</v>
      </c>
      <c r="I1471" s="228" t="s">
        <v>863</v>
      </c>
      <c r="J1471" s="67">
        <v>211.01</v>
      </c>
      <c r="K1471" s="65"/>
      <c r="L1471" s="224"/>
      <c r="M1471" s="231">
        <v>1095000</v>
      </c>
      <c r="N1471" s="231"/>
      <c r="O1471" s="61"/>
      <c r="P1471" s="69" t="str">
        <f t="shared" si="112"/>
        <v>Hutang Pajak PPN</v>
      </c>
      <c r="Q1471" s="61"/>
    </row>
    <row r="1472" spans="1:17" hidden="1" x14ac:dyDescent="0.25">
      <c r="A1472" s="60" t="str">
        <f t="shared" si="110"/>
        <v>218211,01</v>
      </c>
      <c r="B1472" s="60">
        <f>COUNTIF($J$7:J1472,J1472)</f>
        <v>218</v>
      </c>
      <c r="C1472" s="60" t="str">
        <f t="shared" si="111"/>
        <v>0</v>
      </c>
      <c r="D1472" s="60">
        <f>COUNTIF($K$7:K1472,K1472)</f>
        <v>0</v>
      </c>
      <c r="E1472" s="61"/>
      <c r="F1472" s="227">
        <v>44600</v>
      </c>
      <c r="G1472" s="228"/>
      <c r="H1472" s="228" t="s">
        <v>862</v>
      </c>
      <c r="I1472" s="228" t="s">
        <v>863</v>
      </c>
      <c r="J1472" s="67">
        <v>211.01</v>
      </c>
      <c r="K1472" s="65"/>
      <c r="L1472" s="224"/>
      <c r="M1472" s="231">
        <v>657000</v>
      </c>
      <c r="N1472" s="231"/>
      <c r="O1472" s="61"/>
      <c r="P1472" s="69" t="str">
        <f t="shared" si="112"/>
        <v>Hutang Pajak PPN</v>
      </c>
      <c r="Q1472" s="61"/>
    </row>
    <row r="1473" spans="1:17" hidden="1" x14ac:dyDescent="0.25">
      <c r="A1473" s="60" t="str">
        <f t="shared" si="110"/>
        <v>219211,01</v>
      </c>
      <c r="B1473" s="60">
        <f>COUNTIF($J$7:J1473,J1473)</f>
        <v>219</v>
      </c>
      <c r="C1473" s="60" t="str">
        <f t="shared" si="111"/>
        <v>0</v>
      </c>
      <c r="D1473" s="60">
        <f>COUNTIF($K$7:K1473,K1473)</f>
        <v>0</v>
      </c>
      <c r="E1473" s="61"/>
      <c r="F1473" s="227">
        <v>44600</v>
      </c>
      <c r="G1473" s="228"/>
      <c r="H1473" s="228" t="s">
        <v>862</v>
      </c>
      <c r="I1473" s="228" t="s">
        <v>863</v>
      </c>
      <c r="J1473" s="67">
        <v>211.01</v>
      </c>
      <c r="K1473" s="65"/>
      <c r="L1473" s="224"/>
      <c r="M1473" s="231">
        <v>1815000</v>
      </c>
      <c r="N1473" s="231"/>
      <c r="O1473" s="61"/>
      <c r="P1473" s="69" t="str">
        <f t="shared" si="112"/>
        <v>Hutang Pajak PPN</v>
      </c>
      <c r="Q1473" s="61"/>
    </row>
    <row r="1474" spans="1:17" hidden="1" x14ac:dyDescent="0.25">
      <c r="A1474" s="60" t="str">
        <f t="shared" si="110"/>
        <v>220211,01</v>
      </c>
      <c r="B1474" s="60">
        <f>COUNTIF($J$7:J1474,J1474)</f>
        <v>220</v>
      </c>
      <c r="C1474" s="60" t="str">
        <f t="shared" si="111"/>
        <v>0</v>
      </c>
      <c r="D1474" s="60">
        <f>COUNTIF($K$7:K1474,K1474)</f>
        <v>0</v>
      </c>
      <c r="E1474" s="61"/>
      <c r="F1474" s="227">
        <v>44600</v>
      </c>
      <c r="G1474" s="228"/>
      <c r="H1474" s="228" t="s">
        <v>862</v>
      </c>
      <c r="I1474" s="228" t="s">
        <v>863</v>
      </c>
      <c r="J1474" s="67">
        <v>211.01</v>
      </c>
      <c r="K1474" s="65"/>
      <c r="L1474" s="224"/>
      <c r="M1474" s="231">
        <v>907500</v>
      </c>
      <c r="N1474" s="231"/>
      <c r="O1474" s="61"/>
      <c r="P1474" s="69" t="str">
        <f t="shared" si="112"/>
        <v>Hutang Pajak PPN</v>
      </c>
      <c r="Q1474" s="61"/>
    </row>
    <row r="1475" spans="1:17" hidden="1" x14ac:dyDescent="0.25">
      <c r="A1475" s="60" t="str">
        <f t="shared" si="110"/>
        <v>221211,01</v>
      </c>
      <c r="B1475" s="60">
        <f>COUNTIF($J$7:J1475,J1475)</f>
        <v>221</v>
      </c>
      <c r="C1475" s="60" t="str">
        <f t="shared" si="111"/>
        <v>0</v>
      </c>
      <c r="D1475" s="60">
        <f>COUNTIF($K$7:K1475,K1475)</f>
        <v>0</v>
      </c>
      <c r="E1475" s="61"/>
      <c r="F1475" s="227">
        <v>44600</v>
      </c>
      <c r="G1475" s="228"/>
      <c r="H1475" s="228" t="s">
        <v>862</v>
      </c>
      <c r="I1475" s="228" t="s">
        <v>863</v>
      </c>
      <c r="J1475" s="67">
        <v>211.01</v>
      </c>
      <c r="K1475" s="65"/>
      <c r="L1475" s="224"/>
      <c r="M1475" s="231">
        <v>3942000</v>
      </c>
      <c r="N1475" s="231"/>
      <c r="O1475" s="61"/>
      <c r="P1475" s="69" t="str">
        <f t="shared" si="112"/>
        <v>Hutang Pajak PPN</v>
      </c>
      <c r="Q1475" s="61"/>
    </row>
    <row r="1476" spans="1:17" hidden="1" x14ac:dyDescent="0.25">
      <c r="A1476" s="60" t="str">
        <f t="shared" si="110"/>
        <v>222211,01</v>
      </c>
      <c r="B1476" s="60">
        <f>COUNTIF($J$7:J1476,J1476)</f>
        <v>222</v>
      </c>
      <c r="C1476" s="60" t="str">
        <f t="shared" si="111"/>
        <v>0</v>
      </c>
      <c r="D1476" s="60">
        <f>COUNTIF($K$7:K1476,K1476)</f>
        <v>0</v>
      </c>
      <c r="E1476" s="61"/>
      <c r="F1476" s="227">
        <v>44600</v>
      </c>
      <c r="G1476" s="228"/>
      <c r="H1476" s="228" t="s">
        <v>862</v>
      </c>
      <c r="I1476" s="228" t="s">
        <v>863</v>
      </c>
      <c r="J1476" s="67">
        <v>211.01</v>
      </c>
      <c r="K1476" s="65"/>
      <c r="L1476" s="224"/>
      <c r="M1476" s="231">
        <v>438000</v>
      </c>
      <c r="N1476" s="231"/>
      <c r="O1476" s="61"/>
      <c r="P1476" s="69" t="str">
        <f t="shared" si="112"/>
        <v>Hutang Pajak PPN</v>
      </c>
      <c r="Q1476" s="61"/>
    </row>
    <row r="1477" spans="1:17" hidden="1" x14ac:dyDescent="0.25">
      <c r="A1477" s="60" t="str">
        <f t="shared" si="110"/>
        <v>223211,01</v>
      </c>
      <c r="B1477" s="60">
        <f>COUNTIF($J$7:J1477,J1477)</f>
        <v>223</v>
      </c>
      <c r="C1477" s="60" t="str">
        <f t="shared" si="111"/>
        <v>0</v>
      </c>
      <c r="D1477" s="60">
        <f>COUNTIF($K$7:K1477,K1477)</f>
        <v>0</v>
      </c>
      <c r="E1477" s="61"/>
      <c r="F1477" s="227">
        <v>44594</v>
      </c>
      <c r="G1477" s="228"/>
      <c r="H1477" s="228" t="s">
        <v>864</v>
      </c>
      <c r="I1477" s="228" t="s">
        <v>26</v>
      </c>
      <c r="J1477" s="67">
        <v>211.01</v>
      </c>
      <c r="K1477" s="65"/>
      <c r="L1477" s="224"/>
      <c r="M1477" s="231">
        <v>170000</v>
      </c>
      <c r="N1477" s="231"/>
      <c r="O1477" s="61"/>
      <c r="P1477" s="69" t="str">
        <f t="shared" si="112"/>
        <v>Hutang Pajak PPN</v>
      </c>
      <c r="Q1477" s="61"/>
    </row>
    <row r="1478" spans="1:17" hidden="1" x14ac:dyDescent="0.25">
      <c r="A1478" s="60" t="str">
        <f t="shared" si="110"/>
        <v>224211,01</v>
      </c>
      <c r="B1478" s="60">
        <f>COUNTIF($J$7:J1478,J1478)</f>
        <v>224</v>
      </c>
      <c r="C1478" s="60" t="str">
        <f t="shared" si="111"/>
        <v>0</v>
      </c>
      <c r="D1478" s="60">
        <f>COUNTIF($K$7:K1478,K1478)</f>
        <v>0</v>
      </c>
      <c r="E1478" s="61"/>
      <c r="F1478" s="227">
        <v>44601</v>
      </c>
      <c r="G1478" s="228"/>
      <c r="H1478" s="228" t="s">
        <v>865</v>
      </c>
      <c r="I1478" s="228" t="s">
        <v>26</v>
      </c>
      <c r="J1478" s="67">
        <v>211.01</v>
      </c>
      <c r="K1478" s="65"/>
      <c r="L1478" s="224"/>
      <c r="M1478" s="231">
        <v>85000</v>
      </c>
      <c r="N1478" s="231"/>
      <c r="O1478" s="61"/>
      <c r="P1478" s="69" t="str">
        <f t="shared" si="112"/>
        <v>Hutang Pajak PPN</v>
      </c>
      <c r="Q1478" s="61"/>
    </row>
    <row r="1479" spans="1:17" hidden="1" x14ac:dyDescent="0.25">
      <c r="A1479" s="60" t="str">
        <f t="shared" ref="A1479:A1542" si="113">B1479&amp;J1479</f>
        <v>225211,01</v>
      </c>
      <c r="B1479" s="60">
        <f>COUNTIF($J$7:J1479,J1479)</f>
        <v>225</v>
      </c>
      <c r="C1479" s="60" t="str">
        <f t="shared" ref="C1479:C1542" si="114">D1479&amp;K1479</f>
        <v>0</v>
      </c>
      <c r="D1479" s="60">
        <f>COUNTIF($K$7:K1479,K1479)</f>
        <v>0</v>
      </c>
      <c r="E1479" s="61"/>
      <c r="F1479" s="227">
        <v>44601</v>
      </c>
      <c r="G1479" s="228"/>
      <c r="H1479" s="228" t="s">
        <v>865</v>
      </c>
      <c r="I1479" s="228" t="s">
        <v>26</v>
      </c>
      <c r="J1479" s="67">
        <v>211.01</v>
      </c>
      <c r="K1479" s="65"/>
      <c r="L1479" s="224"/>
      <c r="M1479" s="231">
        <v>85000</v>
      </c>
      <c r="N1479" s="231"/>
      <c r="O1479" s="61"/>
      <c r="P1479" s="69" t="str">
        <f t="shared" ref="P1479:P1542" si="115">IF(J1479=0,"-",+VLOOKUP(J1479,DAF_AKUN,2,FALSE))</f>
        <v>Hutang Pajak PPN</v>
      </c>
      <c r="Q1479" s="61"/>
    </row>
    <row r="1480" spans="1:17" hidden="1" x14ac:dyDescent="0.25">
      <c r="A1480" s="60" t="str">
        <f t="shared" si="113"/>
        <v>226211,01</v>
      </c>
      <c r="B1480" s="60">
        <f>COUNTIF($J$7:J1480,J1480)</f>
        <v>226</v>
      </c>
      <c r="C1480" s="60" t="str">
        <f t="shared" si="114"/>
        <v>0</v>
      </c>
      <c r="D1480" s="60">
        <f>COUNTIF($K$7:K1480,K1480)</f>
        <v>0</v>
      </c>
      <c r="E1480" s="61"/>
      <c r="F1480" s="227">
        <v>44613</v>
      </c>
      <c r="G1480" s="228"/>
      <c r="H1480" s="228" t="s">
        <v>866</v>
      </c>
      <c r="I1480" s="228" t="s">
        <v>26</v>
      </c>
      <c r="J1480" s="67">
        <v>211.01</v>
      </c>
      <c r="K1480" s="65"/>
      <c r="L1480" s="224"/>
      <c r="M1480" s="231">
        <v>907500</v>
      </c>
      <c r="N1480" s="231"/>
      <c r="O1480" s="61"/>
      <c r="P1480" s="69" t="str">
        <f t="shared" si="115"/>
        <v>Hutang Pajak PPN</v>
      </c>
      <c r="Q1480" s="61"/>
    </row>
    <row r="1481" spans="1:17" hidden="1" x14ac:dyDescent="0.25">
      <c r="A1481" s="60" t="str">
        <f t="shared" si="113"/>
        <v>227211,01</v>
      </c>
      <c r="B1481" s="60">
        <f>COUNTIF($J$7:J1481,J1481)</f>
        <v>227</v>
      </c>
      <c r="C1481" s="60" t="str">
        <f t="shared" si="114"/>
        <v>0</v>
      </c>
      <c r="D1481" s="60">
        <f>COUNTIF($K$7:K1481,K1481)</f>
        <v>0</v>
      </c>
      <c r="E1481" s="61"/>
      <c r="F1481" s="227">
        <v>44613</v>
      </c>
      <c r="G1481" s="228"/>
      <c r="H1481" s="228" t="s">
        <v>866</v>
      </c>
      <c r="I1481" s="228" t="s">
        <v>26</v>
      </c>
      <c r="J1481" s="67">
        <v>211.01</v>
      </c>
      <c r="K1481" s="65"/>
      <c r="L1481" s="224"/>
      <c r="M1481" s="231">
        <v>907500</v>
      </c>
      <c r="N1481" s="231"/>
      <c r="O1481" s="61"/>
      <c r="P1481" s="69" t="str">
        <f t="shared" si="115"/>
        <v>Hutang Pajak PPN</v>
      </c>
      <c r="Q1481" s="61"/>
    </row>
    <row r="1482" spans="1:17" hidden="1" x14ac:dyDescent="0.25">
      <c r="A1482" s="60" t="str">
        <f t="shared" si="113"/>
        <v>228211,01</v>
      </c>
      <c r="B1482" s="60">
        <f>COUNTIF($J$7:J1482,J1482)</f>
        <v>228</v>
      </c>
      <c r="C1482" s="60" t="str">
        <f t="shared" si="114"/>
        <v>0</v>
      </c>
      <c r="D1482" s="60">
        <f>COUNTIF($K$7:K1482,K1482)</f>
        <v>0</v>
      </c>
      <c r="E1482" s="61"/>
      <c r="F1482" s="227">
        <v>44613</v>
      </c>
      <c r="G1482" s="228"/>
      <c r="H1482" s="228" t="s">
        <v>866</v>
      </c>
      <c r="I1482" s="228" t="s">
        <v>26</v>
      </c>
      <c r="J1482" s="67">
        <v>211.01</v>
      </c>
      <c r="K1482" s="65"/>
      <c r="L1482" s="224"/>
      <c r="M1482" s="231">
        <v>181500</v>
      </c>
      <c r="N1482" s="231"/>
      <c r="O1482" s="61"/>
      <c r="P1482" s="69" t="str">
        <f t="shared" si="115"/>
        <v>Hutang Pajak PPN</v>
      </c>
      <c r="Q1482" s="61"/>
    </row>
    <row r="1483" spans="1:17" hidden="1" x14ac:dyDescent="0.25">
      <c r="A1483" s="60" t="str">
        <f t="shared" si="113"/>
        <v>229211,01</v>
      </c>
      <c r="B1483" s="60">
        <f>COUNTIF($J$7:J1483,J1483)</f>
        <v>229</v>
      </c>
      <c r="C1483" s="60" t="str">
        <f t="shared" si="114"/>
        <v>0</v>
      </c>
      <c r="D1483" s="60">
        <f>COUNTIF($K$7:K1483,K1483)</f>
        <v>0</v>
      </c>
      <c r="E1483" s="61"/>
      <c r="F1483" s="227">
        <v>44613</v>
      </c>
      <c r="G1483" s="228"/>
      <c r="H1483" s="228" t="s">
        <v>866</v>
      </c>
      <c r="I1483" s="228" t="s">
        <v>26</v>
      </c>
      <c r="J1483" s="67">
        <v>211.01</v>
      </c>
      <c r="K1483" s="65"/>
      <c r="L1483" s="224"/>
      <c r="M1483" s="231">
        <v>219000</v>
      </c>
      <c r="N1483" s="231"/>
      <c r="O1483" s="61"/>
      <c r="P1483" s="69" t="str">
        <f t="shared" si="115"/>
        <v>Hutang Pajak PPN</v>
      </c>
      <c r="Q1483" s="61"/>
    </row>
    <row r="1484" spans="1:17" hidden="1" x14ac:dyDescent="0.25">
      <c r="A1484" s="60" t="str">
        <f t="shared" si="113"/>
        <v>230211,01</v>
      </c>
      <c r="B1484" s="60">
        <f>COUNTIF($J$7:J1484,J1484)</f>
        <v>230</v>
      </c>
      <c r="C1484" s="60" t="str">
        <f t="shared" si="114"/>
        <v>0</v>
      </c>
      <c r="D1484" s="60">
        <f>COUNTIF($K$7:K1484,K1484)</f>
        <v>0</v>
      </c>
      <c r="E1484" s="61"/>
      <c r="F1484" s="227">
        <v>44613</v>
      </c>
      <c r="G1484" s="228"/>
      <c r="H1484" s="228" t="s">
        <v>866</v>
      </c>
      <c r="I1484" s="228" t="s">
        <v>26</v>
      </c>
      <c r="J1484" s="67">
        <v>211.01</v>
      </c>
      <c r="K1484" s="65"/>
      <c r="L1484" s="224"/>
      <c r="M1484" s="231">
        <v>438000</v>
      </c>
      <c r="N1484" s="231"/>
      <c r="O1484" s="61"/>
      <c r="P1484" s="69" t="str">
        <f t="shared" si="115"/>
        <v>Hutang Pajak PPN</v>
      </c>
      <c r="Q1484" s="61"/>
    </row>
    <row r="1485" spans="1:17" hidden="1" x14ac:dyDescent="0.25">
      <c r="A1485" s="60" t="str">
        <f t="shared" si="113"/>
        <v>231211,01</v>
      </c>
      <c r="B1485" s="60">
        <f>COUNTIF($J$7:J1485,J1485)</f>
        <v>231</v>
      </c>
      <c r="C1485" s="60" t="str">
        <f t="shared" si="114"/>
        <v>0</v>
      </c>
      <c r="D1485" s="60">
        <f>COUNTIF($K$7:K1485,K1485)</f>
        <v>0</v>
      </c>
      <c r="E1485" s="61"/>
      <c r="F1485" s="227">
        <v>44616</v>
      </c>
      <c r="G1485" s="228"/>
      <c r="H1485" s="228" t="s">
        <v>867</v>
      </c>
      <c r="I1485" s="228" t="s">
        <v>26</v>
      </c>
      <c r="J1485" s="67">
        <v>211.01</v>
      </c>
      <c r="K1485" s="65"/>
      <c r="L1485" s="224"/>
      <c r="M1485" s="231">
        <v>170000</v>
      </c>
      <c r="N1485" s="231"/>
      <c r="O1485" s="61"/>
      <c r="P1485" s="69" t="str">
        <f t="shared" si="115"/>
        <v>Hutang Pajak PPN</v>
      </c>
      <c r="Q1485" s="61"/>
    </row>
    <row r="1486" spans="1:17" hidden="1" x14ac:dyDescent="0.25">
      <c r="A1486" s="60" t="str">
        <f t="shared" si="113"/>
        <v>232211,01</v>
      </c>
      <c r="B1486" s="60">
        <f>COUNTIF($J$7:J1486,J1486)</f>
        <v>232</v>
      </c>
      <c r="C1486" s="60" t="str">
        <f t="shared" si="114"/>
        <v>0</v>
      </c>
      <c r="D1486" s="60">
        <f>COUNTIF($K$7:K1486,K1486)</f>
        <v>0</v>
      </c>
      <c r="E1486" s="61"/>
      <c r="F1486" s="227">
        <v>44594</v>
      </c>
      <c r="G1486" s="228"/>
      <c r="H1486" s="228" t="s">
        <v>868</v>
      </c>
      <c r="I1486" s="228" t="s">
        <v>32</v>
      </c>
      <c r="J1486" s="67">
        <v>211.01</v>
      </c>
      <c r="K1486" s="65"/>
      <c r="L1486" s="224"/>
      <c r="M1486" s="231">
        <v>840000</v>
      </c>
      <c r="N1486" s="231"/>
      <c r="O1486" s="61"/>
      <c r="P1486" s="69" t="str">
        <f t="shared" si="115"/>
        <v>Hutang Pajak PPN</v>
      </c>
      <c r="Q1486" s="61"/>
    </row>
    <row r="1487" spans="1:17" hidden="1" x14ac:dyDescent="0.25">
      <c r="A1487" s="60" t="str">
        <f t="shared" si="113"/>
        <v>233211,01</v>
      </c>
      <c r="B1487" s="60">
        <f>COUNTIF($J$7:J1487,J1487)</f>
        <v>233</v>
      </c>
      <c r="C1487" s="60" t="str">
        <f t="shared" si="114"/>
        <v>0</v>
      </c>
      <c r="D1487" s="60">
        <f>COUNTIF($K$7:K1487,K1487)</f>
        <v>0</v>
      </c>
      <c r="E1487" s="61"/>
      <c r="F1487" s="227">
        <v>44594</v>
      </c>
      <c r="G1487" s="228"/>
      <c r="H1487" s="228" t="s">
        <v>868</v>
      </c>
      <c r="I1487" s="228" t="s">
        <v>32</v>
      </c>
      <c r="J1487" s="67">
        <v>211.01</v>
      </c>
      <c r="K1487" s="65"/>
      <c r="L1487" s="224"/>
      <c r="M1487" s="231">
        <v>600000</v>
      </c>
      <c r="N1487" s="231"/>
      <c r="O1487" s="61"/>
      <c r="P1487" s="69" t="str">
        <f t="shared" si="115"/>
        <v>Hutang Pajak PPN</v>
      </c>
      <c r="Q1487" s="61"/>
    </row>
    <row r="1488" spans="1:17" hidden="1" x14ac:dyDescent="0.25">
      <c r="A1488" s="60" t="str">
        <f t="shared" si="113"/>
        <v>234211,01</v>
      </c>
      <c r="B1488" s="60">
        <f>COUNTIF($J$7:J1488,J1488)</f>
        <v>234</v>
      </c>
      <c r="C1488" s="60" t="str">
        <f t="shared" si="114"/>
        <v>0</v>
      </c>
      <c r="D1488" s="60">
        <f>COUNTIF($K$7:K1488,K1488)</f>
        <v>0</v>
      </c>
      <c r="E1488" s="61"/>
      <c r="F1488" s="227">
        <v>44599</v>
      </c>
      <c r="G1488" s="228"/>
      <c r="H1488" s="228" t="s">
        <v>869</v>
      </c>
      <c r="I1488" s="228" t="s">
        <v>32</v>
      </c>
      <c r="J1488" s="67">
        <v>211.01</v>
      </c>
      <c r="K1488" s="65"/>
      <c r="L1488" s="224"/>
      <c r="M1488" s="231">
        <v>164999.25</v>
      </c>
      <c r="N1488" s="231"/>
      <c r="O1488" s="61"/>
      <c r="P1488" s="69" t="str">
        <f t="shared" si="115"/>
        <v>Hutang Pajak PPN</v>
      </c>
      <c r="Q1488" s="61"/>
    </row>
    <row r="1489" spans="1:17" hidden="1" x14ac:dyDescent="0.25">
      <c r="A1489" s="60" t="str">
        <f t="shared" si="113"/>
        <v>235211,01</v>
      </c>
      <c r="B1489" s="60">
        <f>COUNTIF($J$7:J1489,J1489)</f>
        <v>235</v>
      </c>
      <c r="C1489" s="60" t="str">
        <f t="shared" si="114"/>
        <v>0</v>
      </c>
      <c r="D1489" s="60">
        <f>COUNTIF($K$7:K1489,K1489)</f>
        <v>0</v>
      </c>
      <c r="E1489" s="61"/>
      <c r="F1489" s="227">
        <v>44599</v>
      </c>
      <c r="G1489" s="228"/>
      <c r="H1489" s="228" t="s">
        <v>869</v>
      </c>
      <c r="I1489" s="228" t="s">
        <v>32</v>
      </c>
      <c r="J1489" s="67">
        <v>211.01</v>
      </c>
      <c r="K1489" s="65"/>
      <c r="L1489" s="224"/>
      <c r="M1489" s="231">
        <v>274998.75</v>
      </c>
      <c r="N1489" s="231"/>
      <c r="O1489" s="61"/>
      <c r="P1489" s="69" t="str">
        <f t="shared" si="115"/>
        <v>Hutang Pajak PPN</v>
      </c>
      <c r="Q1489" s="61"/>
    </row>
    <row r="1490" spans="1:17" hidden="1" x14ac:dyDescent="0.25">
      <c r="A1490" s="60" t="str">
        <f t="shared" si="113"/>
        <v>236211,01</v>
      </c>
      <c r="B1490" s="60">
        <f>COUNTIF($J$7:J1490,J1490)</f>
        <v>236</v>
      </c>
      <c r="C1490" s="60" t="str">
        <f t="shared" si="114"/>
        <v>0</v>
      </c>
      <c r="D1490" s="60">
        <f>COUNTIF($K$7:K1490,K1490)</f>
        <v>0</v>
      </c>
      <c r="E1490" s="61"/>
      <c r="F1490" s="227">
        <v>44600</v>
      </c>
      <c r="G1490" s="228"/>
      <c r="H1490" s="228" t="s">
        <v>870</v>
      </c>
      <c r="I1490" s="228" t="s">
        <v>32</v>
      </c>
      <c r="J1490" s="67">
        <v>211.01</v>
      </c>
      <c r="K1490" s="65"/>
      <c r="L1490" s="224"/>
      <c r="M1490" s="231">
        <v>54999.700000000004</v>
      </c>
      <c r="N1490" s="231"/>
      <c r="O1490" s="61"/>
      <c r="P1490" s="69" t="str">
        <f t="shared" si="115"/>
        <v>Hutang Pajak PPN</v>
      </c>
      <c r="Q1490" s="61"/>
    </row>
    <row r="1491" spans="1:17" hidden="1" x14ac:dyDescent="0.25">
      <c r="A1491" s="60" t="str">
        <f t="shared" si="113"/>
        <v>237211,01</v>
      </c>
      <c r="B1491" s="60">
        <f>COUNTIF($J$7:J1491,J1491)</f>
        <v>237</v>
      </c>
      <c r="C1491" s="60" t="str">
        <f t="shared" si="114"/>
        <v>0</v>
      </c>
      <c r="D1491" s="60">
        <f>COUNTIF($K$7:K1491,K1491)</f>
        <v>0</v>
      </c>
      <c r="E1491" s="61"/>
      <c r="F1491" s="227">
        <v>44613</v>
      </c>
      <c r="G1491" s="228"/>
      <c r="H1491" s="228" t="s">
        <v>871</v>
      </c>
      <c r="I1491" s="228" t="s">
        <v>32</v>
      </c>
      <c r="J1491" s="67">
        <v>211.01</v>
      </c>
      <c r="K1491" s="65"/>
      <c r="L1491" s="224"/>
      <c r="M1491" s="231">
        <v>274998.75</v>
      </c>
      <c r="N1491" s="231"/>
      <c r="O1491" s="61"/>
      <c r="P1491" s="69" t="str">
        <f t="shared" si="115"/>
        <v>Hutang Pajak PPN</v>
      </c>
      <c r="Q1491" s="61"/>
    </row>
    <row r="1492" spans="1:17" hidden="1" x14ac:dyDescent="0.25">
      <c r="A1492" s="60" t="str">
        <f t="shared" si="113"/>
        <v>238211,01</v>
      </c>
      <c r="B1492" s="60">
        <f>COUNTIF($J$7:J1492,J1492)</f>
        <v>238</v>
      </c>
      <c r="C1492" s="60" t="str">
        <f t="shared" si="114"/>
        <v>0</v>
      </c>
      <c r="D1492" s="60">
        <f>COUNTIF($K$7:K1492,K1492)</f>
        <v>0</v>
      </c>
      <c r="E1492" s="61"/>
      <c r="F1492" s="227">
        <v>44613</v>
      </c>
      <c r="G1492" s="228"/>
      <c r="H1492" s="228" t="s">
        <v>871</v>
      </c>
      <c r="I1492" s="228" t="s">
        <v>32</v>
      </c>
      <c r="J1492" s="67">
        <v>211.01</v>
      </c>
      <c r="K1492" s="65"/>
      <c r="L1492" s="224"/>
      <c r="M1492" s="231">
        <v>164999.25</v>
      </c>
      <c r="N1492" s="231"/>
      <c r="O1492" s="61"/>
      <c r="P1492" s="69" t="str">
        <f t="shared" si="115"/>
        <v>Hutang Pajak PPN</v>
      </c>
      <c r="Q1492" s="61"/>
    </row>
    <row r="1493" spans="1:17" hidden="1" x14ac:dyDescent="0.25">
      <c r="A1493" s="60" t="str">
        <f t="shared" si="113"/>
        <v>239211,01</v>
      </c>
      <c r="B1493" s="60">
        <f>COUNTIF($J$7:J1493,J1493)</f>
        <v>239</v>
      </c>
      <c r="C1493" s="60" t="str">
        <f t="shared" si="114"/>
        <v>0</v>
      </c>
      <c r="D1493" s="60">
        <f>COUNTIF($K$7:K1493,K1493)</f>
        <v>0</v>
      </c>
      <c r="E1493" s="61"/>
      <c r="F1493" s="227">
        <v>44613</v>
      </c>
      <c r="G1493" s="228"/>
      <c r="H1493" s="228" t="s">
        <v>871</v>
      </c>
      <c r="I1493" s="228" t="s">
        <v>32</v>
      </c>
      <c r="J1493" s="67">
        <v>211.01</v>
      </c>
      <c r="K1493" s="65"/>
      <c r="L1493" s="224"/>
      <c r="M1493" s="231">
        <v>54999.75</v>
      </c>
      <c r="N1493" s="231"/>
      <c r="O1493" s="61"/>
      <c r="P1493" s="69" t="str">
        <f t="shared" si="115"/>
        <v>Hutang Pajak PPN</v>
      </c>
      <c r="Q1493" s="61"/>
    </row>
    <row r="1494" spans="1:17" hidden="1" x14ac:dyDescent="0.25">
      <c r="A1494" s="60" t="str">
        <f t="shared" si="113"/>
        <v>240211,01</v>
      </c>
      <c r="B1494" s="60">
        <f>COUNTIF($J$7:J1494,J1494)</f>
        <v>240</v>
      </c>
      <c r="C1494" s="60" t="str">
        <f t="shared" si="114"/>
        <v>0</v>
      </c>
      <c r="D1494" s="60">
        <f>COUNTIF($K$7:K1494,K1494)</f>
        <v>0</v>
      </c>
      <c r="E1494" s="61"/>
      <c r="F1494" s="227">
        <v>44613</v>
      </c>
      <c r="G1494" s="228"/>
      <c r="H1494" s="228" t="s">
        <v>871</v>
      </c>
      <c r="I1494" s="228" t="s">
        <v>32</v>
      </c>
      <c r="J1494" s="67">
        <v>211.01</v>
      </c>
      <c r="K1494" s="65"/>
      <c r="L1494" s="224"/>
      <c r="M1494" s="231">
        <v>219999</v>
      </c>
      <c r="N1494" s="231"/>
      <c r="O1494" s="61"/>
      <c r="P1494" s="69" t="str">
        <f t="shared" si="115"/>
        <v>Hutang Pajak PPN</v>
      </c>
      <c r="Q1494" s="61"/>
    </row>
    <row r="1495" spans="1:17" hidden="1" x14ac:dyDescent="0.25">
      <c r="A1495" s="60" t="str">
        <f t="shared" si="113"/>
        <v>241211,01</v>
      </c>
      <c r="B1495" s="60">
        <f>COUNTIF($J$7:J1495,J1495)</f>
        <v>241</v>
      </c>
      <c r="C1495" s="60" t="str">
        <f t="shared" si="114"/>
        <v>0</v>
      </c>
      <c r="D1495" s="60">
        <f>COUNTIF($K$7:K1495,K1495)</f>
        <v>0</v>
      </c>
      <c r="E1495" s="61"/>
      <c r="F1495" s="227">
        <v>44614</v>
      </c>
      <c r="G1495" s="228"/>
      <c r="H1495" s="228" t="s">
        <v>872</v>
      </c>
      <c r="I1495" s="228" t="s">
        <v>32</v>
      </c>
      <c r="J1495" s="67">
        <v>211.01</v>
      </c>
      <c r="K1495" s="65"/>
      <c r="L1495" s="224"/>
      <c r="M1495" s="231">
        <v>109999.5</v>
      </c>
      <c r="N1495" s="231"/>
      <c r="O1495" s="61"/>
      <c r="P1495" s="69" t="str">
        <f t="shared" si="115"/>
        <v>Hutang Pajak PPN</v>
      </c>
      <c r="Q1495" s="61"/>
    </row>
    <row r="1496" spans="1:17" hidden="1" x14ac:dyDescent="0.25">
      <c r="A1496" s="60" t="str">
        <f t="shared" si="113"/>
        <v>242211,01</v>
      </c>
      <c r="B1496" s="60">
        <f>COUNTIF($J$7:J1496,J1496)</f>
        <v>242</v>
      </c>
      <c r="C1496" s="60" t="str">
        <f t="shared" si="114"/>
        <v>0</v>
      </c>
      <c r="D1496" s="60">
        <f>COUNTIF($K$7:K1496,K1496)</f>
        <v>0</v>
      </c>
      <c r="E1496" s="61"/>
      <c r="F1496" s="227">
        <v>44595</v>
      </c>
      <c r="G1496" s="228"/>
      <c r="H1496" s="228" t="s">
        <v>873</v>
      </c>
      <c r="I1496" s="228" t="s">
        <v>41</v>
      </c>
      <c r="J1496" s="67">
        <v>211.01</v>
      </c>
      <c r="K1496" s="65"/>
      <c r="L1496" s="224"/>
      <c r="M1496" s="231">
        <v>187500</v>
      </c>
      <c r="N1496" s="231"/>
      <c r="O1496" s="61"/>
      <c r="P1496" s="69" t="str">
        <f t="shared" si="115"/>
        <v>Hutang Pajak PPN</v>
      </c>
      <c r="Q1496" s="61"/>
    </row>
    <row r="1497" spans="1:17" hidden="1" x14ac:dyDescent="0.25">
      <c r="A1497" s="60" t="str">
        <f t="shared" si="113"/>
        <v>243211,01</v>
      </c>
      <c r="B1497" s="60">
        <f>COUNTIF($J$7:J1497,J1497)</f>
        <v>243</v>
      </c>
      <c r="C1497" s="60" t="str">
        <f t="shared" si="114"/>
        <v>0</v>
      </c>
      <c r="D1497" s="60">
        <f>COUNTIF($K$7:K1497,K1497)</f>
        <v>0</v>
      </c>
      <c r="E1497" s="61"/>
      <c r="F1497" s="227">
        <v>44595</v>
      </c>
      <c r="G1497" s="228"/>
      <c r="H1497" s="228" t="s">
        <v>873</v>
      </c>
      <c r="I1497" s="228" t="s">
        <v>41</v>
      </c>
      <c r="J1497" s="67">
        <v>211.01</v>
      </c>
      <c r="K1497" s="65"/>
      <c r="L1497" s="224"/>
      <c r="M1497" s="231">
        <v>62500</v>
      </c>
      <c r="N1497" s="231"/>
      <c r="O1497" s="61"/>
      <c r="P1497" s="69" t="str">
        <f t="shared" si="115"/>
        <v>Hutang Pajak PPN</v>
      </c>
      <c r="Q1497" s="61"/>
    </row>
    <row r="1498" spans="1:17" hidden="1" x14ac:dyDescent="0.25">
      <c r="A1498" s="60" t="str">
        <f t="shared" si="113"/>
        <v>244211,01</v>
      </c>
      <c r="B1498" s="60">
        <f>COUNTIF($J$7:J1498,J1498)</f>
        <v>244</v>
      </c>
      <c r="C1498" s="60" t="str">
        <f t="shared" si="114"/>
        <v>0</v>
      </c>
      <c r="D1498" s="60">
        <f>COUNTIF($K$7:K1498,K1498)</f>
        <v>0</v>
      </c>
      <c r="E1498" s="61"/>
      <c r="F1498" s="227">
        <v>44595</v>
      </c>
      <c r="G1498" s="228"/>
      <c r="H1498" s="228" t="s">
        <v>873</v>
      </c>
      <c r="I1498" s="228" t="s">
        <v>41</v>
      </c>
      <c r="J1498" s="67">
        <v>211.01</v>
      </c>
      <c r="K1498" s="65"/>
      <c r="L1498" s="224"/>
      <c r="M1498" s="231">
        <v>125000</v>
      </c>
      <c r="N1498" s="231"/>
      <c r="O1498" s="61"/>
      <c r="P1498" s="69" t="str">
        <f t="shared" si="115"/>
        <v>Hutang Pajak PPN</v>
      </c>
      <c r="Q1498" s="61"/>
    </row>
    <row r="1499" spans="1:17" hidden="1" x14ac:dyDescent="0.25">
      <c r="A1499" s="60" t="str">
        <f t="shared" si="113"/>
        <v>245211,01</v>
      </c>
      <c r="B1499" s="60">
        <f>COUNTIF($J$7:J1499,J1499)</f>
        <v>245</v>
      </c>
      <c r="C1499" s="60" t="str">
        <f t="shared" si="114"/>
        <v>0</v>
      </c>
      <c r="D1499" s="60">
        <f>COUNTIF($K$7:K1499,K1499)</f>
        <v>0</v>
      </c>
      <c r="E1499" s="61"/>
      <c r="F1499" s="227">
        <v>44599</v>
      </c>
      <c r="G1499" s="228"/>
      <c r="H1499" s="228" t="s">
        <v>874</v>
      </c>
      <c r="I1499" s="228" t="s">
        <v>41</v>
      </c>
      <c r="J1499" s="67">
        <v>211.01</v>
      </c>
      <c r="K1499" s="65"/>
      <c r="L1499" s="224"/>
      <c r="M1499" s="231">
        <v>408000</v>
      </c>
      <c r="N1499" s="231"/>
      <c r="O1499" s="61"/>
      <c r="P1499" s="69" t="str">
        <f t="shared" si="115"/>
        <v>Hutang Pajak PPN</v>
      </c>
      <c r="Q1499" s="61"/>
    </row>
    <row r="1500" spans="1:17" hidden="1" x14ac:dyDescent="0.25">
      <c r="A1500" s="60" t="str">
        <f t="shared" si="113"/>
        <v>246211,01</v>
      </c>
      <c r="B1500" s="60">
        <f>COUNTIF($J$7:J1500,J1500)</f>
        <v>246</v>
      </c>
      <c r="C1500" s="60" t="str">
        <f t="shared" si="114"/>
        <v>0</v>
      </c>
      <c r="D1500" s="60">
        <f>COUNTIF($K$7:K1500,K1500)</f>
        <v>0</v>
      </c>
      <c r="E1500" s="61"/>
      <c r="F1500" s="227">
        <v>44599</v>
      </c>
      <c r="G1500" s="228"/>
      <c r="H1500" s="228" t="s">
        <v>874</v>
      </c>
      <c r="I1500" s="228" t="s">
        <v>41</v>
      </c>
      <c r="J1500" s="67">
        <v>211.01</v>
      </c>
      <c r="K1500" s="65"/>
      <c r="L1500" s="224"/>
      <c r="M1500" s="231">
        <v>1224000</v>
      </c>
      <c r="N1500" s="231"/>
      <c r="O1500" s="61"/>
      <c r="P1500" s="69" t="str">
        <f t="shared" si="115"/>
        <v>Hutang Pajak PPN</v>
      </c>
      <c r="Q1500" s="61"/>
    </row>
    <row r="1501" spans="1:17" hidden="1" x14ac:dyDescent="0.25">
      <c r="A1501" s="60" t="str">
        <f t="shared" si="113"/>
        <v>247211,01</v>
      </c>
      <c r="B1501" s="60">
        <f>COUNTIF($J$7:J1501,J1501)</f>
        <v>247</v>
      </c>
      <c r="C1501" s="60" t="str">
        <f t="shared" si="114"/>
        <v>0</v>
      </c>
      <c r="D1501" s="60">
        <f>COUNTIF($K$7:K1501,K1501)</f>
        <v>0</v>
      </c>
      <c r="E1501" s="61"/>
      <c r="F1501" s="227">
        <v>44599</v>
      </c>
      <c r="G1501" s="228"/>
      <c r="H1501" s="228" t="s">
        <v>874</v>
      </c>
      <c r="I1501" s="228" t="s">
        <v>41</v>
      </c>
      <c r="J1501" s="67">
        <v>211.01</v>
      </c>
      <c r="K1501" s="65"/>
      <c r="L1501" s="224"/>
      <c r="M1501" s="231">
        <v>1632000</v>
      </c>
      <c r="N1501" s="231"/>
      <c r="O1501" s="61"/>
      <c r="P1501" s="69" t="str">
        <f t="shared" si="115"/>
        <v>Hutang Pajak PPN</v>
      </c>
      <c r="Q1501" s="61"/>
    </row>
    <row r="1502" spans="1:17" hidden="1" x14ac:dyDescent="0.25">
      <c r="A1502" s="60" t="str">
        <f t="shared" si="113"/>
        <v>248211,01</v>
      </c>
      <c r="B1502" s="60">
        <f>COUNTIF($J$7:J1502,J1502)</f>
        <v>248</v>
      </c>
      <c r="C1502" s="60" t="str">
        <f t="shared" si="114"/>
        <v>0</v>
      </c>
      <c r="D1502" s="60">
        <f>COUNTIF($K$7:K1502,K1502)</f>
        <v>0</v>
      </c>
      <c r="E1502" s="61"/>
      <c r="F1502" s="227">
        <v>44599</v>
      </c>
      <c r="G1502" s="228"/>
      <c r="H1502" s="228" t="s">
        <v>874</v>
      </c>
      <c r="I1502" s="228" t="s">
        <v>41</v>
      </c>
      <c r="J1502" s="67">
        <v>211.01</v>
      </c>
      <c r="K1502" s="65"/>
      <c r="L1502" s="224"/>
      <c r="M1502" s="231">
        <v>255000</v>
      </c>
      <c r="N1502" s="231"/>
      <c r="O1502" s="61"/>
      <c r="P1502" s="69" t="str">
        <f t="shared" si="115"/>
        <v>Hutang Pajak PPN</v>
      </c>
      <c r="Q1502" s="61"/>
    </row>
    <row r="1503" spans="1:17" hidden="1" x14ac:dyDescent="0.25">
      <c r="A1503" s="60" t="str">
        <f t="shared" si="113"/>
        <v>249211,01</v>
      </c>
      <c r="B1503" s="60">
        <f>COUNTIF($J$7:J1503,J1503)</f>
        <v>249</v>
      </c>
      <c r="C1503" s="60" t="str">
        <f t="shared" si="114"/>
        <v>0</v>
      </c>
      <c r="D1503" s="60">
        <f>COUNTIF($K$7:K1503,K1503)</f>
        <v>0</v>
      </c>
      <c r="E1503" s="61"/>
      <c r="F1503" s="227">
        <v>44599</v>
      </c>
      <c r="G1503" s="228"/>
      <c r="H1503" s="228" t="s">
        <v>874</v>
      </c>
      <c r="I1503" s="228" t="s">
        <v>41</v>
      </c>
      <c r="J1503" s="67">
        <v>211.01</v>
      </c>
      <c r="K1503" s="65"/>
      <c r="L1503" s="224"/>
      <c r="M1503" s="231">
        <v>1785000</v>
      </c>
      <c r="N1503" s="231"/>
      <c r="O1503" s="61"/>
      <c r="P1503" s="69" t="str">
        <f t="shared" si="115"/>
        <v>Hutang Pajak PPN</v>
      </c>
      <c r="Q1503" s="61"/>
    </row>
    <row r="1504" spans="1:17" hidden="1" x14ac:dyDescent="0.25">
      <c r="A1504" s="60" t="str">
        <f t="shared" si="113"/>
        <v>250211,01</v>
      </c>
      <c r="B1504" s="60">
        <f>COUNTIF($J$7:J1504,J1504)</f>
        <v>250</v>
      </c>
      <c r="C1504" s="60" t="str">
        <f t="shared" si="114"/>
        <v>0</v>
      </c>
      <c r="D1504" s="60">
        <f>COUNTIF($K$7:K1504,K1504)</f>
        <v>0</v>
      </c>
      <c r="E1504" s="61"/>
      <c r="F1504" s="227">
        <v>44599</v>
      </c>
      <c r="G1504" s="228"/>
      <c r="H1504" s="228" t="s">
        <v>874</v>
      </c>
      <c r="I1504" s="228" t="s">
        <v>41</v>
      </c>
      <c r="J1504" s="67">
        <v>211.01</v>
      </c>
      <c r="K1504" s="65"/>
      <c r="L1504" s="224"/>
      <c r="M1504" s="231">
        <v>1785000</v>
      </c>
      <c r="N1504" s="231"/>
      <c r="O1504" s="61"/>
      <c r="P1504" s="69" t="str">
        <f t="shared" si="115"/>
        <v>Hutang Pajak PPN</v>
      </c>
      <c r="Q1504" s="61"/>
    </row>
    <row r="1505" spans="1:17" hidden="1" x14ac:dyDescent="0.25">
      <c r="A1505" s="60" t="str">
        <f t="shared" si="113"/>
        <v>251211,01</v>
      </c>
      <c r="B1505" s="60">
        <f>COUNTIF($J$7:J1505,J1505)</f>
        <v>251</v>
      </c>
      <c r="C1505" s="60" t="str">
        <f t="shared" si="114"/>
        <v>0</v>
      </c>
      <c r="D1505" s="60">
        <f>COUNTIF($K$7:K1505,K1505)</f>
        <v>0</v>
      </c>
      <c r="E1505" s="61"/>
      <c r="F1505" s="227">
        <v>44599</v>
      </c>
      <c r="G1505" s="228"/>
      <c r="H1505" s="228" t="s">
        <v>874</v>
      </c>
      <c r="I1505" s="228" t="s">
        <v>41</v>
      </c>
      <c r="J1505" s="67">
        <v>211.01</v>
      </c>
      <c r="K1505" s="65"/>
      <c r="L1505" s="224"/>
      <c r="M1505" s="231">
        <v>1530000</v>
      </c>
      <c r="N1505" s="231"/>
      <c r="O1505" s="61"/>
      <c r="P1505" s="69" t="str">
        <f t="shared" si="115"/>
        <v>Hutang Pajak PPN</v>
      </c>
      <c r="Q1505" s="61"/>
    </row>
    <row r="1506" spans="1:17" hidden="1" x14ac:dyDescent="0.25">
      <c r="A1506" s="60" t="str">
        <f t="shared" si="113"/>
        <v>252211,01</v>
      </c>
      <c r="B1506" s="60">
        <f>COUNTIF($J$7:J1506,J1506)</f>
        <v>252</v>
      </c>
      <c r="C1506" s="60" t="str">
        <f t="shared" si="114"/>
        <v>0</v>
      </c>
      <c r="D1506" s="60">
        <f>COUNTIF($K$7:K1506,K1506)</f>
        <v>0</v>
      </c>
      <c r="E1506" s="61"/>
      <c r="F1506" s="227">
        <v>44599</v>
      </c>
      <c r="G1506" s="228"/>
      <c r="H1506" s="228" t="s">
        <v>874</v>
      </c>
      <c r="I1506" s="228" t="s">
        <v>41</v>
      </c>
      <c r="J1506" s="67">
        <v>211.01</v>
      </c>
      <c r="K1506" s="65"/>
      <c r="L1506" s="224"/>
      <c r="M1506" s="231">
        <v>255000</v>
      </c>
      <c r="N1506" s="231"/>
      <c r="O1506" s="61"/>
      <c r="P1506" s="69" t="str">
        <f t="shared" si="115"/>
        <v>Hutang Pajak PPN</v>
      </c>
      <c r="Q1506" s="61"/>
    </row>
    <row r="1507" spans="1:17" hidden="1" x14ac:dyDescent="0.25">
      <c r="A1507" s="60" t="str">
        <f t="shared" si="113"/>
        <v>253211,01</v>
      </c>
      <c r="B1507" s="60">
        <f>COUNTIF($J$7:J1507,J1507)</f>
        <v>253</v>
      </c>
      <c r="C1507" s="60" t="str">
        <f t="shared" si="114"/>
        <v>0</v>
      </c>
      <c r="D1507" s="60">
        <f>COUNTIF($K$7:K1507,K1507)</f>
        <v>0</v>
      </c>
      <c r="E1507" s="61"/>
      <c r="F1507" s="227">
        <v>44606</v>
      </c>
      <c r="G1507" s="228"/>
      <c r="H1507" s="228" t="s">
        <v>875</v>
      </c>
      <c r="I1507" s="228" t="s">
        <v>41</v>
      </c>
      <c r="J1507" s="67">
        <v>211.01</v>
      </c>
      <c r="K1507" s="65"/>
      <c r="L1507" s="224"/>
      <c r="M1507" s="231">
        <v>1224000</v>
      </c>
      <c r="N1507" s="231"/>
      <c r="O1507" s="61"/>
      <c r="P1507" s="69" t="str">
        <f t="shared" si="115"/>
        <v>Hutang Pajak PPN</v>
      </c>
      <c r="Q1507" s="61"/>
    </row>
    <row r="1508" spans="1:17" hidden="1" x14ac:dyDescent="0.25">
      <c r="A1508" s="60" t="str">
        <f t="shared" si="113"/>
        <v>254211,01</v>
      </c>
      <c r="B1508" s="60">
        <f>COUNTIF($J$7:J1508,J1508)</f>
        <v>254</v>
      </c>
      <c r="C1508" s="60" t="str">
        <f t="shared" si="114"/>
        <v>0</v>
      </c>
      <c r="D1508" s="60">
        <f>COUNTIF($K$7:K1508,K1508)</f>
        <v>0</v>
      </c>
      <c r="E1508" s="61"/>
      <c r="F1508" s="227">
        <v>44609</v>
      </c>
      <c r="G1508" s="228"/>
      <c r="H1508" s="228" t="s">
        <v>876</v>
      </c>
      <c r="I1508" s="228" t="s">
        <v>41</v>
      </c>
      <c r="J1508" s="67">
        <v>211.01</v>
      </c>
      <c r="K1508" s="65"/>
      <c r="L1508" s="224"/>
      <c r="M1508" s="231">
        <v>510000</v>
      </c>
      <c r="N1508" s="231"/>
      <c r="O1508" s="61"/>
      <c r="P1508" s="69" t="str">
        <f t="shared" si="115"/>
        <v>Hutang Pajak PPN</v>
      </c>
      <c r="Q1508" s="61"/>
    </row>
    <row r="1509" spans="1:17" hidden="1" x14ac:dyDescent="0.25">
      <c r="A1509" s="60" t="str">
        <f t="shared" si="113"/>
        <v>255211,01</v>
      </c>
      <c r="B1509" s="60">
        <f>COUNTIF($J$7:J1509,J1509)</f>
        <v>255</v>
      </c>
      <c r="C1509" s="60" t="str">
        <f t="shared" si="114"/>
        <v>0</v>
      </c>
      <c r="D1509" s="60">
        <f>COUNTIF($K$7:K1509,K1509)</f>
        <v>0</v>
      </c>
      <c r="E1509" s="61"/>
      <c r="F1509" s="227">
        <v>44609</v>
      </c>
      <c r="G1509" s="228"/>
      <c r="H1509" s="228" t="s">
        <v>876</v>
      </c>
      <c r="I1509" s="228" t="s">
        <v>41</v>
      </c>
      <c r="J1509" s="67">
        <v>211.01</v>
      </c>
      <c r="K1509" s="65"/>
      <c r="L1509" s="224"/>
      <c r="M1509" s="231">
        <v>765000</v>
      </c>
      <c r="N1509" s="231"/>
      <c r="O1509" s="61"/>
      <c r="P1509" s="69" t="str">
        <f t="shared" si="115"/>
        <v>Hutang Pajak PPN</v>
      </c>
      <c r="Q1509" s="61"/>
    </row>
    <row r="1510" spans="1:17" hidden="1" x14ac:dyDescent="0.25">
      <c r="A1510" s="60" t="str">
        <f t="shared" si="113"/>
        <v>256211,01</v>
      </c>
      <c r="B1510" s="60">
        <f>COUNTIF($J$7:J1510,J1510)</f>
        <v>256</v>
      </c>
      <c r="C1510" s="60" t="str">
        <f t="shared" si="114"/>
        <v>0</v>
      </c>
      <c r="D1510" s="60">
        <f>COUNTIF($K$7:K1510,K1510)</f>
        <v>0</v>
      </c>
      <c r="E1510" s="61"/>
      <c r="F1510" s="227">
        <v>44609</v>
      </c>
      <c r="G1510" s="228"/>
      <c r="H1510" s="228" t="s">
        <v>876</v>
      </c>
      <c r="I1510" s="228" t="s">
        <v>41</v>
      </c>
      <c r="J1510" s="67">
        <v>211.01</v>
      </c>
      <c r="K1510" s="65"/>
      <c r="L1510" s="224"/>
      <c r="M1510" s="231">
        <v>765000</v>
      </c>
      <c r="N1510" s="231"/>
      <c r="O1510" s="61"/>
      <c r="P1510" s="69" t="str">
        <f t="shared" si="115"/>
        <v>Hutang Pajak PPN</v>
      </c>
      <c r="Q1510" s="61"/>
    </row>
    <row r="1511" spans="1:17" hidden="1" x14ac:dyDescent="0.25">
      <c r="A1511" s="60" t="str">
        <f t="shared" si="113"/>
        <v>257211,01</v>
      </c>
      <c r="B1511" s="60">
        <f>COUNTIF($J$7:J1511,J1511)</f>
        <v>257</v>
      </c>
      <c r="C1511" s="60" t="str">
        <f t="shared" si="114"/>
        <v>0</v>
      </c>
      <c r="D1511" s="60">
        <f>COUNTIF($K$7:K1511,K1511)</f>
        <v>0</v>
      </c>
      <c r="E1511" s="61"/>
      <c r="F1511" s="227">
        <v>44609</v>
      </c>
      <c r="G1511" s="228"/>
      <c r="H1511" s="228" t="s">
        <v>876</v>
      </c>
      <c r="I1511" s="228" t="s">
        <v>41</v>
      </c>
      <c r="J1511" s="67">
        <v>211.01</v>
      </c>
      <c r="K1511" s="65"/>
      <c r="L1511" s="224"/>
      <c r="M1511" s="231">
        <v>255000</v>
      </c>
      <c r="N1511" s="231"/>
      <c r="O1511" s="61"/>
      <c r="P1511" s="69" t="str">
        <f t="shared" si="115"/>
        <v>Hutang Pajak PPN</v>
      </c>
      <c r="Q1511" s="61"/>
    </row>
    <row r="1512" spans="1:17" hidden="1" x14ac:dyDescent="0.25">
      <c r="A1512" s="60" t="str">
        <f t="shared" si="113"/>
        <v>258211,01</v>
      </c>
      <c r="B1512" s="60">
        <f>COUNTIF($J$7:J1512,J1512)</f>
        <v>258</v>
      </c>
      <c r="C1512" s="60" t="str">
        <f t="shared" si="114"/>
        <v>0</v>
      </c>
      <c r="D1512" s="60">
        <f>COUNTIF($K$7:K1512,K1512)</f>
        <v>0</v>
      </c>
      <c r="E1512" s="61"/>
      <c r="F1512" s="227">
        <v>44609</v>
      </c>
      <c r="G1512" s="228"/>
      <c r="H1512" s="228" t="s">
        <v>877</v>
      </c>
      <c r="I1512" s="228" t="s">
        <v>41</v>
      </c>
      <c r="J1512" s="67">
        <v>211.01</v>
      </c>
      <c r="K1512" s="65"/>
      <c r="L1512" s="224"/>
      <c r="M1512" s="231">
        <v>750000</v>
      </c>
      <c r="N1512" s="231"/>
      <c r="O1512" s="61"/>
      <c r="P1512" s="69" t="str">
        <f t="shared" si="115"/>
        <v>Hutang Pajak PPN</v>
      </c>
      <c r="Q1512" s="61"/>
    </row>
    <row r="1513" spans="1:17" hidden="1" x14ac:dyDescent="0.25">
      <c r="A1513" s="60" t="str">
        <f t="shared" si="113"/>
        <v>259211,01</v>
      </c>
      <c r="B1513" s="60">
        <f>COUNTIF($J$7:J1513,J1513)</f>
        <v>259</v>
      </c>
      <c r="C1513" s="60" t="str">
        <f t="shared" si="114"/>
        <v>0</v>
      </c>
      <c r="D1513" s="60">
        <f>COUNTIF($K$7:K1513,K1513)</f>
        <v>0</v>
      </c>
      <c r="E1513" s="61"/>
      <c r="F1513" s="227">
        <v>44609</v>
      </c>
      <c r="G1513" s="228"/>
      <c r="H1513" s="228" t="s">
        <v>877</v>
      </c>
      <c r="I1513" s="228" t="s">
        <v>41</v>
      </c>
      <c r="J1513" s="67">
        <v>211.01</v>
      </c>
      <c r="K1513" s="65"/>
      <c r="L1513" s="224"/>
      <c r="M1513" s="231">
        <v>750000</v>
      </c>
      <c r="N1513" s="231"/>
      <c r="O1513" s="61"/>
      <c r="P1513" s="69" t="str">
        <f t="shared" si="115"/>
        <v>Hutang Pajak PPN</v>
      </c>
      <c r="Q1513" s="61"/>
    </row>
    <row r="1514" spans="1:17" hidden="1" x14ac:dyDescent="0.25">
      <c r="A1514" s="60" t="str">
        <f t="shared" si="113"/>
        <v>260211,01</v>
      </c>
      <c r="B1514" s="60">
        <f>COUNTIF($J$7:J1514,J1514)</f>
        <v>260</v>
      </c>
      <c r="C1514" s="60" t="str">
        <f t="shared" si="114"/>
        <v>0</v>
      </c>
      <c r="D1514" s="60">
        <f>COUNTIF($K$7:K1514,K1514)</f>
        <v>0</v>
      </c>
      <c r="E1514" s="61"/>
      <c r="F1514" s="227">
        <v>44613</v>
      </c>
      <c r="G1514" s="228"/>
      <c r="H1514" s="228" t="s">
        <v>878</v>
      </c>
      <c r="I1514" s="228" t="s">
        <v>41</v>
      </c>
      <c r="J1514" s="67">
        <v>211.01</v>
      </c>
      <c r="K1514" s="65"/>
      <c r="L1514" s="224"/>
      <c r="M1514" s="231">
        <v>105000</v>
      </c>
      <c r="N1514" s="231"/>
      <c r="O1514" s="61"/>
      <c r="P1514" s="69" t="str">
        <f t="shared" si="115"/>
        <v>Hutang Pajak PPN</v>
      </c>
      <c r="Q1514" s="61"/>
    </row>
    <row r="1515" spans="1:17" hidden="1" x14ac:dyDescent="0.25">
      <c r="A1515" s="60" t="str">
        <f t="shared" si="113"/>
        <v>261211,01</v>
      </c>
      <c r="B1515" s="60">
        <f>COUNTIF($J$7:J1515,J1515)</f>
        <v>261</v>
      </c>
      <c r="C1515" s="60" t="str">
        <f t="shared" si="114"/>
        <v>0</v>
      </c>
      <c r="D1515" s="60">
        <f>COUNTIF($K$7:K1515,K1515)</f>
        <v>0</v>
      </c>
      <c r="E1515" s="61"/>
      <c r="F1515" s="227">
        <v>44613</v>
      </c>
      <c r="G1515" s="228"/>
      <c r="H1515" s="228" t="s">
        <v>878</v>
      </c>
      <c r="I1515" s="228" t="s">
        <v>41</v>
      </c>
      <c r="J1515" s="67">
        <v>211.01</v>
      </c>
      <c r="K1515" s="65"/>
      <c r="L1515" s="224"/>
      <c r="M1515" s="231">
        <v>52500</v>
      </c>
      <c r="N1515" s="231"/>
      <c r="O1515" s="61"/>
      <c r="P1515" s="69" t="str">
        <f t="shared" si="115"/>
        <v>Hutang Pajak PPN</v>
      </c>
      <c r="Q1515" s="61"/>
    </row>
    <row r="1516" spans="1:17" hidden="1" x14ac:dyDescent="0.25">
      <c r="A1516" s="60" t="str">
        <f t="shared" si="113"/>
        <v>262211,01</v>
      </c>
      <c r="B1516" s="60">
        <f>COUNTIF($J$7:J1516,J1516)</f>
        <v>262</v>
      </c>
      <c r="C1516" s="60" t="str">
        <f t="shared" si="114"/>
        <v>0</v>
      </c>
      <c r="D1516" s="60">
        <f>COUNTIF($K$7:K1516,K1516)</f>
        <v>0</v>
      </c>
      <c r="E1516" s="61"/>
      <c r="F1516" s="227">
        <v>44594</v>
      </c>
      <c r="G1516" s="228"/>
      <c r="H1516" s="228" t="s">
        <v>879</v>
      </c>
      <c r="I1516" s="228" t="s">
        <v>37</v>
      </c>
      <c r="J1516" s="67">
        <v>211.01</v>
      </c>
      <c r="K1516" s="65"/>
      <c r="L1516" s="224"/>
      <c r="M1516" s="231">
        <v>262500</v>
      </c>
      <c r="N1516" s="231"/>
      <c r="O1516" s="61"/>
      <c r="P1516" s="69" t="str">
        <f t="shared" si="115"/>
        <v>Hutang Pajak PPN</v>
      </c>
      <c r="Q1516" s="61"/>
    </row>
    <row r="1517" spans="1:17" hidden="1" x14ac:dyDescent="0.25">
      <c r="A1517" s="60" t="str">
        <f t="shared" si="113"/>
        <v>263211,01</v>
      </c>
      <c r="B1517" s="60">
        <f>COUNTIF($J$7:J1517,J1517)</f>
        <v>263</v>
      </c>
      <c r="C1517" s="60" t="str">
        <f t="shared" si="114"/>
        <v>0</v>
      </c>
      <c r="D1517" s="60">
        <f>COUNTIF($K$7:K1517,K1517)</f>
        <v>0</v>
      </c>
      <c r="E1517" s="61"/>
      <c r="F1517" s="227">
        <v>44594</v>
      </c>
      <c r="G1517" s="228"/>
      <c r="H1517" s="228" t="s">
        <v>879</v>
      </c>
      <c r="I1517" s="228" t="s">
        <v>37</v>
      </c>
      <c r="J1517" s="67">
        <v>211.01</v>
      </c>
      <c r="K1517" s="65"/>
      <c r="L1517" s="224"/>
      <c r="M1517" s="231">
        <v>175000</v>
      </c>
      <c r="N1517" s="231"/>
      <c r="O1517" s="61"/>
      <c r="P1517" s="69" t="str">
        <f t="shared" si="115"/>
        <v>Hutang Pajak PPN</v>
      </c>
      <c r="Q1517" s="61"/>
    </row>
    <row r="1518" spans="1:17" hidden="1" x14ac:dyDescent="0.25">
      <c r="A1518" s="60" t="str">
        <f t="shared" si="113"/>
        <v>264211,01</v>
      </c>
      <c r="B1518" s="60">
        <f>COUNTIF($J$7:J1518,J1518)</f>
        <v>264</v>
      </c>
      <c r="C1518" s="60" t="str">
        <f t="shared" si="114"/>
        <v>0</v>
      </c>
      <c r="D1518" s="60">
        <f>COUNTIF($K$7:K1518,K1518)</f>
        <v>0</v>
      </c>
      <c r="E1518" s="61"/>
      <c r="F1518" s="227">
        <v>44599</v>
      </c>
      <c r="G1518" s="228"/>
      <c r="H1518" s="228" t="s">
        <v>880</v>
      </c>
      <c r="I1518" s="228" t="s">
        <v>37</v>
      </c>
      <c r="J1518" s="67">
        <v>211.01</v>
      </c>
      <c r="K1518" s="65"/>
      <c r="L1518" s="224"/>
      <c r="M1518" s="231">
        <v>181500</v>
      </c>
      <c r="N1518" s="231"/>
      <c r="O1518" s="61"/>
      <c r="P1518" s="69" t="str">
        <f t="shared" si="115"/>
        <v>Hutang Pajak PPN</v>
      </c>
      <c r="Q1518" s="61"/>
    </row>
    <row r="1519" spans="1:17" hidden="1" x14ac:dyDescent="0.25">
      <c r="A1519" s="60" t="str">
        <f t="shared" si="113"/>
        <v>265211,01</v>
      </c>
      <c r="B1519" s="60">
        <f>COUNTIF($J$7:J1519,J1519)</f>
        <v>265</v>
      </c>
      <c r="C1519" s="60" t="str">
        <f t="shared" si="114"/>
        <v>0</v>
      </c>
      <c r="D1519" s="60">
        <f>COUNTIF($K$7:K1519,K1519)</f>
        <v>0</v>
      </c>
      <c r="E1519" s="61"/>
      <c r="F1519" s="227">
        <v>44599</v>
      </c>
      <c r="G1519" s="228"/>
      <c r="H1519" s="228" t="s">
        <v>880</v>
      </c>
      <c r="I1519" s="228" t="s">
        <v>37</v>
      </c>
      <c r="J1519" s="67">
        <v>211.01</v>
      </c>
      <c r="K1519" s="65"/>
      <c r="L1519" s="224"/>
      <c r="M1519" s="231">
        <v>181500</v>
      </c>
      <c r="N1519" s="231"/>
      <c r="O1519" s="61"/>
      <c r="P1519" s="69" t="str">
        <f t="shared" si="115"/>
        <v>Hutang Pajak PPN</v>
      </c>
      <c r="Q1519" s="61"/>
    </row>
    <row r="1520" spans="1:17" hidden="1" x14ac:dyDescent="0.25">
      <c r="A1520" s="60" t="str">
        <f t="shared" si="113"/>
        <v>266211,01</v>
      </c>
      <c r="B1520" s="60">
        <f>COUNTIF($J$7:J1520,J1520)</f>
        <v>266</v>
      </c>
      <c r="C1520" s="60" t="str">
        <f t="shared" si="114"/>
        <v>0</v>
      </c>
      <c r="D1520" s="60">
        <f>COUNTIF($K$7:K1520,K1520)</f>
        <v>0</v>
      </c>
      <c r="E1520" s="61"/>
      <c r="F1520" s="227">
        <v>44599</v>
      </c>
      <c r="G1520" s="228"/>
      <c r="H1520" s="228" t="s">
        <v>880</v>
      </c>
      <c r="I1520" s="228" t="s">
        <v>37</v>
      </c>
      <c r="J1520" s="67">
        <v>211.01</v>
      </c>
      <c r="K1520" s="65"/>
      <c r="L1520" s="224"/>
      <c r="M1520" s="231">
        <v>181500</v>
      </c>
      <c r="N1520" s="231"/>
      <c r="O1520" s="61"/>
      <c r="P1520" s="69" t="str">
        <f t="shared" si="115"/>
        <v>Hutang Pajak PPN</v>
      </c>
      <c r="Q1520" s="61"/>
    </row>
    <row r="1521" spans="1:17" hidden="1" x14ac:dyDescent="0.25">
      <c r="A1521" s="60" t="str">
        <f t="shared" si="113"/>
        <v>267211,01</v>
      </c>
      <c r="B1521" s="60">
        <f>COUNTIF($J$7:J1521,J1521)</f>
        <v>267</v>
      </c>
      <c r="C1521" s="60" t="str">
        <f t="shared" si="114"/>
        <v>0</v>
      </c>
      <c r="D1521" s="60">
        <f>COUNTIF($K$7:K1521,K1521)</f>
        <v>0</v>
      </c>
      <c r="E1521" s="61"/>
      <c r="F1521" s="227">
        <v>44599</v>
      </c>
      <c r="G1521" s="228"/>
      <c r="H1521" s="228" t="s">
        <v>880</v>
      </c>
      <c r="I1521" s="228" t="s">
        <v>37</v>
      </c>
      <c r="J1521" s="67">
        <v>211.01</v>
      </c>
      <c r="K1521" s="65"/>
      <c r="L1521" s="224"/>
      <c r="M1521" s="231">
        <v>438000</v>
      </c>
      <c r="N1521" s="231"/>
      <c r="O1521" s="61"/>
      <c r="P1521" s="69" t="str">
        <f t="shared" si="115"/>
        <v>Hutang Pajak PPN</v>
      </c>
      <c r="Q1521" s="61"/>
    </row>
    <row r="1522" spans="1:17" hidden="1" x14ac:dyDescent="0.25">
      <c r="A1522" s="60" t="str">
        <f t="shared" si="113"/>
        <v>268211,01</v>
      </c>
      <c r="B1522" s="60">
        <f>COUNTIF($J$7:J1522,J1522)</f>
        <v>268</v>
      </c>
      <c r="C1522" s="60" t="str">
        <f t="shared" si="114"/>
        <v>0</v>
      </c>
      <c r="D1522" s="60">
        <f>COUNTIF($K$7:K1522,K1522)</f>
        <v>0</v>
      </c>
      <c r="E1522" s="61"/>
      <c r="F1522" s="227">
        <v>44599</v>
      </c>
      <c r="G1522" s="228"/>
      <c r="H1522" s="228" t="s">
        <v>881</v>
      </c>
      <c r="I1522" s="228" t="s">
        <v>37</v>
      </c>
      <c r="J1522" s="67">
        <v>211.01</v>
      </c>
      <c r="K1522" s="65"/>
      <c r="L1522" s="224"/>
      <c r="M1522" s="231">
        <v>181500</v>
      </c>
      <c r="N1522" s="231"/>
      <c r="O1522" s="61"/>
      <c r="P1522" s="69" t="str">
        <f t="shared" si="115"/>
        <v>Hutang Pajak PPN</v>
      </c>
      <c r="Q1522" s="61"/>
    </row>
    <row r="1523" spans="1:17" hidden="1" x14ac:dyDescent="0.25">
      <c r="A1523" s="60" t="str">
        <f t="shared" si="113"/>
        <v>269211,01</v>
      </c>
      <c r="B1523" s="60">
        <f>COUNTIF($J$7:J1523,J1523)</f>
        <v>269</v>
      </c>
      <c r="C1523" s="60" t="str">
        <f t="shared" si="114"/>
        <v>0</v>
      </c>
      <c r="D1523" s="60">
        <f>COUNTIF($K$7:K1523,K1523)</f>
        <v>0</v>
      </c>
      <c r="E1523" s="61"/>
      <c r="F1523" s="227">
        <v>44599</v>
      </c>
      <c r="G1523" s="228"/>
      <c r="H1523" s="228" t="s">
        <v>881</v>
      </c>
      <c r="I1523" s="228" t="s">
        <v>37</v>
      </c>
      <c r="J1523" s="67">
        <v>211.01</v>
      </c>
      <c r="K1523" s="65"/>
      <c r="L1523" s="224"/>
      <c r="M1523" s="231">
        <v>363000</v>
      </c>
      <c r="N1523" s="231"/>
      <c r="O1523" s="61"/>
      <c r="P1523" s="69" t="str">
        <f t="shared" si="115"/>
        <v>Hutang Pajak PPN</v>
      </c>
      <c r="Q1523" s="61"/>
    </row>
    <row r="1524" spans="1:17" hidden="1" x14ac:dyDescent="0.25">
      <c r="A1524" s="60" t="str">
        <f t="shared" si="113"/>
        <v>270211,01</v>
      </c>
      <c r="B1524" s="60">
        <f>COUNTIF($J$7:J1524,J1524)</f>
        <v>270</v>
      </c>
      <c r="C1524" s="60" t="str">
        <f t="shared" si="114"/>
        <v>0</v>
      </c>
      <c r="D1524" s="60">
        <f>COUNTIF($K$7:K1524,K1524)</f>
        <v>0</v>
      </c>
      <c r="E1524" s="61"/>
      <c r="F1524" s="227">
        <v>44599</v>
      </c>
      <c r="G1524" s="228"/>
      <c r="H1524" s="228" t="s">
        <v>881</v>
      </c>
      <c r="I1524" s="228" t="s">
        <v>37</v>
      </c>
      <c r="J1524" s="67">
        <v>211.01</v>
      </c>
      <c r="K1524" s="65"/>
      <c r="L1524" s="224"/>
      <c r="M1524" s="231">
        <v>363000</v>
      </c>
      <c r="N1524" s="231"/>
      <c r="O1524" s="61"/>
      <c r="P1524" s="69" t="str">
        <f t="shared" si="115"/>
        <v>Hutang Pajak PPN</v>
      </c>
      <c r="Q1524" s="61"/>
    </row>
    <row r="1525" spans="1:17" hidden="1" x14ac:dyDescent="0.25">
      <c r="A1525" s="60" t="str">
        <f t="shared" si="113"/>
        <v>271211,01</v>
      </c>
      <c r="B1525" s="60">
        <f>COUNTIF($J$7:J1525,J1525)</f>
        <v>271</v>
      </c>
      <c r="C1525" s="60" t="str">
        <f t="shared" si="114"/>
        <v>0</v>
      </c>
      <c r="D1525" s="60">
        <f>COUNTIF($K$7:K1525,K1525)</f>
        <v>0</v>
      </c>
      <c r="E1525" s="61"/>
      <c r="F1525" s="227">
        <v>44599</v>
      </c>
      <c r="G1525" s="228"/>
      <c r="H1525" s="228" t="s">
        <v>881</v>
      </c>
      <c r="I1525" s="228" t="s">
        <v>37</v>
      </c>
      <c r="J1525" s="67">
        <v>211.01</v>
      </c>
      <c r="K1525" s="65"/>
      <c r="L1525" s="224"/>
      <c r="M1525" s="231">
        <v>181500</v>
      </c>
      <c r="N1525" s="231"/>
      <c r="O1525" s="61"/>
      <c r="P1525" s="69" t="str">
        <f t="shared" si="115"/>
        <v>Hutang Pajak PPN</v>
      </c>
      <c r="Q1525" s="61"/>
    </row>
    <row r="1526" spans="1:17" hidden="1" x14ac:dyDescent="0.25">
      <c r="A1526" s="60" t="str">
        <f t="shared" si="113"/>
        <v>272211,01</v>
      </c>
      <c r="B1526" s="60">
        <f>COUNTIF($J$7:J1526,J1526)</f>
        <v>272</v>
      </c>
      <c r="C1526" s="60" t="str">
        <f t="shared" si="114"/>
        <v>0</v>
      </c>
      <c r="D1526" s="60">
        <f>COUNTIF($K$7:K1526,K1526)</f>
        <v>0</v>
      </c>
      <c r="E1526" s="61"/>
      <c r="F1526" s="227">
        <v>44599</v>
      </c>
      <c r="G1526" s="228"/>
      <c r="H1526" s="228" t="s">
        <v>882</v>
      </c>
      <c r="I1526" s="228" t="s">
        <v>37</v>
      </c>
      <c r="J1526" s="67">
        <v>211.01</v>
      </c>
      <c r="K1526" s="65"/>
      <c r="L1526" s="224"/>
      <c r="M1526" s="231">
        <v>1312500</v>
      </c>
      <c r="N1526" s="231"/>
      <c r="O1526" s="61"/>
      <c r="P1526" s="69" t="str">
        <f t="shared" si="115"/>
        <v>Hutang Pajak PPN</v>
      </c>
      <c r="Q1526" s="61"/>
    </row>
    <row r="1527" spans="1:17" hidden="1" x14ac:dyDescent="0.25">
      <c r="A1527" s="60" t="str">
        <f t="shared" si="113"/>
        <v>273211,01</v>
      </c>
      <c r="B1527" s="60">
        <f>COUNTIF($J$7:J1527,J1527)</f>
        <v>273</v>
      </c>
      <c r="C1527" s="60" t="str">
        <f t="shared" si="114"/>
        <v>0</v>
      </c>
      <c r="D1527" s="60">
        <f>COUNTIF($K$7:K1527,K1527)</f>
        <v>0</v>
      </c>
      <c r="E1527" s="61"/>
      <c r="F1527" s="227">
        <v>44599</v>
      </c>
      <c r="G1527" s="228"/>
      <c r="H1527" s="228" t="s">
        <v>882</v>
      </c>
      <c r="I1527" s="228" t="s">
        <v>37</v>
      </c>
      <c r="J1527" s="67">
        <v>211.01</v>
      </c>
      <c r="K1527" s="65"/>
      <c r="L1527" s="224"/>
      <c r="M1527" s="231">
        <v>437500</v>
      </c>
      <c r="N1527" s="231"/>
      <c r="O1527" s="61"/>
      <c r="P1527" s="69" t="str">
        <f t="shared" si="115"/>
        <v>Hutang Pajak PPN</v>
      </c>
      <c r="Q1527" s="61"/>
    </row>
    <row r="1528" spans="1:17" hidden="1" x14ac:dyDescent="0.25">
      <c r="A1528" s="60" t="str">
        <f t="shared" si="113"/>
        <v>274211,01</v>
      </c>
      <c r="B1528" s="60">
        <f>COUNTIF($J$7:J1528,J1528)</f>
        <v>274</v>
      </c>
      <c r="C1528" s="60" t="str">
        <f t="shared" si="114"/>
        <v>0</v>
      </c>
      <c r="D1528" s="60">
        <f>COUNTIF($K$7:K1528,K1528)</f>
        <v>0</v>
      </c>
      <c r="E1528" s="61"/>
      <c r="F1528" s="227">
        <v>44599</v>
      </c>
      <c r="G1528" s="228"/>
      <c r="H1528" s="228" t="s">
        <v>882</v>
      </c>
      <c r="I1528" s="228" t="s">
        <v>37</v>
      </c>
      <c r="J1528" s="67">
        <v>211.01</v>
      </c>
      <c r="K1528" s="65"/>
      <c r="L1528" s="224"/>
      <c r="M1528" s="231">
        <v>175000</v>
      </c>
      <c r="N1528" s="231"/>
      <c r="O1528" s="61"/>
      <c r="P1528" s="69" t="str">
        <f t="shared" si="115"/>
        <v>Hutang Pajak PPN</v>
      </c>
      <c r="Q1528" s="61"/>
    </row>
    <row r="1529" spans="1:17" hidden="1" x14ac:dyDescent="0.25">
      <c r="A1529" s="60" t="str">
        <f t="shared" si="113"/>
        <v>275211,01</v>
      </c>
      <c r="B1529" s="60">
        <f>COUNTIF($J$7:J1529,J1529)</f>
        <v>275</v>
      </c>
      <c r="C1529" s="60" t="str">
        <f t="shared" si="114"/>
        <v>0</v>
      </c>
      <c r="D1529" s="60">
        <f>COUNTIF($K$7:K1529,K1529)</f>
        <v>0</v>
      </c>
      <c r="E1529" s="61"/>
      <c r="F1529" s="227">
        <v>44601</v>
      </c>
      <c r="G1529" s="228"/>
      <c r="H1529" s="228" t="s">
        <v>883</v>
      </c>
      <c r="I1529" s="228" t="s">
        <v>37</v>
      </c>
      <c r="J1529" s="67">
        <v>211.01</v>
      </c>
      <c r="K1529" s="65"/>
      <c r="L1529" s="224"/>
      <c r="M1529" s="231">
        <v>181500</v>
      </c>
      <c r="N1529" s="231"/>
      <c r="O1529" s="61"/>
      <c r="P1529" s="69" t="str">
        <f t="shared" si="115"/>
        <v>Hutang Pajak PPN</v>
      </c>
      <c r="Q1529" s="61"/>
    </row>
    <row r="1530" spans="1:17" hidden="1" x14ac:dyDescent="0.25">
      <c r="A1530" s="60" t="str">
        <f t="shared" si="113"/>
        <v>276211,01</v>
      </c>
      <c r="B1530" s="60">
        <f>COUNTIF($J$7:J1530,J1530)</f>
        <v>276</v>
      </c>
      <c r="C1530" s="60" t="str">
        <f t="shared" si="114"/>
        <v>0</v>
      </c>
      <c r="D1530" s="60">
        <f>COUNTIF($K$7:K1530,K1530)</f>
        <v>0</v>
      </c>
      <c r="E1530" s="61"/>
      <c r="F1530" s="227">
        <v>44601</v>
      </c>
      <c r="G1530" s="228"/>
      <c r="H1530" s="228" t="s">
        <v>883</v>
      </c>
      <c r="I1530" s="228" t="s">
        <v>37</v>
      </c>
      <c r="J1530" s="67">
        <v>211.01</v>
      </c>
      <c r="K1530" s="65"/>
      <c r="L1530" s="224"/>
      <c r="M1530" s="231">
        <v>219000</v>
      </c>
      <c r="N1530" s="231"/>
      <c r="O1530" s="61"/>
      <c r="P1530" s="69" t="str">
        <f t="shared" si="115"/>
        <v>Hutang Pajak PPN</v>
      </c>
      <c r="Q1530" s="61"/>
    </row>
    <row r="1531" spans="1:17" hidden="1" x14ac:dyDescent="0.25">
      <c r="A1531" s="60" t="str">
        <f t="shared" si="113"/>
        <v>277211,01</v>
      </c>
      <c r="B1531" s="60">
        <f>COUNTIF($J$7:J1531,J1531)</f>
        <v>277</v>
      </c>
      <c r="C1531" s="60" t="str">
        <f t="shared" si="114"/>
        <v>0</v>
      </c>
      <c r="D1531" s="60">
        <f>COUNTIF($K$7:K1531,K1531)</f>
        <v>0</v>
      </c>
      <c r="E1531" s="61"/>
      <c r="F1531" s="227">
        <v>44601</v>
      </c>
      <c r="G1531" s="228"/>
      <c r="H1531" s="228" t="s">
        <v>883</v>
      </c>
      <c r="I1531" s="228" t="s">
        <v>37</v>
      </c>
      <c r="J1531" s="67">
        <v>211.01</v>
      </c>
      <c r="K1531" s="65"/>
      <c r="L1531" s="224"/>
      <c r="M1531" s="231">
        <v>219000</v>
      </c>
      <c r="N1531" s="231"/>
      <c r="O1531" s="61"/>
      <c r="P1531" s="69" t="str">
        <f t="shared" si="115"/>
        <v>Hutang Pajak PPN</v>
      </c>
      <c r="Q1531" s="61"/>
    </row>
    <row r="1532" spans="1:17" hidden="1" x14ac:dyDescent="0.25">
      <c r="A1532" s="60" t="str">
        <f t="shared" si="113"/>
        <v>278211,01</v>
      </c>
      <c r="B1532" s="60">
        <f>COUNTIF($J$7:J1532,J1532)</f>
        <v>278</v>
      </c>
      <c r="C1532" s="60" t="str">
        <f t="shared" si="114"/>
        <v>0</v>
      </c>
      <c r="D1532" s="60">
        <f>COUNTIF($K$7:K1532,K1532)</f>
        <v>0</v>
      </c>
      <c r="E1532" s="61"/>
      <c r="F1532" s="227">
        <v>44601</v>
      </c>
      <c r="G1532" s="228"/>
      <c r="H1532" s="228" t="s">
        <v>883</v>
      </c>
      <c r="I1532" s="228" t="s">
        <v>37</v>
      </c>
      <c r="J1532" s="67">
        <v>211.01</v>
      </c>
      <c r="K1532" s="65"/>
      <c r="L1532" s="224"/>
      <c r="M1532" s="231">
        <v>438000</v>
      </c>
      <c r="N1532" s="231"/>
      <c r="O1532" s="61"/>
      <c r="P1532" s="69" t="str">
        <f t="shared" si="115"/>
        <v>Hutang Pajak PPN</v>
      </c>
      <c r="Q1532" s="61"/>
    </row>
    <row r="1533" spans="1:17" hidden="1" x14ac:dyDescent="0.25">
      <c r="A1533" s="60" t="str">
        <f t="shared" si="113"/>
        <v>279211,01</v>
      </c>
      <c r="B1533" s="60">
        <f>COUNTIF($J$7:J1533,J1533)</f>
        <v>279</v>
      </c>
      <c r="C1533" s="60" t="str">
        <f t="shared" si="114"/>
        <v>0</v>
      </c>
      <c r="D1533" s="60">
        <f>COUNTIF($K$7:K1533,K1533)</f>
        <v>0</v>
      </c>
      <c r="E1533" s="61"/>
      <c r="F1533" s="227">
        <v>44601</v>
      </c>
      <c r="G1533" s="228"/>
      <c r="H1533" s="228" t="s">
        <v>883</v>
      </c>
      <c r="I1533" s="228" t="s">
        <v>37</v>
      </c>
      <c r="J1533" s="67">
        <v>211.01</v>
      </c>
      <c r="K1533" s="65"/>
      <c r="L1533" s="224"/>
      <c r="M1533" s="231">
        <v>438000</v>
      </c>
      <c r="N1533" s="231"/>
      <c r="O1533" s="61"/>
      <c r="P1533" s="69" t="str">
        <f t="shared" si="115"/>
        <v>Hutang Pajak PPN</v>
      </c>
      <c r="Q1533" s="61"/>
    </row>
    <row r="1534" spans="1:17" hidden="1" x14ac:dyDescent="0.25">
      <c r="A1534" s="60" t="str">
        <f t="shared" si="113"/>
        <v>280211,01</v>
      </c>
      <c r="B1534" s="60">
        <f>COUNTIF($J$7:J1534,J1534)</f>
        <v>280</v>
      </c>
      <c r="C1534" s="60" t="str">
        <f t="shared" si="114"/>
        <v>0</v>
      </c>
      <c r="D1534" s="60">
        <f>COUNTIF($K$7:K1534,K1534)</f>
        <v>0</v>
      </c>
      <c r="E1534" s="61"/>
      <c r="F1534" s="227">
        <v>44601</v>
      </c>
      <c r="G1534" s="228"/>
      <c r="H1534" s="228" t="s">
        <v>883</v>
      </c>
      <c r="I1534" s="228" t="s">
        <v>37</v>
      </c>
      <c r="J1534" s="67">
        <v>211.01</v>
      </c>
      <c r="K1534" s="65"/>
      <c r="L1534" s="224"/>
      <c r="M1534" s="231">
        <v>219000</v>
      </c>
      <c r="N1534" s="231"/>
      <c r="O1534" s="61"/>
      <c r="P1534" s="69" t="str">
        <f t="shared" si="115"/>
        <v>Hutang Pajak PPN</v>
      </c>
      <c r="Q1534" s="61"/>
    </row>
    <row r="1535" spans="1:17" hidden="1" x14ac:dyDescent="0.25">
      <c r="A1535" s="60" t="str">
        <f t="shared" si="113"/>
        <v>281211,01</v>
      </c>
      <c r="B1535" s="60">
        <f>COUNTIF($J$7:J1535,J1535)</f>
        <v>281</v>
      </c>
      <c r="C1535" s="60" t="str">
        <f t="shared" si="114"/>
        <v>0</v>
      </c>
      <c r="D1535" s="60">
        <f>COUNTIF($K$7:K1535,K1535)</f>
        <v>0</v>
      </c>
      <c r="E1535" s="61"/>
      <c r="F1535" s="227">
        <v>44606</v>
      </c>
      <c r="G1535" s="228"/>
      <c r="H1535" s="228" t="s">
        <v>884</v>
      </c>
      <c r="I1535" s="228" t="s">
        <v>37</v>
      </c>
      <c r="J1535" s="67">
        <v>211.01</v>
      </c>
      <c r="K1535" s="65"/>
      <c r="L1535" s="224"/>
      <c r="M1535" s="231">
        <v>875000</v>
      </c>
      <c r="N1535" s="231"/>
      <c r="O1535" s="61"/>
      <c r="P1535" s="69" t="str">
        <f t="shared" si="115"/>
        <v>Hutang Pajak PPN</v>
      </c>
      <c r="Q1535" s="61"/>
    </row>
    <row r="1536" spans="1:17" hidden="1" x14ac:dyDescent="0.25">
      <c r="A1536" s="60" t="str">
        <f t="shared" si="113"/>
        <v>282211,01</v>
      </c>
      <c r="B1536" s="60">
        <f>COUNTIF($J$7:J1536,J1536)</f>
        <v>282</v>
      </c>
      <c r="C1536" s="60" t="str">
        <f t="shared" si="114"/>
        <v>0</v>
      </c>
      <c r="D1536" s="60">
        <f>COUNTIF($K$7:K1536,K1536)</f>
        <v>0</v>
      </c>
      <c r="E1536" s="61"/>
      <c r="F1536" s="227">
        <v>44606</v>
      </c>
      <c r="G1536" s="228"/>
      <c r="H1536" s="228" t="s">
        <v>884</v>
      </c>
      <c r="I1536" s="228" t="s">
        <v>37</v>
      </c>
      <c r="J1536" s="67">
        <v>211.01</v>
      </c>
      <c r="K1536" s="65"/>
      <c r="L1536" s="224"/>
      <c r="M1536" s="231">
        <v>350000</v>
      </c>
      <c r="N1536" s="231"/>
      <c r="O1536" s="61"/>
      <c r="P1536" s="69" t="str">
        <f t="shared" si="115"/>
        <v>Hutang Pajak PPN</v>
      </c>
      <c r="Q1536" s="61"/>
    </row>
    <row r="1537" spans="1:17" hidden="1" x14ac:dyDescent="0.25">
      <c r="A1537" s="60" t="str">
        <f t="shared" si="113"/>
        <v>283211,01</v>
      </c>
      <c r="B1537" s="60">
        <f>COUNTIF($J$7:J1537,J1537)</f>
        <v>283</v>
      </c>
      <c r="C1537" s="60" t="str">
        <f t="shared" si="114"/>
        <v>0</v>
      </c>
      <c r="D1537" s="60">
        <f>COUNTIF($K$7:K1537,K1537)</f>
        <v>0</v>
      </c>
      <c r="E1537" s="61"/>
      <c r="F1537" s="227">
        <v>44607</v>
      </c>
      <c r="G1537" s="228"/>
      <c r="H1537" s="228" t="s">
        <v>885</v>
      </c>
      <c r="I1537" s="228" t="s">
        <v>37</v>
      </c>
      <c r="J1537" s="67">
        <v>211.01</v>
      </c>
      <c r="K1537" s="65"/>
      <c r="L1537" s="224"/>
      <c r="M1537" s="231">
        <v>363000</v>
      </c>
      <c r="N1537" s="231"/>
      <c r="O1537" s="61"/>
      <c r="P1537" s="69" t="str">
        <f t="shared" si="115"/>
        <v>Hutang Pajak PPN</v>
      </c>
      <c r="Q1537" s="61"/>
    </row>
    <row r="1538" spans="1:17" hidden="1" x14ac:dyDescent="0.25">
      <c r="A1538" s="60" t="str">
        <f t="shared" si="113"/>
        <v>284211,01</v>
      </c>
      <c r="B1538" s="60">
        <f>COUNTIF($J$7:J1538,J1538)</f>
        <v>284</v>
      </c>
      <c r="C1538" s="60" t="str">
        <f t="shared" si="114"/>
        <v>0</v>
      </c>
      <c r="D1538" s="60">
        <f>COUNTIF($K$7:K1538,K1538)</f>
        <v>0</v>
      </c>
      <c r="E1538" s="61"/>
      <c r="F1538" s="227">
        <v>44607</v>
      </c>
      <c r="G1538" s="228"/>
      <c r="H1538" s="228" t="s">
        <v>885</v>
      </c>
      <c r="I1538" s="228" t="s">
        <v>37</v>
      </c>
      <c r="J1538" s="67">
        <v>211.01</v>
      </c>
      <c r="K1538" s="65"/>
      <c r="L1538" s="224"/>
      <c r="M1538" s="231">
        <v>363000</v>
      </c>
      <c r="N1538" s="231"/>
      <c r="O1538" s="61"/>
      <c r="P1538" s="69" t="str">
        <f t="shared" si="115"/>
        <v>Hutang Pajak PPN</v>
      </c>
      <c r="Q1538" s="61"/>
    </row>
    <row r="1539" spans="1:17" hidden="1" x14ac:dyDescent="0.25">
      <c r="A1539" s="60" t="str">
        <f t="shared" si="113"/>
        <v>285211,01</v>
      </c>
      <c r="B1539" s="60">
        <f>COUNTIF($J$7:J1539,J1539)</f>
        <v>285</v>
      </c>
      <c r="C1539" s="60" t="str">
        <f t="shared" si="114"/>
        <v>0</v>
      </c>
      <c r="D1539" s="60">
        <f>COUNTIF($K$7:K1539,K1539)</f>
        <v>0</v>
      </c>
      <c r="E1539" s="61"/>
      <c r="F1539" s="227">
        <v>44607</v>
      </c>
      <c r="G1539" s="228"/>
      <c r="H1539" s="228" t="s">
        <v>885</v>
      </c>
      <c r="I1539" s="228" t="s">
        <v>37</v>
      </c>
      <c r="J1539" s="67">
        <v>211.01</v>
      </c>
      <c r="K1539" s="65"/>
      <c r="L1539" s="224"/>
      <c r="M1539" s="231">
        <v>438000</v>
      </c>
      <c r="N1539" s="231"/>
      <c r="O1539" s="61"/>
      <c r="P1539" s="69" t="str">
        <f t="shared" si="115"/>
        <v>Hutang Pajak PPN</v>
      </c>
      <c r="Q1539" s="61"/>
    </row>
    <row r="1540" spans="1:17" hidden="1" x14ac:dyDescent="0.25">
      <c r="A1540" s="60" t="str">
        <f t="shared" si="113"/>
        <v>286211,01</v>
      </c>
      <c r="B1540" s="60">
        <f>COUNTIF($J$7:J1540,J1540)</f>
        <v>286</v>
      </c>
      <c r="C1540" s="60" t="str">
        <f t="shared" si="114"/>
        <v>0</v>
      </c>
      <c r="D1540" s="60">
        <f>COUNTIF($K$7:K1540,K1540)</f>
        <v>0</v>
      </c>
      <c r="E1540" s="61"/>
      <c r="F1540" s="227">
        <v>44607</v>
      </c>
      <c r="G1540" s="228"/>
      <c r="H1540" s="228" t="s">
        <v>885</v>
      </c>
      <c r="I1540" s="228" t="s">
        <v>37</v>
      </c>
      <c r="J1540" s="67">
        <v>211.01</v>
      </c>
      <c r="K1540" s="65"/>
      <c r="L1540" s="224"/>
      <c r="M1540" s="231">
        <v>219000</v>
      </c>
      <c r="N1540" s="231"/>
      <c r="O1540" s="61"/>
      <c r="P1540" s="69" t="str">
        <f t="shared" si="115"/>
        <v>Hutang Pajak PPN</v>
      </c>
      <c r="Q1540" s="61"/>
    </row>
    <row r="1541" spans="1:17" hidden="1" x14ac:dyDescent="0.25">
      <c r="A1541" s="60" t="str">
        <f t="shared" si="113"/>
        <v>287211,01</v>
      </c>
      <c r="B1541" s="60">
        <f>COUNTIF($J$7:J1541,J1541)</f>
        <v>287</v>
      </c>
      <c r="C1541" s="60" t="str">
        <f t="shared" si="114"/>
        <v>0</v>
      </c>
      <c r="D1541" s="60">
        <f>COUNTIF($K$7:K1541,K1541)</f>
        <v>0</v>
      </c>
      <c r="E1541" s="61"/>
      <c r="F1541" s="227">
        <v>44607</v>
      </c>
      <c r="G1541" s="228"/>
      <c r="H1541" s="228" t="s">
        <v>885</v>
      </c>
      <c r="I1541" s="228" t="s">
        <v>37</v>
      </c>
      <c r="J1541" s="67">
        <v>211.01</v>
      </c>
      <c r="K1541" s="65"/>
      <c r="L1541" s="224"/>
      <c r="M1541" s="231">
        <v>219000</v>
      </c>
      <c r="N1541" s="231"/>
      <c r="O1541" s="61"/>
      <c r="P1541" s="69" t="str">
        <f t="shared" si="115"/>
        <v>Hutang Pajak PPN</v>
      </c>
      <c r="Q1541" s="61"/>
    </row>
    <row r="1542" spans="1:17" hidden="1" x14ac:dyDescent="0.25">
      <c r="A1542" s="60" t="str">
        <f t="shared" si="113"/>
        <v>288211,01</v>
      </c>
      <c r="B1542" s="60">
        <f>COUNTIF($J$7:J1542,J1542)</f>
        <v>288</v>
      </c>
      <c r="C1542" s="60" t="str">
        <f t="shared" si="114"/>
        <v>0</v>
      </c>
      <c r="D1542" s="60">
        <f>COUNTIF($K$7:K1542,K1542)</f>
        <v>0</v>
      </c>
      <c r="E1542" s="61"/>
      <c r="F1542" s="227">
        <v>44609</v>
      </c>
      <c r="G1542" s="228"/>
      <c r="H1542" s="228" t="s">
        <v>886</v>
      </c>
      <c r="I1542" s="228" t="s">
        <v>37</v>
      </c>
      <c r="J1542" s="67">
        <v>211.01</v>
      </c>
      <c r="K1542" s="65"/>
      <c r="L1542" s="224"/>
      <c r="M1542" s="231">
        <v>350000</v>
      </c>
      <c r="N1542" s="231"/>
      <c r="O1542" s="61"/>
      <c r="P1542" s="69" t="str">
        <f t="shared" si="115"/>
        <v>Hutang Pajak PPN</v>
      </c>
      <c r="Q1542" s="61"/>
    </row>
    <row r="1543" spans="1:17" hidden="1" x14ac:dyDescent="0.25">
      <c r="A1543" s="60" t="str">
        <f t="shared" ref="A1543:A1606" si="116">B1543&amp;J1543</f>
        <v>289211,01</v>
      </c>
      <c r="B1543" s="60">
        <f>COUNTIF($J$7:J1543,J1543)</f>
        <v>289</v>
      </c>
      <c r="C1543" s="60" t="str">
        <f t="shared" ref="C1543:C1606" si="117">D1543&amp;K1543</f>
        <v>0</v>
      </c>
      <c r="D1543" s="60">
        <f>COUNTIF($K$7:K1543,K1543)</f>
        <v>0</v>
      </c>
      <c r="E1543" s="61"/>
      <c r="F1543" s="227">
        <v>44609</v>
      </c>
      <c r="G1543" s="228"/>
      <c r="H1543" s="228" t="s">
        <v>886</v>
      </c>
      <c r="I1543" s="228" t="s">
        <v>37</v>
      </c>
      <c r="J1543" s="67">
        <v>211.01</v>
      </c>
      <c r="K1543" s="65"/>
      <c r="L1543" s="224"/>
      <c r="M1543" s="231">
        <v>525000</v>
      </c>
      <c r="N1543" s="231"/>
      <c r="O1543" s="61"/>
      <c r="P1543" s="69" t="str">
        <f t="shared" ref="P1543:P1606" si="118">IF(J1543=0,"-",+VLOOKUP(J1543,DAF_AKUN,2,FALSE))</f>
        <v>Hutang Pajak PPN</v>
      </c>
      <c r="Q1543" s="61"/>
    </row>
    <row r="1544" spans="1:17" hidden="1" x14ac:dyDescent="0.25">
      <c r="A1544" s="60" t="str">
        <f t="shared" si="116"/>
        <v>290211,01</v>
      </c>
      <c r="B1544" s="60">
        <f>COUNTIF($J$7:J1544,J1544)</f>
        <v>290</v>
      </c>
      <c r="C1544" s="60" t="str">
        <f t="shared" si="117"/>
        <v>0</v>
      </c>
      <c r="D1544" s="60">
        <f>COUNTIF($K$7:K1544,K1544)</f>
        <v>0</v>
      </c>
      <c r="E1544" s="61"/>
      <c r="F1544" s="227">
        <v>44609</v>
      </c>
      <c r="G1544" s="228"/>
      <c r="H1544" s="228" t="s">
        <v>886</v>
      </c>
      <c r="I1544" s="228" t="s">
        <v>37</v>
      </c>
      <c r="J1544" s="67">
        <v>211.01</v>
      </c>
      <c r="K1544" s="65"/>
      <c r="L1544" s="224"/>
      <c r="M1544" s="231">
        <v>175000</v>
      </c>
      <c r="N1544" s="231"/>
      <c r="O1544" s="61"/>
      <c r="P1544" s="69" t="str">
        <f t="shared" si="118"/>
        <v>Hutang Pajak PPN</v>
      </c>
      <c r="Q1544" s="61"/>
    </row>
    <row r="1545" spans="1:17" hidden="1" x14ac:dyDescent="0.25">
      <c r="A1545" s="60" t="str">
        <f t="shared" si="116"/>
        <v>291211,01</v>
      </c>
      <c r="B1545" s="60">
        <f>COUNTIF($J$7:J1545,J1545)</f>
        <v>291</v>
      </c>
      <c r="C1545" s="60" t="str">
        <f t="shared" si="117"/>
        <v>0</v>
      </c>
      <c r="D1545" s="60">
        <f>COUNTIF($K$7:K1545,K1545)</f>
        <v>0</v>
      </c>
      <c r="E1545" s="61"/>
      <c r="F1545" s="227">
        <v>44609</v>
      </c>
      <c r="G1545" s="228"/>
      <c r="H1545" s="228" t="s">
        <v>887</v>
      </c>
      <c r="I1545" s="228" t="s">
        <v>37</v>
      </c>
      <c r="J1545" s="67">
        <v>211.01</v>
      </c>
      <c r="K1545" s="65"/>
      <c r="L1545" s="224"/>
      <c r="M1545" s="231">
        <v>181500</v>
      </c>
      <c r="N1545" s="231"/>
      <c r="O1545" s="61"/>
      <c r="P1545" s="69" t="str">
        <f t="shared" si="118"/>
        <v>Hutang Pajak PPN</v>
      </c>
      <c r="Q1545" s="61"/>
    </row>
    <row r="1546" spans="1:17" hidden="1" x14ac:dyDescent="0.25">
      <c r="A1546" s="60" t="str">
        <f t="shared" si="116"/>
        <v>292211,01</v>
      </c>
      <c r="B1546" s="60">
        <f>COUNTIF($J$7:J1546,J1546)</f>
        <v>292</v>
      </c>
      <c r="C1546" s="60" t="str">
        <f t="shared" si="117"/>
        <v>0</v>
      </c>
      <c r="D1546" s="60">
        <f>COUNTIF($K$7:K1546,K1546)</f>
        <v>0</v>
      </c>
      <c r="E1546" s="61"/>
      <c r="F1546" s="227">
        <v>44609</v>
      </c>
      <c r="G1546" s="228"/>
      <c r="H1546" s="228" t="s">
        <v>887</v>
      </c>
      <c r="I1546" s="228" t="s">
        <v>37</v>
      </c>
      <c r="J1546" s="67">
        <v>211.01</v>
      </c>
      <c r="K1546" s="65"/>
      <c r="L1546" s="224"/>
      <c r="M1546" s="231">
        <v>181500</v>
      </c>
      <c r="N1546" s="231"/>
      <c r="O1546" s="61"/>
      <c r="P1546" s="69" t="str">
        <f t="shared" si="118"/>
        <v>Hutang Pajak PPN</v>
      </c>
      <c r="Q1546" s="61"/>
    </row>
    <row r="1547" spans="1:17" hidden="1" x14ac:dyDescent="0.25">
      <c r="A1547" s="60" t="str">
        <f t="shared" si="116"/>
        <v>293211,01</v>
      </c>
      <c r="B1547" s="60">
        <f>COUNTIF($J$7:J1547,J1547)</f>
        <v>293</v>
      </c>
      <c r="C1547" s="60" t="str">
        <f t="shared" si="117"/>
        <v>0</v>
      </c>
      <c r="D1547" s="60">
        <f>COUNTIF($K$7:K1547,K1547)</f>
        <v>0</v>
      </c>
      <c r="E1547" s="61"/>
      <c r="F1547" s="227">
        <v>44609</v>
      </c>
      <c r="G1547" s="228"/>
      <c r="H1547" s="228" t="s">
        <v>887</v>
      </c>
      <c r="I1547" s="228" t="s">
        <v>37</v>
      </c>
      <c r="J1547" s="67">
        <v>211.01</v>
      </c>
      <c r="K1547" s="65"/>
      <c r="L1547" s="224"/>
      <c r="M1547" s="231">
        <v>181500</v>
      </c>
      <c r="N1547" s="231"/>
      <c r="O1547" s="61"/>
      <c r="P1547" s="69" t="str">
        <f t="shared" si="118"/>
        <v>Hutang Pajak PPN</v>
      </c>
      <c r="Q1547" s="61"/>
    </row>
    <row r="1548" spans="1:17" hidden="1" x14ac:dyDescent="0.25">
      <c r="A1548" s="60" t="str">
        <f t="shared" si="116"/>
        <v>294211,01</v>
      </c>
      <c r="B1548" s="60">
        <f>COUNTIF($J$7:J1548,J1548)</f>
        <v>294</v>
      </c>
      <c r="C1548" s="60" t="str">
        <f t="shared" si="117"/>
        <v>0</v>
      </c>
      <c r="D1548" s="60">
        <f>COUNTIF($K$7:K1548,K1548)</f>
        <v>0</v>
      </c>
      <c r="E1548" s="61"/>
      <c r="F1548" s="227">
        <v>44609</v>
      </c>
      <c r="G1548" s="228"/>
      <c r="H1548" s="228" t="s">
        <v>887</v>
      </c>
      <c r="I1548" s="228" t="s">
        <v>37</v>
      </c>
      <c r="J1548" s="67">
        <v>211.01</v>
      </c>
      <c r="K1548" s="65"/>
      <c r="L1548" s="224"/>
      <c r="M1548" s="231">
        <v>219000</v>
      </c>
      <c r="N1548" s="231"/>
      <c r="O1548" s="61"/>
      <c r="P1548" s="69" t="str">
        <f t="shared" si="118"/>
        <v>Hutang Pajak PPN</v>
      </c>
      <c r="Q1548" s="61"/>
    </row>
    <row r="1549" spans="1:17" hidden="1" x14ac:dyDescent="0.25">
      <c r="A1549" s="60" t="str">
        <f t="shared" si="116"/>
        <v>295211,01</v>
      </c>
      <c r="B1549" s="60">
        <f>COUNTIF($J$7:J1549,J1549)</f>
        <v>295</v>
      </c>
      <c r="C1549" s="60" t="str">
        <f t="shared" si="117"/>
        <v>0</v>
      </c>
      <c r="D1549" s="60">
        <f>COUNTIF($K$7:K1549,K1549)</f>
        <v>0</v>
      </c>
      <c r="E1549" s="61"/>
      <c r="F1549" s="227">
        <v>44609</v>
      </c>
      <c r="G1549" s="228"/>
      <c r="H1549" s="228" t="s">
        <v>887</v>
      </c>
      <c r="I1549" s="228" t="s">
        <v>37</v>
      </c>
      <c r="J1549" s="67">
        <v>211.01</v>
      </c>
      <c r="K1549" s="65"/>
      <c r="L1549" s="224"/>
      <c r="M1549" s="231">
        <v>219000</v>
      </c>
      <c r="N1549" s="231"/>
      <c r="O1549" s="61"/>
      <c r="P1549" s="69" t="str">
        <f t="shared" si="118"/>
        <v>Hutang Pajak PPN</v>
      </c>
      <c r="Q1549" s="61"/>
    </row>
    <row r="1550" spans="1:17" hidden="1" x14ac:dyDescent="0.25">
      <c r="A1550" s="60" t="str">
        <f t="shared" si="116"/>
        <v>296211,01</v>
      </c>
      <c r="B1550" s="60">
        <f>COUNTIF($J$7:J1550,J1550)</f>
        <v>296</v>
      </c>
      <c r="C1550" s="60" t="str">
        <f t="shared" si="117"/>
        <v>0</v>
      </c>
      <c r="D1550" s="60">
        <f>COUNTIF($K$7:K1550,K1550)</f>
        <v>0</v>
      </c>
      <c r="E1550" s="61"/>
      <c r="F1550" s="227">
        <v>44615</v>
      </c>
      <c r="G1550" s="228"/>
      <c r="H1550" s="228" t="s">
        <v>888</v>
      </c>
      <c r="I1550" s="228" t="s">
        <v>37</v>
      </c>
      <c r="J1550" s="67">
        <v>211.01</v>
      </c>
      <c r="K1550" s="65"/>
      <c r="L1550" s="224"/>
      <c r="M1550" s="231">
        <v>363000</v>
      </c>
      <c r="N1550" s="231"/>
      <c r="O1550" s="61"/>
      <c r="P1550" s="69" t="str">
        <f t="shared" si="118"/>
        <v>Hutang Pajak PPN</v>
      </c>
      <c r="Q1550" s="61"/>
    </row>
    <row r="1551" spans="1:17" hidden="1" x14ac:dyDescent="0.25">
      <c r="A1551" s="60" t="str">
        <f t="shared" si="116"/>
        <v>297211,01</v>
      </c>
      <c r="B1551" s="60">
        <f>COUNTIF($J$7:J1551,J1551)</f>
        <v>297</v>
      </c>
      <c r="C1551" s="60" t="str">
        <f t="shared" si="117"/>
        <v>0</v>
      </c>
      <c r="D1551" s="60">
        <f>COUNTIF($K$7:K1551,K1551)</f>
        <v>0</v>
      </c>
      <c r="E1551" s="61"/>
      <c r="F1551" s="227">
        <v>44615</v>
      </c>
      <c r="G1551" s="228"/>
      <c r="H1551" s="228" t="s">
        <v>888</v>
      </c>
      <c r="I1551" s="228" t="s">
        <v>37</v>
      </c>
      <c r="J1551" s="67">
        <v>211.01</v>
      </c>
      <c r="K1551" s="65"/>
      <c r="L1551" s="224"/>
      <c r="M1551" s="231">
        <v>363000</v>
      </c>
      <c r="N1551" s="231"/>
      <c r="O1551" s="61"/>
      <c r="P1551" s="69" t="str">
        <f t="shared" si="118"/>
        <v>Hutang Pajak PPN</v>
      </c>
      <c r="Q1551" s="61"/>
    </row>
    <row r="1552" spans="1:17" hidden="1" x14ac:dyDescent="0.25">
      <c r="A1552" s="60" t="str">
        <f t="shared" si="116"/>
        <v>298211,01</v>
      </c>
      <c r="B1552" s="60">
        <f>COUNTIF($J$7:J1552,J1552)</f>
        <v>298</v>
      </c>
      <c r="C1552" s="60" t="str">
        <f t="shared" si="117"/>
        <v>0</v>
      </c>
      <c r="D1552" s="60">
        <f>COUNTIF($K$7:K1552,K1552)</f>
        <v>0</v>
      </c>
      <c r="E1552" s="61"/>
      <c r="F1552" s="227">
        <v>44615</v>
      </c>
      <c r="G1552" s="228"/>
      <c r="H1552" s="228" t="s">
        <v>888</v>
      </c>
      <c r="I1552" s="228" t="s">
        <v>37</v>
      </c>
      <c r="J1552" s="67">
        <v>211.01</v>
      </c>
      <c r="K1552" s="65"/>
      <c r="L1552" s="224"/>
      <c r="M1552" s="231">
        <v>181500</v>
      </c>
      <c r="N1552" s="231"/>
      <c r="O1552" s="61"/>
      <c r="P1552" s="69" t="str">
        <f t="shared" si="118"/>
        <v>Hutang Pajak PPN</v>
      </c>
      <c r="Q1552" s="61"/>
    </row>
    <row r="1553" spans="1:17" hidden="1" x14ac:dyDescent="0.25">
      <c r="A1553" s="60" t="str">
        <f t="shared" si="116"/>
        <v>299211,01</v>
      </c>
      <c r="B1553" s="60">
        <f>COUNTIF($J$7:J1553,J1553)</f>
        <v>299</v>
      </c>
      <c r="C1553" s="60" t="str">
        <f t="shared" si="117"/>
        <v>0</v>
      </c>
      <c r="D1553" s="60">
        <f>COUNTIF($K$7:K1553,K1553)</f>
        <v>0</v>
      </c>
      <c r="E1553" s="61"/>
      <c r="F1553" s="227">
        <v>44615</v>
      </c>
      <c r="G1553" s="228"/>
      <c r="H1553" s="228" t="s">
        <v>888</v>
      </c>
      <c r="I1553" s="228" t="s">
        <v>37</v>
      </c>
      <c r="J1553" s="67">
        <v>211.01</v>
      </c>
      <c r="K1553" s="65"/>
      <c r="L1553" s="224"/>
      <c r="M1553" s="231">
        <v>363000</v>
      </c>
      <c r="N1553" s="231"/>
      <c r="O1553" s="61"/>
      <c r="P1553" s="69" t="str">
        <f t="shared" si="118"/>
        <v>Hutang Pajak PPN</v>
      </c>
      <c r="Q1553" s="61"/>
    </row>
    <row r="1554" spans="1:17" hidden="1" x14ac:dyDescent="0.25">
      <c r="A1554" s="60" t="str">
        <f t="shared" si="116"/>
        <v>300211,01</v>
      </c>
      <c r="B1554" s="60">
        <f>COUNTIF($J$7:J1554,J1554)</f>
        <v>300</v>
      </c>
      <c r="C1554" s="60" t="str">
        <f t="shared" si="117"/>
        <v>0</v>
      </c>
      <c r="D1554" s="60">
        <f>COUNTIF($K$7:K1554,K1554)</f>
        <v>0</v>
      </c>
      <c r="E1554" s="61"/>
      <c r="F1554" s="227">
        <v>44615</v>
      </c>
      <c r="G1554" s="228"/>
      <c r="H1554" s="228" t="s">
        <v>888</v>
      </c>
      <c r="I1554" s="228" t="s">
        <v>37</v>
      </c>
      <c r="J1554" s="67">
        <v>211.01</v>
      </c>
      <c r="K1554" s="65"/>
      <c r="L1554" s="224"/>
      <c r="M1554" s="231">
        <v>219000</v>
      </c>
      <c r="N1554" s="231"/>
      <c r="O1554" s="61"/>
      <c r="P1554" s="69" t="str">
        <f t="shared" si="118"/>
        <v>Hutang Pajak PPN</v>
      </c>
      <c r="Q1554" s="61"/>
    </row>
    <row r="1555" spans="1:17" hidden="1" x14ac:dyDescent="0.25">
      <c r="A1555" s="60" t="str">
        <f t="shared" si="116"/>
        <v>301211,01</v>
      </c>
      <c r="B1555" s="60">
        <f>COUNTIF($J$7:J1555,J1555)</f>
        <v>301</v>
      </c>
      <c r="C1555" s="60" t="str">
        <f t="shared" si="117"/>
        <v>0</v>
      </c>
      <c r="D1555" s="60">
        <f>COUNTIF($K$7:K1555,K1555)</f>
        <v>0</v>
      </c>
      <c r="E1555" s="61"/>
      <c r="F1555" s="227">
        <v>44615</v>
      </c>
      <c r="G1555" s="228"/>
      <c r="H1555" s="228" t="s">
        <v>888</v>
      </c>
      <c r="I1555" s="228" t="s">
        <v>37</v>
      </c>
      <c r="J1555" s="67">
        <v>211.01</v>
      </c>
      <c r="K1555" s="65"/>
      <c r="L1555" s="224"/>
      <c r="M1555" s="231">
        <v>219000</v>
      </c>
      <c r="N1555" s="231"/>
      <c r="O1555" s="61"/>
      <c r="P1555" s="69" t="str">
        <f t="shared" si="118"/>
        <v>Hutang Pajak PPN</v>
      </c>
      <c r="Q1555" s="61"/>
    </row>
    <row r="1556" spans="1:17" hidden="1" x14ac:dyDescent="0.25">
      <c r="A1556" s="60" t="str">
        <f t="shared" si="116"/>
        <v>302211,01</v>
      </c>
      <c r="B1556" s="60">
        <f>COUNTIF($J$7:J1556,J1556)</f>
        <v>302</v>
      </c>
      <c r="C1556" s="60" t="str">
        <f t="shared" si="117"/>
        <v>0</v>
      </c>
      <c r="D1556" s="60">
        <f>COUNTIF($K$7:K1556,K1556)</f>
        <v>0</v>
      </c>
      <c r="E1556" s="61"/>
      <c r="F1556" s="227">
        <v>44613</v>
      </c>
      <c r="G1556" s="228"/>
      <c r="H1556" s="228" t="s">
        <v>889</v>
      </c>
      <c r="I1556" s="228" t="s">
        <v>107</v>
      </c>
      <c r="J1556" s="67">
        <v>211.01</v>
      </c>
      <c r="K1556" s="65"/>
      <c r="L1556" s="224"/>
      <c r="M1556" s="231">
        <v>818181.81</v>
      </c>
      <c r="N1556" s="231"/>
      <c r="O1556" s="61"/>
      <c r="P1556" s="69" t="str">
        <f t="shared" si="118"/>
        <v>Hutang Pajak PPN</v>
      </c>
      <c r="Q1556" s="61"/>
    </row>
    <row r="1557" spans="1:17" hidden="1" x14ac:dyDescent="0.25">
      <c r="A1557" s="60" t="str">
        <f t="shared" si="116"/>
        <v>303211,01</v>
      </c>
      <c r="B1557" s="60">
        <f>COUNTIF($J$7:J1557,J1557)</f>
        <v>303</v>
      </c>
      <c r="C1557" s="60" t="str">
        <f t="shared" si="117"/>
        <v>0</v>
      </c>
      <c r="D1557" s="60">
        <f>COUNTIF($K$7:K1557,K1557)</f>
        <v>0</v>
      </c>
      <c r="E1557" s="61"/>
      <c r="F1557" s="227">
        <v>44613</v>
      </c>
      <c r="G1557" s="228"/>
      <c r="H1557" s="228" t="s">
        <v>889</v>
      </c>
      <c r="I1557" s="228" t="s">
        <v>107</v>
      </c>
      <c r="J1557" s="67">
        <v>211.01</v>
      </c>
      <c r="K1557" s="65"/>
      <c r="L1557" s="224"/>
      <c r="M1557" s="231">
        <v>1909090.89</v>
      </c>
      <c r="N1557" s="231"/>
      <c r="O1557" s="61"/>
      <c r="P1557" s="69" t="str">
        <f t="shared" si="118"/>
        <v>Hutang Pajak PPN</v>
      </c>
      <c r="Q1557" s="61"/>
    </row>
    <row r="1558" spans="1:17" hidden="1" x14ac:dyDescent="0.25">
      <c r="A1558" s="60" t="str">
        <f t="shared" si="116"/>
        <v>304211,01</v>
      </c>
      <c r="B1558" s="60">
        <f>COUNTIF($J$7:J1558,J1558)</f>
        <v>304</v>
      </c>
      <c r="C1558" s="60" t="str">
        <f t="shared" si="117"/>
        <v>0</v>
      </c>
      <c r="D1558" s="60">
        <f>COUNTIF($K$7:K1558,K1558)</f>
        <v>0</v>
      </c>
      <c r="E1558" s="61"/>
      <c r="F1558" s="227">
        <v>44596</v>
      </c>
      <c r="G1558" s="228"/>
      <c r="H1558" s="228" t="s">
        <v>890</v>
      </c>
      <c r="I1558" s="228" t="s">
        <v>62</v>
      </c>
      <c r="J1558" s="67">
        <v>211.01</v>
      </c>
      <c r="K1558" s="65"/>
      <c r="L1558" s="224"/>
      <c r="M1558" s="231">
        <v>87272.727270000003</v>
      </c>
      <c r="N1558" s="231"/>
      <c r="O1558" s="61"/>
      <c r="P1558" s="69" t="str">
        <f t="shared" si="118"/>
        <v>Hutang Pajak PPN</v>
      </c>
      <c r="Q1558" s="61"/>
    </row>
    <row r="1559" spans="1:17" hidden="1" x14ac:dyDescent="0.25">
      <c r="A1559" s="60" t="str">
        <f t="shared" si="116"/>
        <v>305211,01</v>
      </c>
      <c r="B1559" s="60">
        <f>COUNTIF($J$7:J1559,J1559)</f>
        <v>305</v>
      </c>
      <c r="C1559" s="60" t="str">
        <f t="shared" si="117"/>
        <v>0</v>
      </c>
      <c r="D1559" s="60">
        <f>COUNTIF($K$7:K1559,K1559)</f>
        <v>0</v>
      </c>
      <c r="E1559" s="61"/>
      <c r="F1559" s="227">
        <v>44596</v>
      </c>
      <c r="G1559" s="228"/>
      <c r="H1559" s="228" t="s">
        <v>890</v>
      </c>
      <c r="I1559" s="228" t="s">
        <v>62</v>
      </c>
      <c r="J1559" s="67">
        <v>211.01</v>
      </c>
      <c r="K1559" s="65"/>
      <c r="L1559" s="224"/>
      <c r="M1559" s="231">
        <v>305454.545445</v>
      </c>
      <c r="N1559" s="231"/>
      <c r="O1559" s="61"/>
      <c r="P1559" s="69" t="str">
        <f t="shared" si="118"/>
        <v>Hutang Pajak PPN</v>
      </c>
      <c r="Q1559" s="61"/>
    </row>
    <row r="1560" spans="1:17" hidden="1" x14ac:dyDescent="0.25">
      <c r="A1560" s="60" t="str">
        <f t="shared" si="116"/>
        <v>306211,01</v>
      </c>
      <c r="B1560" s="60">
        <f>COUNTIF($J$7:J1560,J1560)</f>
        <v>306</v>
      </c>
      <c r="C1560" s="60" t="str">
        <f t="shared" si="117"/>
        <v>0</v>
      </c>
      <c r="D1560" s="60">
        <f>COUNTIF($K$7:K1560,K1560)</f>
        <v>0</v>
      </c>
      <c r="E1560" s="61"/>
      <c r="F1560" s="227">
        <v>44596</v>
      </c>
      <c r="G1560" s="228"/>
      <c r="H1560" s="228" t="s">
        <v>890</v>
      </c>
      <c r="I1560" s="228" t="s">
        <v>62</v>
      </c>
      <c r="J1560" s="67">
        <v>211.01</v>
      </c>
      <c r="K1560" s="65"/>
      <c r="L1560" s="224"/>
      <c r="M1560" s="231">
        <v>43636.363635000002</v>
      </c>
      <c r="N1560" s="231"/>
      <c r="O1560" s="61"/>
      <c r="P1560" s="69" t="str">
        <f t="shared" si="118"/>
        <v>Hutang Pajak PPN</v>
      </c>
      <c r="Q1560" s="61"/>
    </row>
    <row r="1561" spans="1:17" hidden="1" x14ac:dyDescent="0.25">
      <c r="A1561" s="60" t="str">
        <f t="shared" si="116"/>
        <v>307211,01</v>
      </c>
      <c r="B1561" s="60">
        <f>COUNTIF($J$7:J1561,J1561)</f>
        <v>307</v>
      </c>
      <c r="C1561" s="60" t="str">
        <f t="shared" si="117"/>
        <v>0</v>
      </c>
      <c r="D1561" s="60">
        <f>COUNTIF($K$7:K1561,K1561)</f>
        <v>0</v>
      </c>
      <c r="E1561" s="61"/>
      <c r="F1561" s="227">
        <v>44600</v>
      </c>
      <c r="G1561" s="228"/>
      <c r="H1561" s="228" t="s">
        <v>891</v>
      </c>
      <c r="I1561" s="228" t="s">
        <v>72</v>
      </c>
      <c r="J1561" s="67">
        <v>211.01</v>
      </c>
      <c r="K1561" s="65"/>
      <c r="L1561" s="224"/>
      <c r="M1561" s="231">
        <v>1800000</v>
      </c>
      <c r="N1561" s="231"/>
      <c r="O1561" s="61"/>
      <c r="P1561" s="69" t="str">
        <f t="shared" si="118"/>
        <v>Hutang Pajak PPN</v>
      </c>
      <c r="Q1561" s="61"/>
    </row>
    <row r="1562" spans="1:17" hidden="1" x14ac:dyDescent="0.25">
      <c r="A1562" s="60" t="str">
        <f t="shared" si="116"/>
        <v>308211,01</v>
      </c>
      <c r="B1562" s="60">
        <f>COUNTIF($J$7:J1562,J1562)</f>
        <v>308</v>
      </c>
      <c r="C1562" s="60" t="str">
        <f t="shared" si="117"/>
        <v>0</v>
      </c>
      <c r="D1562" s="60">
        <f>COUNTIF($K$7:K1562,K1562)</f>
        <v>0</v>
      </c>
      <c r="E1562" s="61"/>
      <c r="F1562" s="227">
        <v>44600</v>
      </c>
      <c r="G1562" s="228"/>
      <c r="H1562" s="228" t="s">
        <v>891</v>
      </c>
      <c r="I1562" s="228" t="s">
        <v>72</v>
      </c>
      <c r="J1562" s="67">
        <v>211.01</v>
      </c>
      <c r="K1562" s="65"/>
      <c r="L1562" s="224"/>
      <c r="M1562" s="231">
        <v>1800000</v>
      </c>
      <c r="N1562" s="231"/>
      <c r="O1562" s="61"/>
      <c r="P1562" s="69" t="str">
        <f t="shared" si="118"/>
        <v>Hutang Pajak PPN</v>
      </c>
      <c r="Q1562" s="61"/>
    </row>
    <row r="1563" spans="1:17" hidden="1" x14ac:dyDescent="0.25">
      <c r="A1563" s="60" t="str">
        <f t="shared" si="116"/>
        <v>309211,01</v>
      </c>
      <c r="B1563" s="60">
        <f>COUNTIF($J$7:J1563,J1563)</f>
        <v>309</v>
      </c>
      <c r="C1563" s="60" t="str">
        <f t="shared" si="117"/>
        <v>0</v>
      </c>
      <c r="D1563" s="60">
        <f>COUNTIF($K$7:K1563,K1563)</f>
        <v>0</v>
      </c>
      <c r="E1563" s="61"/>
      <c r="F1563" s="227">
        <v>44600</v>
      </c>
      <c r="G1563" s="228"/>
      <c r="H1563" s="228" t="s">
        <v>891</v>
      </c>
      <c r="I1563" s="228" t="s">
        <v>72</v>
      </c>
      <c r="J1563" s="67">
        <v>211.01</v>
      </c>
      <c r="K1563" s="65"/>
      <c r="L1563" s="224"/>
      <c r="M1563" s="231">
        <v>1800000</v>
      </c>
      <c r="N1563" s="231"/>
      <c r="O1563" s="61"/>
      <c r="P1563" s="69" t="str">
        <f t="shared" si="118"/>
        <v>Hutang Pajak PPN</v>
      </c>
      <c r="Q1563" s="61"/>
    </row>
    <row r="1564" spans="1:17" hidden="1" x14ac:dyDescent="0.25">
      <c r="A1564" s="60" t="str">
        <f t="shared" si="116"/>
        <v>310211,01</v>
      </c>
      <c r="B1564" s="60">
        <f>COUNTIF($J$7:J1564,J1564)</f>
        <v>310</v>
      </c>
      <c r="C1564" s="60" t="str">
        <f t="shared" si="117"/>
        <v>0</v>
      </c>
      <c r="D1564" s="60">
        <f>COUNTIF($K$7:K1564,K1564)</f>
        <v>0</v>
      </c>
      <c r="E1564" s="61"/>
      <c r="F1564" s="227">
        <v>44594</v>
      </c>
      <c r="G1564" s="228"/>
      <c r="H1564" s="228" t="s">
        <v>892</v>
      </c>
      <c r="I1564" s="228" t="s">
        <v>34</v>
      </c>
      <c r="J1564" s="67">
        <v>211.01</v>
      </c>
      <c r="K1564" s="65"/>
      <c r="L1564" s="224"/>
      <c r="M1564" s="231">
        <v>164999.25</v>
      </c>
      <c r="N1564" s="231"/>
      <c r="O1564" s="61"/>
      <c r="P1564" s="69" t="str">
        <f t="shared" si="118"/>
        <v>Hutang Pajak PPN</v>
      </c>
      <c r="Q1564" s="61"/>
    </row>
    <row r="1565" spans="1:17" hidden="1" x14ac:dyDescent="0.25">
      <c r="A1565" s="60" t="str">
        <f t="shared" si="116"/>
        <v>311211,01</v>
      </c>
      <c r="B1565" s="60">
        <f>COUNTIF($J$7:J1565,J1565)</f>
        <v>311</v>
      </c>
      <c r="C1565" s="60" t="str">
        <f t="shared" si="117"/>
        <v>0</v>
      </c>
      <c r="D1565" s="60">
        <f>COUNTIF($K$7:K1565,K1565)</f>
        <v>0</v>
      </c>
      <c r="E1565" s="61"/>
      <c r="F1565" s="227">
        <v>44594</v>
      </c>
      <c r="G1565" s="228"/>
      <c r="H1565" s="228" t="s">
        <v>892</v>
      </c>
      <c r="I1565" s="228" t="s">
        <v>34</v>
      </c>
      <c r="J1565" s="67">
        <v>211.01</v>
      </c>
      <c r="K1565" s="65"/>
      <c r="L1565" s="224"/>
      <c r="M1565" s="231">
        <v>109999.5</v>
      </c>
      <c r="N1565" s="231"/>
      <c r="O1565" s="61"/>
      <c r="P1565" s="69" t="str">
        <f t="shared" si="118"/>
        <v>Hutang Pajak PPN</v>
      </c>
      <c r="Q1565" s="61"/>
    </row>
    <row r="1566" spans="1:17" hidden="1" x14ac:dyDescent="0.25">
      <c r="A1566" s="60" t="str">
        <f t="shared" si="116"/>
        <v>312211,01</v>
      </c>
      <c r="B1566" s="60">
        <f>COUNTIF($J$7:J1566,J1566)</f>
        <v>312</v>
      </c>
      <c r="C1566" s="60" t="str">
        <f t="shared" si="117"/>
        <v>0</v>
      </c>
      <c r="D1566" s="60">
        <f>COUNTIF($K$7:K1566,K1566)</f>
        <v>0</v>
      </c>
      <c r="E1566" s="61"/>
      <c r="F1566" s="227">
        <v>44594</v>
      </c>
      <c r="G1566" s="228"/>
      <c r="H1566" s="228" t="s">
        <v>893</v>
      </c>
      <c r="I1566" s="228" t="s">
        <v>34</v>
      </c>
      <c r="J1566" s="67">
        <v>211.01</v>
      </c>
      <c r="K1566" s="65"/>
      <c r="L1566" s="224"/>
      <c r="M1566" s="231">
        <v>1800000</v>
      </c>
      <c r="N1566" s="231"/>
      <c r="O1566" s="61"/>
      <c r="P1566" s="69" t="str">
        <f t="shared" si="118"/>
        <v>Hutang Pajak PPN</v>
      </c>
      <c r="Q1566" s="61"/>
    </row>
    <row r="1567" spans="1:17" hidden="1" x14ac:dyDescent="0.25">
      <c r="A1567" s="60" t="str">
        <f t="shared" si="116"/>
        <v>313211,01</v>
      </c>
      <c r="B1567" s="60">
        <f>COUNTIF($J$7:J1567,J1567)</f>
        <v>313</v>
      </c>
      <c r="C1567" s="60" t="str">
        <f t="shared" si="117"/>
        <v>0</v>
      </c>
      <c r="D1567" s="60">
        <f>COUNTIF($K$7:K1567,K1567)</f>
        <v>0</v>
      </c>
      <c r="E1567" s="61"/>
      <c r="F1567" s="227">
        <v>44594</v>
      </c>
      <c r="G1567" s="228"/>
      <c r="H1567" s="228" t="s">
        <v>893</v>
      </c>
      <c r="I1567" s="228" t="s">
        <v>34</v>
      </c>
      <c r="J1567" s="67">
        <v>211.01</v>
      </c>
      <c r="K1567" s="65"/>
      <c r="L1567" s="224"/>
      <c r="M1567" s="231">
        <v>1440000</v>
      </c>
      <c r="N1567" s="231"/>
      <c r="O1567" s="61"/>
      <c r="P1567" s="69" t="str">
        <f t="shared" si="118"/>
        <v>Hutang Pajak PPN</v>
      </c>
      <c r="Q1567" s="61"/>
    </row>
    <row r="1568" spans="1:17" hidden="1" x14ac:dyDescent="0.25">
      <c r="A1568" s="60" t="str">
        <f t="shared" si="116"/>
        <v>314211,01</v>
      </c>
      <c r="B1568" s="60">
        <f>COUNTIF($J$7:J1568,J1568)</f>
        <v>314</v>
      </c>
      <c r="C1568" s="60" t="str">
        <f t="shared" si="117"/>
        <v>0</v>
      </c>
      <c r="D1568" s="60">
        <f>COUNTIF($K$7:K1568,K1568)</f>
        <v>0</v>
      </c>
      <c r="E1568" s="61"/>
      <c r="F1568" s="227">
        <v>44594</v>
      </c>
      <c r="G1568" s="228"/>
      <c r="H1568" s="228" t="s">
        <v>893</v>
      </c>
      <c r="I1568" s="228" t="s">
        <v>34</v>
      </c>
      <c r="J1568" s="67">
        <v>211.01</v>
      </c>
      <c r="K1568" s="65"/>
      <c r="L1568" s="224"/>
      <c r="M1568" s="231">
        <v>84000</v>
      </c>
      <c r="N1568" s="231"/>
      <c r="O1568" s="61"/>
      <c r="P1568" s="69" t="str">
        <f t="shared" si="118"/>
        <v>Hutang Pajak PPN</v>
      </c>
      <c r="Q1568" s="61"/>
    </row>
    <row r="1569" spans="1:17" hidden="1" x14ac:dyDescent="0.25">
      <c r="A1569" s="60" t="str">
        <f t="shared" si="116"/>
        <v>315211,01</v>
      </c>
      <c r="B1569" s="60">
        <f>COUNTIF($J$7:J1569,J1569)</f>
        <v>315</v>
      </c>
      <c r="C1569" s="60" t="str">
        <f t="shared" si="117"/>
        <v>0</v>
      </c>
      <c r="D1569" s="60">
        <f>COUNTIF($K$7:K1569,K1569)</f>
        <v>0</v>
      </c>
      <c r="E1569" s="61"/>
      <c r="F1569" s="227">
        <v>44594</v>
      </c>
      <c r="G1569" s="228"/>
      <c r="H1569" s="228" t="s">
        <v>894</v>
      </c>
      <c r="I1569" s="228" t="s">
        <v>34</v>
      </c>
      <c r="J1569" s="67">
        <v>211.01</v>
      </c>
      <c r="K1569" s="65"/>
      <c r="L1569" s="224"/>
      <c r="M1569" s="231">
        <v>60000</v>
      </c>
      <c r="N1569" s="231"/>
      <c r="O1569" s="61"/>
      <c r="P1569" s="69" t="str">
        <f t="shared" si="118"/>
        <v>Hutang Pajak PPN</v>
      </c>
      <c r="Q1569" s="61"/>
    </row>
    <row r="1570" spans="1:17" hidden="1" x14ac:dyDescent="0.25">
      <c r="A1570" s="60" t="str">
        <f t="shared" si="116"/>
        <v>316211,01</v>
      </c>
      <c r="B1570" s="60">
        <f>COUNTIF($J$7:J1570,J1570)</f>
        <v>316</v>
      </c>
      <c r="C1570" s="60" t="str">
        <f t="shared" si="117"/>
        <v>0</v>
      </c>
      <c r="D1570" s="60">
        <f>COUNTIF($K$7:K1570,K1570)</f>
        <v>0</v>
      </c>
      <c r="E1570" s="61"/>
      <c r="F1570" s="227">
        <v>44594</v>
      </c>
      <c r="G1570" s="228"/>
      <c r="H1570" s="228" t="s">
        <v>894</v>
      </c>
      <c r="I1570" s="228" t="s">
        <v>34</v>
      </c>
      <c r="J1570" s="67">
        <v>211.01</v>
      </c>
      <c r="K1570" s="65"/>
      <c r="L1570" s="224"/>
      <c r="M1570" s="231">
        <v>276000</v>
      </c>
      <c r="N1570" s="231"/>
      <c r="O1570" s="61"/>
      <c r="P1570" s="69" t="str">
        <f t="shared" si="118"/>
        <v>Hutang Pajak PPN</v>
      </c>
      <c r="Q1570" s="61"/>
    </row>
    <row r="1571" spans="1:17" hidden="1" x14ac:dyDescent="0.25">
      <c r="A1571" s="60" t="str">
        <f t="shared" si="116"/>
        <v>317211,01</v>
      </c>
      <c r="B1571" s="60">
        <f>COUNTIF($J$7:J1571,J1571)</f>
        <v>317</v>
      </c>
      <c r="C1571" s="60" t="str">
        <f t="shared" si="117"/>
        <v>0</v>
      </c>
      <c r="D1571" s="60">
        <f>COUNTIF($K$7:K1571,K1571)</f>
        <v>0</v>
      </c>
      <c r="E1571" s="61"/>
      <c r="F1571" s="227">
        <v>44594</v>
      </c>
      <c r="G1571" s="228"/>
      <c r="H1571" s="228" t="s">
        <v>894</v>
      </c>
      <c r="I1571" s="228" t="s">
        <v>34</v>
      </c>
      <c r="J1571" s="67">
        <v>211.01</v>
      </c>
      <c r="K1571" s="65"/>
      <c r="L1571" s="224"/>
      <c r="M1571" s="231">
        <v>348000</v>
      </c>
      <c r="N1571" s="231"/>
      <c r="O1571" s="61"/>
      <c r="P1571" s="69" t="str">
        <f t="shared" si="118"/>
        <v>Hutang Pajak PPN</v>
      </c>
      <c r="Q1571" s="61"/>
    </row>
    <row r="1572" spans="1:17" hidden="1" x14ac:dyDescent="0.25">
      <c r="A1572" s="60" t="str">
        <f t="shared" si="116"/>
        <v>318211,01</v>
      </c>
      <c r="B1572" s="60">
        <f>COUNTIF($J$7:J1572,J1572)</f>
        <v>318</v>
      </c>
      <c r="C1572" s="60" t="str">
        <f t="shared" si="117"/>
        <v>0</v>
      </c>
      <c r="D1572" s="60">
        <f>COUNTIF($K$7:K1572,K1572)</f>
        <v>0</v>
      </c>
      <c r="E1572" s="61"/>
      <c r="F1572" s="227">
        <v>44594</v>
      </c>
      <c r="G1572" s="228"/>
      <c r="H1572" s="228" t="s">
        <v>894</v>
      </c>
      <c r="I1572" s="228" t="s">
        <v>34</v>
      </c>
      <c r="J1572" s="90">
        <v>211.01</v>
      </c>
      <c r="K1572" s="65"/>
      <c r="L1572" s="224"/>
      <c r="M1572" s="67">
        <v>48000</v>
      </c>
      <c r="N1572" s="67"/>
      <c r="O1572" s="61"/>
      <c r="P1572" s="69" t="str">
        <f t="shared" si="118"/>
        <v>Hutang Pajak PPN</v>
      </c>
      <c r="Q1572" s="61"/>
    </row>
    <row r="1573" spans="1:17" hidden="1" x14ac:dyDescent="0.25">
      <c r="A1573" s="60" t="str">
        <f t="shared" si="116"/>
        <v>319211,01</v>
      </c>
      <c r="B1573" s="60">
        <f>COUNTIF($J$7:J1573,J1573)</f>
        <v>319</v>
      </c>
      <c r="C1573" s="60" t="str">
        <f t="shared" si="117"/>
        <v>0</v>
      </c>
      <c r="D1573" s="60">
        <f>COUNTIF($K$7:K1573,K1573)</f>
        <v>0</v>
      </c>
      <c r="E1573" s="61"/>
      <c r="F1573" s="227">
        <v>44594</v>
      </c>
      <c r="G1573" s="228"/>
      <c r="H1573" s="228" t="s">
        <v>895</v>
      </c>
      <c r="I1573" s="228" t="s">
        <v>34</v>
      </c>
      <c r="J1573" s="67">
        <v>211.01</v>
      </c>
      <c r="K1573" s="65"/>
      <c r="L1573" s="224"/>
      <c r="M1573" s="231">
        <v>164999.25</v>
      </c>
      <c r="N1573" s="231"/>
      <c r="O1573" s="61"/>
      <c r="P1573" s="69" t="str">
        <f t="shared" si="118"/>
        <v>Hutang Pajak PPN</v>
      </c>
      <c r="Q1573" s="61"/>
    </row>
    <row r="1574" spans="1:17" hidden="1" x14ac:dyDescent="0.25">
      <c r="A1574" s="60" t="str">
        <f t="shared" si="116"/>
        <v>320211,01</v>
      </c>
      <c r="B1574" s="60">
        <f>COUNTIF($J$7:J1574,J1574)</f>
        <v>320</v>
      </c>
      <c r="C1574" s="60" t="str">
        <f t="shared" si="117"/>
        <v>0</v>
      </c>
      <c r="D1574" s="60">
        <f>COUNTIF($K$7:K1574,K1574)</f>
        <v>0</v>
      </c>
      <c r="E1574" s="61"/>
      <c r="F1574" s="227">
        <v>44595</v>
      </c>
      <c r="G1574" s="228"/>
      <c r="H1574" s="228" t="s">
        <v>896</v>
      </c>
      <c r="I1574" s="228" t="s">
        <v>34</v>
      </c>
      <c r="J1574" s="67">
        <v>211.01</v>
      </c>
      <c r="K1574" s="65"/>
      <c r="L1574" s="224"/>
      <c r="M1574" s="231">
        <v>109999.5</v>
      </c>
      <c r="N1574" s="231"/>
      <c r="O1574" s="61"/>
      <c r="P1574" s="69" t="str">
        <f t="shared" si="118"/>
        <v>Hutang Pajak PPN</v>
      </c>
      <c r="Q1574" s="61"/>
    </row>
    <row r="1575" spans="1:17" hidden="1" x14ac:dyDescent="0.25">
      <c r="A1575" s="60" t="str">
        <f t="shared" si="116"/>
        <v>321211,01</v>
      </c>
      <c r="B1575" s="60">
        <f>COUNTIF($J$7:J1575,J1575)</f>
        <v>321</v>
      </c>
      <c r="C1575" s="60" t="str">
        <f t="shared" si="117"/>
        <v>0</v>
      </c>
      <c r="D1575" s="60">
        <f>COUNTIF($K$7:K1575,K1575)</f>
        <v>0</v>
      </c>
      <c r="E1575" s="61"/>
      <c r="F1575" s="227">
        <v>44595</v>
      </c>
      <c r="G1575" s="228"/>
      <c r="H1575" s="228" t="s">
        <v>896</v>
      </c>
      <c r="I1575" s="228" t="s">
        <v>34</v>
      </c>
      <c r="J1575" s="67">
        <v>211.01</v>
      </c>
      <c r="K1575" s="65"/>
      <c r="L1575" s="224"/>
      <c r="M1575" s="231">
        <v>54999.75</v>
      </c>
      <c r="N1575" s="231"/>
      <c r="O1575" s="61"/>
      <c r="P1575" s="69" t="str">
        <f t="shared" si="118"/>
        <v>Hutang Pajak PPN</v>
      </c>
      <c r="Q1575" s="61"/>
    </row>
    <row r="1576" spans="1:17" hidden="1" x14ac:dyDescent="0.25">
      <c r="A1576" s="60" t="str">
        <f t="shared" si="116"/>
        <v>322211,01</v>
      </c>
      <c r="B1576" s="60">
        <f>COUNTIF($J$7:J1576,J1576)</f>
        <v>322</v>
      </c>
      <c r="C1576" s="60" t="str">
        <f t="shared" si="117"/>
        <v>0</v>
      </c>
      <c r="D1576" s="60">
        <f>COUNTIF($K$7:K1576,K1576)</f>
        <v>0</v>
      </c>
      <c r="E1576" s="61"/>
      <c r="F1576" s="227">
        <v>44599</v>
      </c>
      <c r="G1576" s="228"/>
      <c r="H1576" s="228" t="s">
        <v>897</v>
      </c>
      <c r="I1576" s="228" t="s">
        <v>34</v>
      </c>
      <c r="J1576" s="67">
        <v>211.01</v>
      </c>
      <c r="K1576" s="65"/>
      <c r="L1576" s="224"/>
      <c r="M1576" s="231">
        <v>219999</v>
      </c>
      <c r="N1576" s="231"/>
      <c r="O1576" s="61"/>
      <c r="P1576" s="69" t="str">
        <f t="shared" si="118"/>
        <v>Hutang Pajak PPN</v>
      </c>
      <c r="Q1576" s="61"/>
    </row>
    <row r="1577" spans="1:17" hidden="1" x14ac:dyDescent="0.25">
      <c r="A1577" s="60" t="str">
        <f t="shared" si="116"/>
        <v>323211,01</v>
      </c>
      <c r="B1577" s="60">
        <f>COUNTIF($J$7:J1577,J1577)</f>
        <v>323</v>
      </c>
      <c r="C1577" s="60" t="str">
        <f t="shared" si="117"/>
        <v>0</v>
      </c>
      <c r="D1577" s="60">
        <f>COUNTIF($K$7:K1577,K1577)</f>
        <v>0</v>
      </c>
      <c r="E1577" s="61"/>
      <c r="F1577" s="227">
        <v>44600</v>
      </c>
      <c r="G1577" s="228"/>
      <c r="H1577" s="228" t="s">
        <v>898</v>
      </c>
      <c r="I1577" s="228" t="s">
        <v>34</v>
      </c>
      <c r="J1577" s="67">
        <v>211.01</v>
      </c>
      <c r="K1577" s="65"/>
      <c r="L1577" s="224"/>
      <c r="M1577" s="231">
        <v>109999.5</v>
      </c>
      <c r="N1577" s="231"/>
      <c r="O1577" s="61"/>
      <c r="P1577" s="69" t="str">
        <f t="shared" si="118"/>
        <v>Hutang Pajak PPN</v>
      </c>
      <c r="Q1577" s="61"/>
    </row>
    <row r="1578" spans="1:17" hidden="1" x14ac:dyDescent="0.25">
      <c r="A1578" s="60" t="str">
        <f t="shared" si="116"/>
        <v>324211,01</v>
      </c>
      <c r="B1578" s="60">
        <f>COUNTIF($J$7:J1578,J1578)</f>
        <v>324</v>
      </c>
      <c r="C1578" s="60" t="str">
        <f t="shared" si="117"/>
        <v>0</v>
      </c>
      <c r="D1578" s="60">
        <f>COUNTIF($K$7:K1578,K1578)</f>
        <v>0</v>
      </c>
      <c r="E1578" s="61"/>
      <c r="F1578" s="227">
        <v>44600</v>
      </c>
      <c r="G1578" s="228"/>
      <c r="H1578" s="228" t="s">
        <v>899</v>
      </c>
      <c r="I1578" s="228" t="s">
        <v>34</v>
      </c>
      <c r="J1578" s="67">
        <v>211.01</v>
      </c>
      <c r="K1578" s="65"/>
      <c r="L1578" s="224"/>
      <c r="M1578" s="231">
        <v>274998.75</v>
      </c>
      <c r="N1578" s="231"/>
      <c r="O1578" s="61"/>
      <c r="P1578" s="69" t="str">
        <f t="shared" si="118"/>
        <v>Hutang Pajak PPN</v>
      </c>
      <c r="Q1578" s="61"/>
    </row>
    <row r="1579" spans="1:17" hidden="1" x14ac:dyDescent="0.25">
      <c r="A1579" s="60" t="str">
        <f t="shared" si="116"/>
        <v>325211,01</v>
      </c>
      <c r="B1579" s="60">
        <f>COUNTIF($J$7:J1579,J1579)</f>
        <v>325</v>
      </c>
      <c r="C1579" s="60" t="str">
        <f t="shared" si="117"/>
        <v>0</v>
      </c>
      <c r="D1579" s="60">
        <f>COUNTIF($K$7:K1579,K1579)</f>
        <v>0</v>
      </c>
      <c r="E1579" s="61"/>
      <c r="F1579" s="227">
        <v>44601</v>
      </c>
      <c r="G1579" s="228"/>
      <c r="H1579" s="228" t="s">
        <v>900</v>
      </c>
      <c r="I1579" s="228" t="s">
        <v>34</v>
      </c>
      <c r="J1579" s="67">
        <v>211.01</v>
      </c>
      <c r="K1579" s="65"/>
      <c r="L1579" s="224"/>
      <c r="M1579" s="231">
        <v>164999.25</v>
      </c>
      <c r="N1579" s="231"/>
      <c r="O1579" s="61"/>
      <c r="P1579" s="69" t="str">
        <f t="shared" si="118"/>
        <v>Hutang Pajak PPN</v>
      </c>
      <c r="Q1579" s="61"/>
    </row>
    <row r="1580" spans="1:17" hidden="1" x14ac:dyDescent="0.25">
      <c r="A1580" s="60" t="str">
        <f t="shared" si="116"/>
        <v>326211,01</v>
      </c>
      <c r="B1580" s="60">
        <f>COUNTIF($J$7:J1580,J1580)</f>
        <v>326</v>
      </c>
      <c r="C1580" s="60" t="str">
        <f t="shared" si="117"/>
        <v>0</v>
      </c>
      <c r="D1580" s="60">
        <f>COUNTIF($K$7:K1580,K1580)</f>
        <v>0</v>
      </c>
      <c r="E1580" s="61"/>
      <c r="F1580" s="227">
        <v>44602</v>
      </c>
      <c r="G1580" s="228"/>
      <c r="H1580" s="228" t="s">
        <v>901</v>
      </c>
      <c r="I1580" s="228" t="s">
        <v>34</v>
      </c>
      <c r="J1580" s="67">
        <v>211.01</v>
      </c>
      <c r="K1580" s="65"/>
      <c r="L1580" s="224"/>
      <c r="M1580" s="231">
        <v>54999.75</v>
      </c>
      <c r="N1580" s="231"/>
      <c r="O1580" s="61"/>
      <c r="P1580" s="69" t="str">
        <f t="shared" si="118"/>
        <v>Hutang Pajak PPN</v>
      </c>
      <c r="Q1580" s="61"/>
    </row>
    <row r="1581" spans="1:17" hidden="1" x14ac:dyDescent="0.25">
      <c r="A1581" s="60" t="str">
        <f t="shared" si="116"/>
        <v>327211,01</v>
      </c>
      <c r="B1581" s="60">
        <f>COUNTIF($J$7:J1581,J1581)</f>
        <v>327</v>
      </c>
      <c r="C1581" s="60" t="str">
        <f t="shared" si="117"/>
        <v>0</v>
      </c>
      <c r="D1581" s="60">
        <f>COUNTIF($K$7:K1581,K1581)</f>
        <v>0</v>
      </c>
      <c r="E1581" s="61"/>
      <c r="F1581" s="227">
        <v>44606</v>
      </c>
      <c r="G1581" s="228"/>
      <c r="H1581" s="228" t="s">
        <v>902</v>
      </c>
      <c r="I1581" s="228" t="s">
        <v>34</v>
      </c>
      <c r="J1581" s="67">
        <v>211.01</v>
      </c>
      <c r="K1581" s="65"/>
      <c r="L1581" s="224"/>
      <c r="M1581" s="231">
        <v>164999.20000000001</v>
      </c>
      <c r="N1581" s="231"/>
      <c r="O1581" s="61"/>
      <c r="P1581" s="69" t="str">
        <f t="shared" si="118"/>
        <v>Hutang Pajak PPN</v>
      </c>
      <c r="Q1581" s="61"/>
    </row>
    <row r="1582" spans="1:17" hidden="1" x14ac:dyDescent="0.25">
      <c r="A1582" s="60" t="str">
        <f t="shared" si="116"/>
        <v>328211,01</v>
      </c>
      <c r="B1582" s="60">
        <f>COUNTIF($J$7:J1582,J1582)</f>
        <v>328</v>
      </c>
      <c r="C1582" s="60" t="str">
        <f t="shared" si="117"/>
        <v>0</v>
      </c>
      <c r="D1582" s="60">
        <f>COUNTIF($K$7:K1582,K1582)</f>
        <v>0</v>
      </c>
      <c r="E1582" s="61"/>
      <c r="F1582" s="227">
        <v>44606</v>
      </c>
      <c r="G1582" s="228"/>
      <c r="H1582" s="228" t="s">
        <v>902</v>
      </c>
      <c r="I1582" s="228" t="s">
        <v>34</v>
      </c>
      <c r="J1582" s="67">
        <v>211.01</v>
      </c>
      <c r="K1582" s="65"/>
      <c r="L1582" s="224"/>
      <c r="M1582" s="231">
        <v>109999.5</v>
      </c>
      <c r="N1582" s="231"/>
      <c r="O1582" s="61"/>
      <c r="P1582" s="69" t="str">
        <f t="shared" si="118"/>
        <v>Hutang Pajak PPN</v>
      </c>
      <c r="Q1582" s="61"/>
    </row>
    <row r="1583" spans="1:17" hidden="1" x14ac:dyDescent="0.25">
      <c r="A1583" s="60" t="str">
        <f t="shared" si="116"/>
        <v>329211,01</v>
      </c>
      <c r="B1583" s="60">
        <f>COUNTIF($J$7:J1583,J1583)</f>
        <v>329</v>
      </c>
      <c r="C1583" s="60" t="str">
        <f t="shared" si="117"/>
        <v>0</v>
      </c>
      <c r="D1583" s="60">
        <f>COUNTIF($K$7:K1583,K1583)</f>
        <v>0</v>
      </c>
      <c r="E1583" s="61"/>
      <c r="F1583" s="227">
        <v>44606</v>
      </c>
      <c r="G1583" s="228"/>
      <c r="H1583" s="228" t="s">
        <v>903</v>
      </c>
      <c r="I1583" s="228" t="s">
        <v>34</v>
      </c>
      <c r="J1583" s="67">
        <v>211.01</v>
      </c>
      <c r="K1583" s="65"/>
      <c r="L1583" s="224"/>
      <c r="M1583" s="231">
        <v>575000</v>
      </c>
      <c r="N1583" s="231"/>
      <c r="O1583" s="61"/>
      <c r="P1583" s="69" t="str">
        <f t="shared" si="118"/>
        <v>Hutang Pajak PPN</v>
      </c>
      <c r="Q1583" s="61"/>
    </row>
    <row r="1584" spans="1:17" hidden="1" x14ac:dyDescent="0.25">
      <c r="A1584" s="60" t="str">
        <f t="shared" si="116"/>
        <v>330211,01</v>
      </c>
      <c r="B1584" s="60">
        <f>COUNTIF($J$7:J1584,J1584)</f>
        <v>330</v>
      </c>
      <c r="C1584" s="60" t="str">
        <f t="shared" si="117"/>
        <v>0</v>
      </c>
      <c r="D1584" s="60">
        <f>COUNTIF($K$7:K1584,K1584)</f>
        <v>0</v>
      </c>
      <c r="E1584" s="61"/>
      <c r="F1584" s="227">
        <v>44606</v>
      </c>
      <c r="G1584" s="228"/>
      <c r="H1584" s="228" t="s">
        <v>904</v>
      </c>
      <c r="I1584" s="228" t="s">
        <v>34</v>
      </c>
      <c r="J1584" s="67">
        <v>211.01</v>
      </c>
      <c r="K1584" s="65"/>
      <c r="L1584" s="224"/>
      <c r="M1584" s="231">
        <v>57500</v>
      </c>
      <c r="N1584" s="231"/>
      <c r="O1584" s="61"/>
      <c r="P1584" s="69" t="str">
        <f t="shared" si="118"/>
        <v>Hutang Pajak PPN</v>
      </c>
      <c r="Q1584" s="61"/>
    </row>
    <row r="1585" spans="1:17" hidden="1" x14ac:dyDescent="0.25">
      <c r="A1585" s="60" t="str">
        <f t="shared" si="116"/>
        <v>331211,01</v>
      </c>
      <c r="B1585" s="60">
        <f>COUNTIF($J$7:J1585,J1585)</f>
        <v>331</v>
      </c>
      <c r="C1585" s="60" t="str">
        <f t="shared" si="117"/>
        <v>0</v>
      </c>
      <c r="D1585" s="60">
        <f>COUNTIF($K$7:K1585,K1585)</f>
        <v>0</v>
      </c>
      <c r="E1585" s="61"/>
      <c r="F1585" s="227">
        <v>44608</v>
      </c>
      <c r="G1585" s="228"/>
      <c r="H1585" s="228" t="s">
        <v>905</v>
      </c>
      <c r="I1585" s="228" t="s">
        <v>34</v>
      </c>
      <c r="J1585" s="67">
        <v>211.01</v>
      </c>
      <c r="K1585" s="65"/>
      <c r="L1585" s="224"/>
      <c r="M1585" s="231">
        <v>219999</v>
      </c>
      <c r="N1585" s="231"/>
      <c r="O1585" s="61"/>
      <c r="P1585" s="69" t="str">
        <f t="shared" si="118"/>
        <v>Hutang Pajak PPN</v>
      </c>
      <c r="Q1585" s="61"/>
    </row>
    <row r="1586" spans="1:17" hidden="1" x14ac:dyDescent="0.25">
      <c r="A1586" s="60" t="str">
        <f t="shared" si="116"/>
        <v>332211,01</v>
      </c>
      <c r="B1586" s="60">
        <f>COUNTIF($J$7:J1586,J1586)</f>
        <v>332</v>
      </c>
      <c r="C1586" s="60" t="str">
        <f t="shared" si="117"/>
        <v>0</v>
      </c>
      <c r="D1586" s="60">
        <f>COUNTIF($K$7:K1586,K1586)</f>
        <v>0</v>
      </c>
      <c r="E1586" s="61"/>
      <c r="F1586" s="227">
        <v>44608</v>
      </c>
      <c r="G1586" s="228"/>
      <c r="H1586" s="228" t="s">
        <v>905</v>
      </c>
      <c r="I1586" s="228" t="s">
        <v>34</v>
      </c>
      <c r="J1586" s="67">
        <v>211.01</v>
      </c>
      <c r="K1586" s="65"/>
      <c r="L1586" s="224"/>
      <c r="M1586" s="231">
        <v>164999.20000000001</v>
      </c>
      <c r="N1586" s="231"/>
      <c r="O1586" s="61"/>
      <c r="P1586" s="69" t="str">
        <f t="shared" si="118"/>
        <v>Hutang Pajak PPN</v>
      </c>
      <c r="Q1586" s="61"/>
    </row>
    <row r="1587" spans="1:17" hidden="1" x14ac:dyDescent="0.25">
      <c r="A1587" s="60" t="str">
        <f t="shared" si="116"/>
        <v>333211,01</v>
      </c>
      <c r="B1587" s="60">
        <f>COUNTIF($J$7:J1587,J1587)</f>
        <v>333</v>
      </c>
      <c r="C1587" s="60" t="str">
        <f t="shared" si="117"/>
        <v>0</v>
      </c>
      <c r="D1587" s="60">
        <f>COUNTIF($K$7:K1587,K1587)</f>
        <v>0</v>
      </c>
      <c r="E1587" s="61"/>
      <c r="F1587" s="227">
        <v>44610</v>
      </c>
      <c r="G1587" s="228"/>
      <c r="H1587" s="228" t="s">
        <v>906</v>
      </c>
      <c r="I1587" s="228" t="s">
        <v>34</v>
      </c>
      <c r="J1587" s="67">
        <v>211.01</v>
      </c>
      <c r="K1587" s="65"/>
      <c r="L1587" s="224"/>
      <c r="M1587" s="231">
        <v>138000</v>
      </c>
      <c r="N1587" s="231"/>
      <c r="O1587" s="61"/>
      <c r="P1587" s="69" t="str">
        <f t="shared" si="118"/>
        <v>Hutang Pajak PPN</v>
      </c>
      <c r="Q1587" s="61"/>
    </row>
    <row r="1588" spans="1:17" hidden="1" x14ac:dyDescent="0.25">
      <c r="A1588" s="60" t="str">
        <f t="shared" si="116"/>
        <v>334211,01</v>
      </c>
      <c r="B1588" s="60">
        <f>COUNTIF($J$7:J1588,J1588)</f>
        <v>334</v>
      </c>
      <c r="C1588" s="60" t="str">
        <f t="shared" si="117"/>
        <v>0</v>
      </c>
      <c r="D1588" s="60">
        <f>COUNTIF($K$7:K1588,K1588)</f>
        <v>0</v>
      </c>
      <c r="E1588" s="61"/>
      <c r="F1588" s="227">
        <v>44614</v>
      </c>
      <c r="G1588" s="228"/>
      <c r="H1588" s="228" t="s">
        <v>907</v>
      </c>
      <c r="I1588" s="228" t="s">
        <v>34</v>
      </c>
      <c r="J1588" s="67">
        <v>211.01</v>
      </c>
      <c r="K1588" s="65"/>
      <c r="L1588" s="224"/>
      <c r="M1588" s="231">
        <v>54999.75</v>
      </c>
      <c r="N1588" s="231"/>
      <c r="O1588" s="61"/>
      <c r="P1588" s="69" t="str">
        <f t="shared" si="118"/>
        <v>Hutang Pajak PPN</v>
      </c>
      <c r="Q1588" s="61"/>
    </row>
    <row r="1589" spans="1:17" hidden="1" x14ac:dyDescent="0.25">
      <c r="A1589" s="60" t="str">
        <f t="shared" si="116"/>
        <v>335211,01</v>
      </c>
      <c r="B1589" s="60">
        <f>COUNTIF($J$7:J1589,J1589)</f>
        <v>335</v>
      </c>
      <c r="C1589" s="60" t="str">
        <f t="shared" si="117"/>
        <v>0</v>
      </c>
      <c r="D1589" s="60">
        <f>COUNTIF($K$7:K1589,K1589)</f>
        <v>0</v>
      </c>
      <c r="E1589" s="61"/>
      <c r="F1589" s="227">
        <v>44614</v>
      </c>
      <c r="G1589" s="228"/>
      <c r="H1589" s="228" t="s">
        <v>907</v>
      </c>
      <c r="I1589" s="228" t="s">
        <v>34</v>
      </c>
      <c r="J1589" s="67">
        <v>211.01</v>
      </c>
      <c r="K1589" s="65"/>
      <c r="L1589" s="224"/>
      <c r="M1589" s="231">
        <v>109999.5</v>
      </c>
      <c r="N1589" s="231"/>
      <c r="O1589" s="61"/>
      <c r="P1589" s="69" t="str">
        <f t="shared" si="118"/>
        <v>Hutang Pajak PPN</v>
      </c>
      <c r="Q1589" s="61"/>
    </row>
    <row r="1590" spans="1:17" hidden="1" x14ac:dyDescent="0.25">
      <c r="A1590" s="60" t="str">
        <f t="shared" si="116"/>
        <v>336211,01</v>
      </c>
      <c r="B1590" s="60">
        <f>COUNTIF($J$7:J1590,J1590)</f>
        <v>336</v>
      </c>
      <c r="C1590" s="60" t="str">
        <f t="shared" si="117"/>
        <v>0</v>
      </c>
      <c r="D1590" s="60">
        <f>COUNTIF($K$7:K1590,K1590)</f>
        <v>0</v>
      </c>
      <c r="E1590" s="61"/>
      <c r="F1590" s="227">
        <v>44614</v>
      </c>
      <c r="G1590" s="228"/>
      <c r="H1590" s="228" t="s">
        <v>907</v>
      </c>
      <c r="I1590" s="228" t="s">
        <v>34</v>
      </c>
      <c r="J1590" s="67">
        <v>211.01</v>
      </c>
      <c r="K1590" s="65"/>
      <c r="L1590" s="224"/>
      <c r="M1590" s="231">
        <v>54999.75</v>
      </c>
      <c r="N1590" s="231"/>
      <c r="O1590" s="61"/>
      <c r="P1590" s="69" t="str">
        <f t="shared" si="118"/>
        <v>Hutang Pajak PPN</v>
      </c>
      <c r="Q1590" s="61"/>
    </row>
    <row r="1591" spans="1:17" hidden="1" x14ac:dyDescent="0.25">
      <c r="A1591" s="60" t="str">
        <f t="shared" si="116"/>
        <v>337211,01</v>
      </c>
      <c r="B1591" s="60">
        <f>COUNTIF($J$7:J1591,J1591)</f>
        <v>337</v>
      </c>
      <c r="C1591" s="60" t="str">
        <f t="shared" si="117"/>
        <v>0</v>
      </c>
      <c r="D1591" s="60">
        <f>COUNTIF($K$7:K1591,K1591)</f>
        <v>0</v>
      </c>
      <c r="E1591" s="61"/>
      <c r="F1591" s="227">
        <v>44614</v>
      </c>
      <c r="G1591" s="228"/>
      <c r="H1591" s="228" t="s">
        <v>908</v>
      </c>
      <c r="I1591" s="228" t="s">
        <v>34</v>
      </c>
      <c r="J1591" s="67">
        <v>211.01</v>
      </c>
      <c r="K1591" s="65"/>
      <c r="L1591" s="224"/>
      <c r="M1591" s="231">
        <v>164999.25</v>
      </c>
      <c r="N1591" s="231"/>
      <c r="O1591" s="61"/>
      <c r="P1591" s="69" t="str">
        <f t="shared" si="118"/>
        <v>Hutang Pajak PPN</v>
      </c>
      <c r="Q1591" s="61"/>
    </row>
    <row r="1592" spans="1:17" hidden="1" x14ac:dyDescent="0.25">
      <c r="A1592" s="60" t="str">
        <f t="shared" si="116"/>
        <v>338211,01</v>
      </c>
      <c r="B1592" s="60">
        <f>COUNTIF($J$7:J1592,J1592)</f>
        <v>338</v>
      </c>
      <c r="C1592" s="60" t="str">
        <f t="shared" si="117"/>
        <v>0</v>
      </c>
      <c r="D1592" s="60">
        <f>COUNTIF($K$7:K1592,K1592)</f>
        <v>0</v>
      </c>
      <c r="E1592" s="61"/>
      <c r="F1592" s="227">
        <v>44615</v>
      </c>
      <c r="G1592" s="228"/>
      <c r="H1592" s="228" t="s">
        <v>909</v>
      </c>
      <c r="I1592" s="228" t="s">
        <v>34</v>
      </c>
      <c r="J1592" s="67">
        <v>211.01</v>
      </c>
      <c r="K1592" s="65"/>
      <c r="L1592" s="224"/>
      <c r="M1592" s="231">
        <v>109999.5</v>
      </c>
      <c r="N1592" s="231"/>
      <c r="O1592" s="61"/>
      <c r="P1592" s="69" t="str">
        <f t="shared" si="118"/>
        <v>Hutang Pajak PPN</v>
      </c>
      <c r="Q1592" s="61"/>
    </row>
    <row r="1593" spans="1:17" hidden="1" x14ac:dyDescent="0.25">
      <c r="A1593" s="60" t="str">
        <f t="shared" si="116"/>
        <v>339211,01</v>
      </c>
      <c r="B1593" s="60">
        <f>COUNTIF($J$7:J1593,J1593)</f>
        <v>339</v>
      </c>
      <c r="C1593" s="60" t="str">
        <f t="shared" si="117"/>
        <v>0</v>
      </c>
      <c r="D1593" s="60">
        <f>COUNTIF($K$7:K1593,K1593)</f>
        <v>0</v>
      </c>
      <c r="E1593" s="61"/>
      <c r="F1593" s="227">
        <v>44615</v>
      </c>
      <c r="G1593" s="228"/>
      <c r="H1593" s="228" t="s">
        <v>910</v>
      </c>
      <c r="I1593" s="228" t="s">
        <v>34</v>
      </c>
      <c r="J1593" s="67">
        <v>211.01</v>
      </c>
      <c r="K1593" s="65"/>
      <c r="L1593" s="224"/>
      <c r="M1593" s="231">
        <v>34500</v>
      </c>
      <c r="N1593" s="231"/>
      <c r="O1593" s="61"/>
      <c r="P1593" s="69" t="str">
        <f t="shared" si="118"/>
        <v>Hutang Pajak PPN</v>
      </c>
      <c r="Q1593" s="61"/>
    </row>
    <row r="1594" spans="1:17" hidden="1" x14ac:dyDescent="0.25">
      <c r="A1594" s="60" t="str">
        <f t="shared" si="116"/>
        <v>340211,01</v>
      </c>
      <c r="B1594" s="60">
        <f>COUNTIF($J$7:J1594,J1594)</f>
        <v>340</v>
      </c>
      <c r="C1594" s="60" t="str">
        <f t="shared" si="117"/>
        <v>0</v>
      </c>
      <c r="D1594" s="60">
        <f>COUNTIF($K$7:K1594,K1594)</f>
        <v>0</v>
      </c>
      <c r="E1594" s="61"/>
      <c r="F1594" s="227">
        <v>44616</v>
      </c>
      <c r="G1594" s="228"/>
      <c r="H1594" s="228" t="s">
        <v>911</v>
      </c>
      <c r="I1594" s="228" t="s">
        <v>34</v>
      </c>
      <c r="J1594" s="67">
        <v>211.01</v>
      </c>
      <c r="K1594" s="65"/>
      <c r="L1594" s="224"/>
      <c r="M1594" s="231">
        <v>219999</v>
      </c>
      <c r="N1594" s="231"/>
      <c r="O1594" s="61"/>
      <c r="P1594" s="69" t="str">
        <f t="shared" si="118"/>
        <v>Hutang Pajak PPN</v>
      </c>
      <c r="Q1594" s="61"/>
    </row>
    <row r="1595" spans="1:17" hidden="1" x14ac:dyDescent="0.25">
      <c r="A1595" s="60" t="str">
        <f t="shared" si="116"/>
        <v>341211,01</v>
      </c>
      <c r="B1595" s="60">
        <f>COUNTIF($J$7:J1595,J1595)</f>
        <v>341</v>
      </c>
      <c r="C1595" s="60" t="str">
        <f t="shared" si="117"/>
        <v>0</v>
      </c>
      <c r="D1595" s="60">
        <f>COUNTIF($K$7:K1595,K1595)</f>
        <v>0</v>
      </c>
      <c r="E1595" s="61"/>
      <c r="F1595" s="227">
        <v>44616</v>
      </c>
      <c r="G1595" s="228"/>
      <c r="H1595" s="228" t="s">
        <v>911</v>
      </c>
      <c r="I1595" s="228" t="s">
        <v>34</v>
      </c>
      <c r="J1595" s="67">
        <v>211.01</v>
      </c>
      <c r="K1595" s="65"/>
      <c r="L1595" s="224"/>
      <c r="M1595" s="231">
        <v>164999.25</v>
      </c>
      <c r="N1595" s="231"/>
      <c r="O1595" s="61"/>
      <c r="P1595" s="69" t="str">
        <f t="shared" si="118"/>
        <v>Hutang Pajak PPN</v>
      </c>
      <c r="Q1595" s="61"/>
    </row>
    <row r="1596" spans="1:17" hidden="1" x14ac:dyDescent="0.25">
      <c r="A1596" s="60" t="str">
        <f t="shared" si="116"/>
        <v>342211,01</v>
      </c>
      <c r="B1596" s="60">
        <f>COUNTIF($J$7:J1596,J1596)</f>
        <v>342</v>
      </c>
      <c r="C1596" s="60" t="str">
        <f t="shared" si="117"/>
        <v>0</v>
      </c>
      <c r="D1596" s="60">
        <f>COUNTIF($K$7:K1596,K1596)</f>
        <v>0</v>
      </c>
      <c r="E1596" s="61"/>
      <c r="F1596" s="227">
        <v>44617</v>
      </c>
      <c r="G1596" s="228"/>
      <c r="H1596" s="228" t="s">
        <v>912</v>
      </c>
      <c r="I1596" s="228" t="s">
        <v>34</v>
      </c>
      <c r="J1596" s="67">
        <v>211.01</v>
      </c>
      <c r="K1596" s="65"/>
      <c r="L1596" s="224"/>
      <c r="M1596" s="231">
        <v>1495000</v>
      </c>
      <c r="N1596" s="231"/>
      <c r="O1596" s="61"/>
      <c r="P1596" s="69" t="str">
        <f t="shared" si="118"/>
        <v>Hutang Pajak PPN</v>
      </c>
      <c r="Q1596" s="61"/>
    </row>
    <row r="1597" spans="1:17" hidden="1" x14ac:dyDescent="0.25">
      <c r="A1597" s="60" t="str">
        <f t="shared" si="116"/>
        <v>343211,01</v>
      </c>
      <c r="B1597" s="60">
        <f>COUNTIF($J$7:J1597,J1597)</f>
        <v>343</v>
      </c>
      <c r="C1597" s="60" t="str">
        <f t="shared" si="117"/>
        <v>0</v>
      </c>
      <c r="D1597" s="60">
        <f>COUNTIF($K$7:K1597,K1597)</f>
        <v>0</v>
      </c>
      <c r="E1597" s="61"/>
      <c r="F1597" s="227">
        <v>44617</v>
      </c>
      <c r="G1597" s="228"/>
      <c r="H1597" s="228" t="s">
        <v>913</v>
      </c>
      <c r="I1597" s="228" t="s">
        <v>34</v>
      </c>
      <c r="J1597" s="67">
        <v>211.01</v>
      </c>
      <c r="K1597" s="65"/>
      <c r="L1597" s="224"/>
      <c r="M1597" s="231">
        <v>109999.5</v>
      </c>
      <c r="N1597" s="231"/>
      <c r="O1597" s="61"/>
      <c r="P1597" s="69" t="str">
        <f t="shared" si="118"/>
        <v>Hutang Pajak PPN</v>
      </c>
      <c r="Q1597" s="61"/>
    </row>
    <row r="1598" spans="1:17" hidden="1" x14ac:dyDescent="0.25">
      <c r="A1598" s="60" t="str">
        <f t="shared" si="116"/>
        <v>344211,01</v>
      </c>
      <c r="B1598" s="60">
        <f>COUNTIF($J$7:J1598,J1598)</f>
        <v>344</v>
      </c>
      <c r="C1598" s="60" t="str">
        <f t="shared" si="117"/>
        <v>0</v>
      </c>
      <c r="D1598" s="60">
        <f>COUNTIF($K$7:K1598,K1598)</f>
        <v>0</v>
      </c>
      <c r="E1598" s="61"/>
      <c r="F1598" s="227">
        <v>44609</v>
      </c>
      <c r="G1598" s="228"/>
      <c r="H1598" s="228" t="s">
        <v>914</v>
      </c>
      <c r="I1598" s="228" t="s">
        <v>915</v>
      </c>
      <c r="J1598" s="67">
        <v>211.01</v>
      </c>
      <c r="K1598" s="65"/>
      <c r="L1598" s="224"/>
      <c r="M1598" s="231">
        <v>204000</v>
      </c>
      <c r="N1598" s="231"/>
      <c r="O1598" s="61"/>
      <c r="P1598" s="69" t="str">
        <f t="shared" si="118"/>
        <v>Hutang Pajak PPN</v>
      </c>
      <c r="Q1598" s="61"/>
    </row>
    <row r="1599" spans="1:17" hidden="1" x14ac:dyDescent="0.25">
      <c r="A1599" s="60" t="str">
        <f t="shared" si="116"/>
        <v>345211,01</v>
      </c>
      <c r="B1599" s="60">
        <f>COUNTIF($J$7:J1599,J1599)</f>
        <v>345</v>
      </c>
      <c r="C1599" s="60" t="str">
        <f t="shared" si="117"/>
        <v>0</v>
      </c>
      <c r="D1599" s="60">
        <f>COUNTIF($K$7:K1599,K1599)</f>
        <v>0</v>
      </c>
      <c r="E1599" s="61"/>
      <c r="F1599" s="227">
        <v>44609</v>
      </c>
      <c r="G1599" s="228"/>
      <c r="H1599" s="228" t="s">
        <v>914</v>
      </c>
      <c r="I1599" s="228" t="s">
        <v>915</v>
      </c>
      <c r="J1599" s="67">
        <v>211.01</v>
      </c>
      <c r="K1599" s="65"/>
      <c r="L1599" s="224"/>
      <c r="M1599" s="231">
        <v>204000</v>
      </c>
      <c r="N1599" s="231"/>
      <c r="O1599" s="61"/>
      <c r="P1599" s="69" t="str">
        <f t="shared" si="118"/>
        <v>Hutang Pajak PPN</v>
      </c>
      <c r="Q1599" s="61"/>
    </row>
    <row r="1600" spans="1:17" hidden="1" x14ac:dyDescent="0.25">
      <c r="A1600" s="60" t="str">
        <f t="shared" si="116"/>
        <v>346211,01</v>
      </c>
      <c r="B1600" s="60">
        <f>COUNTIF($J$7:J1600,J1600)</f>
        <v>346</v>
      </c>
      <c r="C1600" s="60" t="str">
        <f t="shared" si="117"/>
        <v>0</v>
      </c>
      <c r="D1600" s="60">
        <f>COUNTIF($K$7:K1600,K1600)</f>
        <v>0</v>
      </c>
      <c r="E1600" s="61"/>
      <c r="F1600" s="227">
        <v>44609</v>
      </c>
      <c r="G1600" s="228"/>
      <c r="H1600" s="228" t="s">
        <v>914</v>
      </c>
      <c r="I1600" s="228" t="s">
        <v>915</v>
      </c>
      <c r="J1600" s="67">
        <v>211.01</v>
      </c>
      <c r="K1600" s="65"/>
      <c r="L1600" s="224"/>
      <c r="M1600" s="231">
        <v>204000</v>
      </c>
      <c r="N1600" s="231"/>
      <c r="O1600" s="61"/>
      <c r="P1600" s="69" t="str">
        <f t="shared" si="118"/>
        <v>Hutang Pajak PPN</v>
      </c>
      <c r="Q1600" s="61"/>
    </row>
    <row r="1601" spans="1:17" hidden="1" x14ac:dyDescent="0.25">
      <c r="A1601" s="60" t="str">
        <f t="shared" si="116"/>
        <v>347211,01</v>
      </c>
      <c r="B1601" s="60">
        <f>COUNTIF($J$7:J1601,J1601)</f>
        <v>347</v>
      </c>
      <c r="C1601" s="60" t="str">
        <f t="shared" si="117"/>
        <v>0</v>
      </c>
      <c r="D1601" s="60">
        <f>COUNTIF($K$7:K1601,K1601)</f>
        <v>0</v>
      </c>
      <c r="E1601" s="61"/>
      <c r="F1601" s="227">
        <v>44609</v>
      </c>
      <c r="G1601" s="228"/>
      <c r="H1601" s="228" t="s">
        <v>914</v>
      </c>
      <c r="I1601" s="228" t="s">
        <v>915</v>
      </c>
      <c r="J1601" s="67">
        <v>211.01</v>
      </c>
      <c r="K1601" s="65"/>
      <c r="L1601" s="224"/>
      <c r="M1601" s="231">
        <v>204000</v>
      </c>
      <c r="N1601" s="231"/>
      <c r="O1601" s="61"/>
      <c r="P1601" s="69" t="str">
        <f t="shared" si="118"/>
        <v>Hutang Pajak PPN</v>
      </c>
      <c r="Q1601" s="61"/>
    </row>
    <row r="1602" spans="1:17" hidden="1" x14ac:dyDescent="0.25">
      <c r="A1602" s="60" t="str">
        <f t="shared" si="116"/>
        <v>348211,01</v>
      </c>
      <c r="B1602" s="60">
        <f>COUNTIF($J$7:J1602,J1602)</f>
        <v>348</v>
      </c>
      <c r="C1602" s="60" t="str">
        <f t="shared" si="117"/>
        <v>0</v>
      </c>
      <c r="D1602" s="60">
        <f>COUNTIF($K$7:K1602,K1602)</f>
        <v>0</v>
      </c>
      <c r="E1602" s="61"/>
      <c r="F1602" s="227">
        <v>44594</v>
      </c>
      <c r="G1602" s="228"/>
      <c r="H1602" s="228" t="s">
        <v>916</v>
      </c>
      <c r="I1602" s="228" t="s">
        <v>48</v>
      </c>
      <c r="J1602" s="67">
        <v>211.01</v>
      </c>
      <c r="K1602" s="65"/>
      <c r="L1602" s="224"/>
      <c r="M1602" s="231">
        <v>195000</v>
      </c>
      <c r="N1602" s="231"/>
      <c r="O1602" s="61"/>
      <c r="P1602" s="69" t="str">
        <f t="shared" si="118"/>
        <v>Hutang Pajak PPN</v>
      </c>
      <c r="Q1602" s="61"/>
    </row>
    <row r="1603" spans="1:17" hidden="1" x14ac:dyDescent="0.25">
      <c r="A1603" s="60" t="str">
        <f t="shared" si="116"/>
        <v>349211,01</v>
      </c>
      <c r="B1603" s="60">
        <f>COUNTIF($J$7:J1603,J1603)</f>
        <v>349</v>
      </c>
      <c r="C1603" s="60" t="str">
        <f t="shared" si="117"/>
        <v>0</v>
      </c>
      <c r="D1603" s="60">
        <f>COUNTIF($K$7:K1603,K1603)</f>
        <v>0</v>
      </c>
      <c r="E1603" s="61"/>
      <c r="F1603" s="227">
        <v>44594</v>
      </c>
      <c r="G1603" s="228"/>
      <c r="H1603" s="228" t="s">
        <v>916</v>
      </c>
      <c r="I1603" s="228" t="s">
        <v>48</v>
      </c>
      <c r="J1603" s="67">
        <v>211.01</v>
      </c>
      <c r="K1603" s="65"/>
      <c r="L1603" s="224"/>
      <c r="M1603" s="231">
        <v>195000</v>
      </c>
      <c r="N1603" s="231"/>
      <c r="O1603" s="61"/>
      <c r="P1603" s="69" t="str">
        <f t="shared" si="118"/>
        <v>Hutang Pajak PPN</v>
      </c>
      <c r="Q1603" s="61"/>
    </row>
    <row r="1604" spans="1:17" hidden="1" x14ac:dyDescent="0.25">
      <c r="A1604" s="60" t="str">
        <f t="shared" si="116"/>
        <v>350211,01</v>
      </c>
      <c r="B1604" s="60">
        <f>COUNTIF($J$7:J1604,J1604)</f>
        <v>350</v>
      </c>
      <c r="C1604" s="60" t="str">
        <f t="shared" si="117"/>
        <v>0</v>
      </c>
      <c r="D1604" s="60">
        <f>COUNTIF($K$7:K1604,K1604)</f>
        <v>0</v>
      </c>
      <c r="E1604" s="61"/>
      <c r="F1604" s="227">
        <v>44594</v>
      </c>
      <c r="G1604" s="228"/>
      <c r="H1604" s="228" t="s">
        <v>916</v>
      </c>
      <c r="I1604" s="228" t="s">
        <v>48</v>
      </c>
      <c r="J1604" s="67">
        <v>211.01</v>
      </c>
      <c r="K1604" s="65"/>
      <c r="L1604" s="224"/>
      <c r="M1604" s="231">
        <v>195000</v>
      </c>
      <c r="N1604" s="231"/>
      <c r="O1604" s="61"/>
      <c r="P1604" s="69" t="str">
        <f t="shared" si="118"/>
        <v>Hutang Pajak PPN</v>
      </c>
      <c r="Q1604" s="61"/>
    </row>
    <row r="1605" spans="1:17" hidden="1" x14ac:dyDescent="0.25">
      <c r="A1605" s="60" t="str">
        <f t="shared" si="116"/>
        <v>351211,01</v>
      </c>
      <c r="B1605" s="60">
        <f>COUNTIF($J$7:J1605,J1605)</f>
        <v>351</v>
      </c>
      <c r="C1605" s="60" t="str">
        <f t="shared" si="117"/>
        <v>0</v>
      </c>
      <c r="D1605" s="60">
        <f>COUNTIF($K$7:K1605,K1605)</f>
        <v>0</v>
      </c>
      <c r="E1605" s="61"/>
      <c r="F1605" s="227">
        <v>44609</v>
      </c>
      <c r="G1605" s="228"/>
      <c r="H1605" s="228" t="s">
        <v>917</v>
      </c>
      <c r="I1605" s="228" t="s">
        <v>48</v>
      </c>
      <c r="J1605" s="67">
        <v>211.01</v>
      </c>
      <c r="K1605" s="65"/>
      <c r="L1605" s="224"/>
      <c r="M1605" s="231">
        <v>195000</v>
      </c>
      <c r="N1605" s="231"/>
      <c r="O1605" s="61"/>
      <c r="P1605" s="69" t="str">
        <f t="shared" si="118"/>
        <v>Hutang Pajak PPN</v>
      </c>
      <c r="Q1605" s="61"/>
    </row>
    <row r="1606" spans="1:17" hidden="1" x14ac:dyDescent="0.25">
      <c r="A1606" s="60" t="str">
        <f t="shared" si="116"/>
        <v>352211,01</v>
      </c>
      <c r="B1606" s="60">
        <f>COUNTIF($J$7:J1606,J1606)</f>
        <v>352</v>
      </c>
      <c r="C1606" s="60" t="str">
        <f t="shared" si="117"/>
        <v>0</v>
      </c>
      <c r="D1606" s="60">
        <f>COUNTIF($K$7:K1606,K1606)</f>
        <v>0</v>
      </c>
      <c r="E1606" s="61"/>
      <c r="F1606" s="227">
        <v>44609</v>
      </c>
      <c r="G1606" s="228"/>
      <c r="H1606" s="228" t="s">
        <v>917</v>
      </c>
      <c r="I1606" s="228" t="s">
        <v>48</v>
      </c>
      <c r="J1606" s="67">
        <v>211.01</v>
      </c>
      <c r="K1606" s="65"/>
      <c r="L1606" s="224"/>
      <c r="M1606" s="231">
        <v>195000</v>
      </c>
      <c r="N1606" s="231"/>
      <c r="O1606" s="61"/>
      <c r="P1606" s="69" t="str">
        <f t="shared" si="118"/>
        <v>Hutang Pajak PPN</v>
      </c>
      <c r="Q1606" s="61"/>
    </row>
    <row r="1607" spans="1:17" hidden="1" x14ac:dyDescent="0.25">
      <c r="A1607" s="60" t="str">
        <f t="shared" ref="A1607:A1670" si="119">B1607&amp;J1607</f>
        <v>353211,01</v>
      </c>
      <c r="B1607" s="60">
        <f>COUNTIF($J$7:J1607,J1607)</f>
        <v>353</v>
      </c>
      <c r="C1607" s="60" t="str">
        <f t="shared" ref="C1607:C1670" si="120">D1607&amp;K1607</f>
        <v>0</v>
      </c>
      <c r="D1607" s="60">
        <f>COUNTIF($K$7:K1607,K1607)</f>
        <v>0</v>
      </c>
      <c r="E1607" s="61"/>
      <c r="F1607" s="227">
        <v>44609</v>
      </c>
      <c r="G1607" s="228"/>
      <c r="H1607" s="228" t="s">
        <v>917</v>
      </c>
      <c r="I1607" s="228" t="s">
        <v>48</v>
      </c>
      <c r="J1607" s="67">
        <v>211.01</v>
      </c>
      <c r="K1607" s="65"/>
      <c r="L1607" s="224"/>
      <c r="M1607" s="231">
        <v>195000</v>
      </c>
      <c r="N1607" s="231"/>
      <c r="O1607" s="61"/>
      <c r="P1607" s="69" t="str">
        <f t="shared" ref="P1607:P1670" si="121">IF(J1607=0,"-",+VLOOKUP(J1607,DAF_AKUN,2,FALSE))</f>
        <v>Hutang Pajak PPN</v>
      </c>
      <c r="Q1607" s="61"/>
    </row>
    <row r="1608" spans="1:17" hidden="1" x14ac:dyDescent="0.25">
      <c r="A1608" s="60" t="str">
        <f t="shared" si="119"/>
        <v>354211,01</v>
      </c>
      <c r="B1608" s="60">
        <f>COUNTIF($J$7:J1608,J1608)</f>
        <v>354</v>
      </c>
      <c r="C1608" s="60" t="str">
        <f t="shared" si="120"/>
        <v>0</v>
      </c>
      <c r="D1608" s="60">
        <f>COUNTIF($K$7:K1608,K1608)</f>
        <v>0</v>
      </c>
      <c r="E1608" s="61"/>
      <c r="F1608" s="227">
        <v>44613</v>
      </c>
      <c r="G1608" s="228"/>
      <c r="H1608" s="228" t="s">
        <v>918</v>
      </c>
      <c r="I1608" s="228" t="s">
        <v>48</v>
      </c>
      <c r="J1608" s="67">
        <v>211.01</v>
      </c>
      <c r="K1608" s="65"/>
      <c r="L1608" s="224"/>
      <c r="M1608" s="231">
        <v>195000</v>
      </c>
      <c r="N1608" s="231"/>
      <c r="O1608" s="61"/>
      <c r="P1608" s="69" t="str">
        <f t="shared" si="121"/>
        <v>Hutang Pajak PPN</v>
      </c>
      <c r="Q1608" s="61"/>
    </row>
    <row r="1609" spans="1:17" hidden="1" x14ac:dyDescent="0.25">
      <c r="A1609" s="60" t="str">
        <f t="shared" si="119"/>
        <v>355211,01</v>
      </c>
      <c r="B1609" s="60">
        <f>COUNTIF($J$7:J1609,J1609)</f>
        <v>355</v>
      </c>
      <c r="C1609" s="60" t="str">
        <f t="shared" si="120"/>
        <v>0</v>
      </c>
      <c r="D1609" s="60">
        <f>COUNTIF($K$7:K1609,K1609)</f>
        <v>0</v>
      </c>
      <c r="E1609" s="61"/>
      <c r="F1609" s="227">
        <v>44613</v>
      </c>
      <c r="G1609" s="228"/>
      <c r="H1609" s="228" t="s">
        <v>918</v>
      </c>
      <c r="I1609" s="228" t="s">
        <v>48</v>
      </c>
      <c r="J1609" s="67">
        <v>211.01</v>
      </c>
      <c r="K1609" s="65"/>
      <c r="L1609" s="224"/>
      <c r="M1609" s="231">
        <v>195000</v>
      </c>
      <c r="N1609" s="231"/>
      <c r="O1609" s="61"/>
      <c r="P1609" s="69" t="str">
        <f t="shared" si="121"/>
        <v>Hutang Pajak PPN</v>
      </c>
      <c r="Q1609" s="61"/>
    </row>
    <row r="1610" spans="1:17" hidden="1" x14ac:dyDescent="0.25">
      <c r="A1610" s="60" t="str">
        <f t="shared" si="119"/>
        <v>356211,01</v>
      </c>
      <c r="B1610" s="60">
        <f>COUNTIF($J$7:J1610,J1610)</f>
        <v>356</v>
      </c>
      <c r="C1610" s="60" t="str">
        <f t="shared" si="120"/>
        <v>0</v>
      </c>
      <c r="D1610" s="60">
        <f>COUNTIF($K$7:K1610,K1610)</f>
        <v>0</v>
      </c>
      <c r="E1610" s="61"/>
      <c r="F1610" s="227">
        <v>44616</v>
      </c>
      <c r="G1610" s="228"/>
      <c r="H1610" s="228" t="s">
        <v>919</v>
      </c>
      <c r="I1610" s="228" t="s">
        <v>48</v>
      </c>
      <c r="J1610" s="67">
        <v>211.01</v>
      </c>
      <c r="K1610" s="65"/>
      <c r="L1610" s="224"/>
      <c r="M1610" s="231">
        <v>195000</v>
      </c>
      <c r="N1610" s="231"/>
      <c r="O1610" s="61"/>
      <c r="P1610" s="69" t="str">
        <f t="shared" si="121"/>
        <v>Hutang Pajak PPN</v>
      </c>
      <c r="Q1610" s="61"/>
    </row>
    <row r="1611" spans="1:17" hidden="1" x14ac:dyDescent="0.25">
      <c r="A1611" s="60" t="str">
        <f t="shared" si="119"/>
        <v>357211,01</v>
      </c>
      <c r="B1611" s="60">
        <f>COUNTIF($J$7:J1611,J1611)</f>
        <v>357</v>
      </c>
      <c r="C1611" s="60" t="str">
        <f t="shared" si="120"/>
        <v>0</v>
      </c>
      <c r="D1611" s="60">
        <f>COUNTIF($K$7:K1611,K1611)</f>
        <v>0</v>
      </c>
      <c r="E1611" s="61"/>
      <c r="F1611" s="227">
        <v>44617</v>
      </c>
      <c r="G1611" s="228"/>
      <c r="H1611" s="228" t="s">
        <v>920</v>
      </c>
      <c r="I1611" s="228" t="s">
        <v>48</v>
      </c>
      <c r="J1611" s="67">
        <v>211.01</v>
      </c>
      <c r="K1611" s="65"/>
      <c r="L1611" s="224"/>
      <c r="M1611" s="231">
        <v>375000</v>
      </c>
      <c r="N1611" s="231"/>
      <c r="O1611" s="61"/>
      <c r="P1611" s="69" t="str">
        <f t="shared" si="121"/>
        <v>Hutang Pajak PPN</v>
      </c>
      <c r="Q1611" s="61"/>
    </row>
    <row r="1612" spans="1:17" hidden="1" x14ac:dyDescent="0.25">
      <c r="A1612" s="60" t="str">
        <f t="shared" si="119"/>
        <v>358211,01</v>
      </c>
      <c r="B1612" s="60">
        <f>COUNTIF($J$7:J1612,J1612)</f>
        <v>358</v>
      </c>
      <c r="C1612" s="60" t="str">
        <f t="shared" si="120"/>
        <v>0</v>
      </c>
      <c r="D1612" s="60">
        <f>COUNTIF($K$7:K1612,K1612)</f>
        <v>0</v>
      </c>
      <c r="E1612" s="61"/>
      <c r="F1612" s="227">
        <v>44617</v>
      </c>
      <c r="G1612" s="228"/>
      <c r="H1612" s="228" t="s">
        <v>920</v>
      </c>
      <c r="I1612" s="228" t="s">
        <v>48</v>
      </c>
      <c r="J1612" s="67">
        <v>211.01</v>
      </c>
      <c r="K1612" s="65"/>
      <c r="L1612" s="224"/>
      <c r="M1612" s="231">
        <v>562500</v>
      </c>
      <c r="N1612" s="231"/>
      <c r="O1612" s="61"/>
      <c r="P1612" s="69" t="str">
        <f t="shared" si="121"/>
        <v>Hutang Pajak PPN</v>
      </c>
      <c r="Q1612" s="61"/>
    </row>
    <row r="1613" spans="1:17" hidden="1" x14ac:dyDescent="0.25">
      <c r="A1613" s="60" t="str">
        <f t="shared" si="119"/>
        <v>359211,01</v>
      </c>
      <c r="B1613" s="60">
        <f>COUNTIF($J$7:J1613,J1613)</f>
        <v>359</v>
      </c>
      <c r="C1613" s="60" t="str">
        <f t="shared" si="120"/>
        <v>0</v>
      </c>
      <c r="D1613" s="60">
        <f>COUNTIF($K$7:K1613,K1613)</f>
        <v>0</v>
      </c>
      <c r="E1613" s="61"/>
      <c r="F1613" s="227">
        <v>44607</v>
      </c>
      <c r="G1613" s="228"/>
      <c r="H1613" s="228" t="s">
        <v>921</v>
      </c>
      <c r="I1613" s="228" t="s">
        <v>124</v>
      </c>
      <c r="J1613" s="67">
        <v>211.01</v>
      </c>
      <c r="K1613" s="65"/>
      <c r="L1613" s="224"/>
      <c r="M1613" s="231">
        <v>864000</v>
      </c>
      <c r="N1613" s="231"/>
      <c r="O1613" s="61"/>
      <c r="P1613" s="69" t="str">
        <f t="shared" si="121"/>
        <v>Hutang Pajak PPN</v>
      </c>
      <c r="Q1613" s="61"/>
    </row>
    <row r="1614" spans="1:17" hidden="1" x14ac:dyDescent="0.25">
      <c r="A1614" s="60" t="str">
        <f t="shared" si="119"/>
        <v>360211,01</v>
      </c>
      <c r="B1614" s="60">
        <f>COUNTIF($J$7:J1614,J1614)</f>
        <v>360</v>
      </c>
      <c r="C1614" s="60" t="str">
        <f t="shared" si="120"/>
        <v>0</v>
      </c>
      <c r="D1614" s="60">
        <f>COUNTIF($K$7:K1614,K1614)</f>
        <v>0</v>
      </c>
      <c r="E1614" s="61"/>
      <c r="F1614" s="227">
        <v>44595</v>
      </c>
      <c r="G1614" s="228"/>
      <c r="H1614" s="228" t="s">
        <v>922</v>
      </c>
      <c r="I1614" s="228" t="s">
        <v>28</v>
      </c>
      <c r="J1614" s="67">
        <v>211.01</v>
      </c>
      <c r="K1614" s="65"/>
      <c r="L1614" s="224"/>
      <c r="M1614" s="231">
        <v>120000</v>
      </c>
      <c r="N1614" s="231"/>
      <c r="O1614" s="61"/>
      <c r="P1614" s="69" t="str">
        <f t="shared" si="121"/>
        <v>Hutang Pajak PPN</v>
      </c>
      <c r="Q1614" s="61"/>
    </row>
    <row r="1615" spans="1:17" hidden="1" x14ac:dyDescent="0.25">
      <c r="A1615" s="60" t="str">
        <f t="shared" si="119"/>
        <v>361211,01</v>
      </c>
      <c r="B1615" s="60">
        <f>COUNTIF($J$7:J1615,J1615)</f>
        <v>361</v>
      </c>
      <c r="C1615" s="60" t="str">
        <f t="shared" si="120"/>
        <v>0</v>
      </c>
      <c r="D1615" s="60">
        <f>COUNTIF($K$7:K1615,K1615)</f>
        <v>0</v>
      </c>
      <c r="E1615" s="61"/>
      <c r="F1615" s="227">
        <v>44595</v>
      </c>
      <c r="G1615" s="232"/>
      <c r="H1615" s="228" t="s">
        <v>922</v>
      </c>
      <c r="I1615" s="228" t="s">
        <v>28</v>
      </c>
      <c r="J1615" s="67">
        <v>211.01</v>
      </c>
      <c r="K1615" s="65"/>
      <c r="L1615" s="224"/>
      <c r="M1615" s="231">
        <v>480000</v>
      </c>
      <c r="N1615" s="231"/>
      <c r="O1615" s="61"/>
      <c r="P1615" s="69" t="str">
        <f t="shared" si="121"/>
        <v>Hutang Pajak PPN</v>
      </c>
      <c r="Q1615" s="61"/>
    </row>
    <row r="1616" spans="1:17" hidden="1" x14ac:dyDescent="0.25">
      <c r="A1616" s="60" t="str">
        <f t="shared" si="119"/>
        <v>362211,01</v>
      </c>
      <c r="B1616" s="60">
        <f>COUNTIF($J$7:J1616,J1616)</f>
        <v>362</v>
      </c>
      <c r="C1616" s="60" t="str">
        <f t="shared" si="120"/>
        <v>0</v>
      </c>
      <c r="D1616" s="60">
        <f>COUNTIF($K$7:K1616,K1616)</f>
        <v>0</v>
      </c>
      <c r="E1616" s="61"/>
      <c r="F1616" s="227">
        <v>44595</v>
      </c>
      <c r="G1616" s="232"/>
      <c r="H1616" s="228" t="s">
        <v>922</v>
      </c>
      <c r="I1616" s="228" t="s">
        <v>28</v>
      </c>
      <c r="J1616" s="67">
        <v>211.01</v>
      </c>
      <c r="K1616" s="65"/>
      <c r="L1616" s="224"/>
      <c r="M1616" s="231">
        <v>120000</v>
      </c>
      <c r="N1616" s="231"/>
      <c r="O1616" s="61"/>
      <c r="P1616" s="69" t="str">
        <f t="shared" si="121"/>
        <v>Hutang Pajak PPN</v>
      </c>
      <c r="Q1616" s="61"/>
    </row>
    <row r="1617" spans="1:17" hidden="1" x14ac:dyDescent="0.25">
      <c r="A1617" s="60" t="str">
        <f t="shared" si="119"/>
        <v>5410,02</v>
      </c>
      <c r="B1617" s="60">
        <f>COUNTIF($J$7:J1617,J1617)</f>
        <v>5</v>
      </c>
      <c r="C1617" s="60" t="str">
        <f t="shared" si="120"/>
        <v>0</v>
      </c>
      <c r="D1617" s="60">
        <f>COUNTIF($K$7:K1617,K1617)</f>
        <v>0</v>
      </c>
      <c r="E1617" s="61"/>
      <c r="F1617" s="227">
        <v>44599</v>
      </c>
      <c r="G1617" s="228"/>
      <c r="H1617" s="228" t="s">
        <v>818</v>
      </c>
      <c r="I1617" s="228" t="s">
        <v>99</v>
      </c>
      <c r="J1617" s="64">
        <v>410.02</v>
      </c>
      <c r="K1617" s="65"/>
      <c r="L1617" s="224"/>
      <c r="M1617" s="231">
        <v>3875000</v>
      </c>
      <c r="N1617" s="231"/>
      <c r="O1617" s="61"/>
      <c r="P1617" s="69" t="str">
        <f t="shared" si="121"/>
        <v>Penjualan Condom</v>
      </c>
      <c r="Q1617" s="61"/>
    </row>
    <row r="1618" spans="1:17" hidden="1" x14ac:dyDescent="0.25">
      <c r="A1618" s="60" t="str">
        <f t="shared" si="119"/>
        <v>6410,02</v>
      </c>
      <c r="B1618" s="60">
        <f>COUNTIF($J$7:J1618,J1618)</f>
        <v>6</v>
      </c>
      <c r="C1618" s="60" t="str">
        <f t="shared" si="120"/>
        <v>0</v>
      </c>
      <c r="D1618" s="60">
        <f>COUNTIF($K$7:K1618,K1618)</f>
        <v>0</v>
      </c>
      <c r="E1618" s="61"/>
      <c r="F1618" s="227">
        <v>44613</v>
      </c>
      <c r="G1618" s="228"/>
      <c r="H1618" s="228" t="s">
        <v>819</v>
      </c>
      <c r="I1618" s="228" t="s">
        <v>99</v>
      </c>
      <c r="J1618" s="64">
        <v>410.02</v>
      </c>
      <c r="K1618" s="65"/>
      <c r="L1618" s="224"/>
      <c r="M1618" s="231">
        <v>3875000</v>
      </c>
      <c r="N1618" s="231"/>
      <c r="O1618" s="61"/>
      <c r="P1618" s="69" t="str">
        <f t="shared" si="121"/>
        <v>Penjualan Condom</v>
      </c>
      <c r="Q1618" s="61"/>
    </row>
    <row r="1619" spans="1:17" hidden="1" x14ac:dyDescent="0.25">
      <c r="A1619" s="60" t="str">
        <f t="shared" si="119"/>
        <v>7410,02</v>
      </c>
      <c r="B1619" s="60">
        <f>COUNTIF($J$7:J1619,J1619)</f>
        <v>7</v>
      </c>
      <c r="C1619" s="60" t="str">
        <f t="shared" si="120"/>
        <v>0</v>
      </c>
      <c r="D1619" s="60">
        <f>COUNTIF($K$7:K1619,K1619)</f>
        <v>0</v>
      </c>
      <c r="E1619" s="61"/>
      <c r="F1619" s="227">
        <v>44616</v>
      </c>
      <c r="G1619" s="228"/>
      <c r="H1619" s="228" t="s">
        <v>820</v>
      </c>
      <c r="I1619" s="228" t="s">
        <v>99</v>
      </c>
      <c r="J1619" s="64">
        <v>410.02</v>
      </c>
      <c r="K1619" s="65"/>
      <c r="L1619" s="224"/>
      <c r="M1619" s="231">
        <v>3875000</v>
      </c>
      <c r="N1619" s="231"/>
      <c r="O1619" s="61"/>
      <c r="P1619" s="69" t="str">
        <f t="shared" si="121"/>
        <v>Penjualan Condom</v>
      </c>
      <c r="Q1619" s="61"/>
    </row>
    <row r="1620" spans="1:17" hidden="1" x14ac:dyDescent="0.25">
      <c r="A1620" s="60" t="str">
        <f t="shared" si="119"/>
        <v>8410,02</v>
      </c>
      <c r="B1620" s="60">
        <f>COUNTIF($J$7:J1620,J1620)</f>
        <v>8</v>
      </c>
      <c r="C1620" s="60" t="str">
        <f t="shared" si="120"/>
        <v>0</v>
      </c>
      <c r="D1620" s="60">
        <f>COUNTIF($K$7:K1620,K1620)</f>
        <v>0</v>
      </c>
      <c r="E1620" s="61"/>
      <c r="F1620" s="227">
        <v>44616</v>
      </c>
      <c r="G1620" s="228"/>
      <c r="H1620" s="228" t="s">
        <v>821</v>
      </c>
      <c r="I1620" s="228" t="s">
        <v>822</v>
      </c>
      <c r="J1620" s="64">
        <v>410.02</v>
      </c>
      <c r="K1620" s="65"/>
      <c r="L1620" s="224"/>
      <c r="M1620" s="231">
        <v>181818</v>
      </c>
      <c r="N1620" s="231"/>
      <c r="O1620" s="61"/>
      <c r="P1620" s="69" t="str">
        <f t="shared" si="121"/>
        <v>Penjualan Condom</v>
      </c>
      <c r="Q1620" s="61"/>
    </row>
    <row r="1621" spans="1:17" hidden="1" x14ac:dyDescent="0.25">
      <c r="A1621" s="60" t="str">
        <f t="shared" si="119"/>
        <v>48410,03</v>
      </c>
      <c r="B1621" s="60">
        <f>COUNTIF($J$7:J1621,J1621)</f>
        <v>48</v>
      </c>
      <c r="C1621" s="60" t="str">
        <f t="shared" si="120"/>
        <v>0</v>
      </c>
      <c r="D1621" s="60">
        <f>COUNTIF($K$7:K1621,K1621)</f>
        <v>0</v>
      </c>
      <c r="E1621" s="61"/>
      <c r="F1621" s="227">
        <v>44616</v>
      </c>
      <c r="G1621" s="228"/>
      <c r="H1621" s="228" t="s">
        <v>823</v>
      </c>
      <c r="I1621" s="228" t="s">
        <v>824</v>
      </c>
      <c r="J1621" s="64">
        <v>410.03</v>
      </c>
      <c r="K1621" s="65"/>
      <c r="L1621" s="224"/>
      <c r="M1621" s="231">
        <v>950000</v>
      </c>
      <c r="N1621" s="231"/>
      <c r="O1621" s="61"/>
      <c r="P1621" s="69" t="str">
        <f t="shared" si="121"/>
        <v>Penjualan Exam</v>
      </c>
      <c r="Q1621" s="61"/>
    </row>
    <row r="1622" spans="1:17" hidden="1" x14ac:dyDescent="0.25">
      <c r="A1622" s="60" t="str">
        <f t="shared" si="119"/>
        <v>49410,03</v>
      </c>
      <c r="B1622" s="60">
        <f>COUNTIF($J$7:J1622,J1622)</f>
        <v>49</v>
      </c>
      <c r="C1622" s="60" t="str">
        <f t="shared" si="120"/>
        <v>0</v>
      </c>
      <c r="D1622" s="60">
        <f>COUNTIF($K$7:K1622,K1622)</f>
        <v>0</v>
      </c>
      <c r="E1622" s="61"/>
      <c r="F1622" s="227">
        <v>44594</v>
      </c>
      <c r="G1622" s="228"/>
      <c r="H1622" s="228" t="s">
        <v>825</v>
      </c>
      <c r="I1622" s="228" t="s">
        <v>15</v>
      </c>
      <c r="J1622" s="64">
        <v>410.03</v>
      </c>
      <c r="K1622" s="65"/>
      <c r="L1622" s="224"/>
      <c r="M1622" s="231">
        <v>17272727</v>
      </c>
      <c r="N1622" s="231"/>
      <c r="O1622" s="61"/>
      <c r="P1622" s="69" t="str">
        <f t="shared" si="121"/>
        <v>Penjualan Exam</v>
      </c>
      <c r="Q1622" s="61"/>
    </row>
    <row r="1623" spans="1:17" hidden="1" x14ac:dyDescent="0.25">
      <c r="A1623" s="60" t="str">
        <f t="shared" si="119"/>
        <v>50410,03</v>
      </c>
      <c r="B1623" s="60">
        <f>COUNTIF($J$7:J1623,J1623)</f>
        <v>50</v>
      </c>
      <c r="C1623" s="60" t="str">
        <f t="shared" si="120"/>
        <v>0</v>
      </c>
      <c r="D1623" s="60">
        <f>COUNTIF($K$7:K1623,K1623)</f>
        <v>0</v>
      </c>
      <c r="E1623" s="61"/>
      <c r="F1623" s="227">
        <v>44599</v>
      </c>
      <c r="G1623" s="228"/>
      <c r="H1623" s="228" t="s">
        <v>826</v>
      </c>
      <c r="I1623" s="228" t="s">
        <v>44</v>
      </c>
      <c r="J1623" s="64">
        <v>410.03</v>
      </c>
      <c r="K1623" s="65"/>
      <c r="L1623" s="224"/>
      <c r="M1623" s="231">
        <v>6981818</v>
      </c>
      <c r="N1623" s="231"/>
      <c r="O1623" s="61"/>
      <c r="P1623" s="69" t="str">
        <f t="shared" si="121"/>
        <v>Penjualan Exam</v>
      </c>
      <c r="Q1623" s="61"/>
    </row>
    <row r="1624" spans="1:17" hidden="1" x14ac:dyDescent="0.25">
      <c r="A1624" s="60" t="str">
        <f t="shared" si="119"/>
        <v>51410,03</v>
      </c>
      <c r="B1624" s="60">
        <f>COUNTIF($J$7:J1624,J1624)</f>
        <v>51</v>
      </c>
      <c r="C1624" s="60" t="str">
        <f t="shared" si="120"/>
        <v>0</v>
      </c>
      <c r="D1624" s="60">
        <f>COUNTIF($K$7:K1624,K1624)</f>
        <v>0</v>
      </c>
      <c r="E1624" s="61"/>
      <c r="F1624" s="227">
        <v>44599</v>
      </c>
      <c r="G1624" s="228"/>
      <c r="H1624" s="228" t="s">
        <v>826</v>
      </c>
      <c r="I1624" s="228" t="s">
        <v>44</v>
      </c>
      <c r="J1624" s="64">
        <v>410.03</v>
      </c>
      <c r="K1624" s="65"/>
      <c r="L1624" s="224"/>
      <c r="M1624" s="231">
        <v>1745454</v>
      </c>
      <c r="N1624" s="231"/>
      <c r="O1624" s="61"/>
      <c r="P1624" s="69" t="str">
        <f t="shared" si="121"/>
        <v>Penjualan Exam</v>
      </c>
      <c r="Q1624" s="61"/>
    </row>
    <row r="1625" spans="1:17" hidden="1" x14ac:dyDescent="0.25">
      <c r="A1625" s="60" t="str">
        <f t="shared" si="119"/>
        <v>52410,03</v>
      </c>
      <c r="B1625" s="60">
        <f>COUNTIF($J$7:J1625,J1625)</f>
        <v>52</v>
      </c>
      <c r="C1625" s="60" t="str">
        <f t="shared" si="120"/>
        <v>0</v>
      </c>
      <c r="D1625" s="60">
        <f>COUNTIF($K$7:K1625,K1625)</f>
        <v>0</v>
      </c>
      <c r="E1625" s="61"/>
      <c r="F1625" s="227">
        <v>44610</v>
      </c>
      <c r="G1625" s="228"/>
      <c r="H1625" s="228" t="s">
        <v>827</v>
      </c>
      <c r="I1625" s="228" t="s">
        <v>44</v>
      </c>
      <c r="J1625" s="64">
        <v>410.03</v>
      </c>
      <c r="K1625" s="65"/>
      <c r="L1625" s="224"/>
      <c r="M1625" s="231">
        <v>8727272</v>
      </c>
      <c r="N1625" s="231"/>
      <c r="O1625" s="61"/>
      <c r="P1625" s="69" t="str">
        <f t="shared" si="121"/>
        <v>Penjualan Exam</v>
      </c>
      <c r="Q1625" s="61"/>
    </row>
    <row r="1626" spans="1:17" hidden="1" x14ac:dyDescent="0.25">
      <c r="A1626" s="60" t="str">
        <f t="shared" si="119"/>
        <v>9410,02</v>
      </c>
      <c r="B1626" s="60">
        <f>COUNTIF($J$7:J1626,J1626)</f>
        <v>9</v>
      </c>
      <c r="C1626" s="60" t="str">
        <f t="shared" si="120"/>
        <v>0</v>
      </c>
      <c r="D1626" s="60">
        <f>COUNTIF($K$7:K1626,K1626)</f>
        <v>0</v>
      </c>
      <c r="E1626" s="61"/>
      <c r="F1626" s="227">
        <v>44613</v>
      </c>
      <c r="G1626" s="228"/>
      <c r="H1626" s="228" t="s">
        <v>828</v>
      </c>
      <c r="I1626" s="228" t="s">
        <v>829</v>
      </c>
      <c r="J1626" s="64">
        <v>410.02</v>
      </c>
      <c r="K1626" s="65"/>
      <c r="L1626" s="224"/>
      <c r="M1626" s="231">
        <v>1363636</v>
      </c>
      <c r="N1626" s="231"/>
      <c r="O1626" s="61"/>
      <c r="P1626" s="69" t="str">
        <f t="shared" si="121"/>
        <v>Penjualan Condom</v>
      </c>
      <c r="Q1626" s="61"/>
    </row>
    <row r="1627" spans="1:17" hidden="1" x14ac:dyDescent="0.25">
      <c r="A1627" s="60" t="str">
        <f t="shared" si="119"/>
        <v>63410,01</v>
      </c>
      <c r="B1627" s="60">
        <f>COUNTIF($J$7:J1627,J1627)</f>
        <v>63</v>
      </c>
      <c r="C1627" s="60" t="str">
        <f t="shared" si="120"/>
        <v>0</v>
      </c>
      <c r="D1627" s="60">
        <f>COUNTIF($K$7:K1627,K1627)</f>
        <v>0</v>
      </c>
      <c r="E1627" s="61"/>
      <c r="F1627" s="227">
        <v>44613</v>
      </c>
      <c r="G1627" s="228"/>
      <c r="H1627" s="228" t="s">
        <v>830</v>
      </c>
      <c r="I1627" s="228" t="s">
        <v>831</v>
      </c>
      <c r="J1627" s="64">
        <v>410.01</v>
      </c>
      <c r="K1627" s="65"/>
      <c r="L1627" s="224"/>
      <c r="M1627" s="231">
        <v>1100000</v>
      </c>
      <c r="N1627" s="231"/>
      <c r="O1627" s="61"/>
      <c r="P1627" s="69" t="str">
        <f t="shared" si="121"/>
        <v>Penjualan Intouch</v>
      </c>
      <c r="Q1627" s="61"/>
    </row>
    <row r="1628" spans="1:17" hidden="1" x14ac:dyDescent="0.25">
      <c r="A1628" s="60" t="str">
        <f t="shared" si="119"/>
        <v>53410,03</v>
      </c>
      <c r="B1628" s="60">
        <f>COUNTIF($J$7:J1628,J1628)</f>
        <v>53</v>
      </c>
      <c r="C1628" s="60" t="str">
        <f t="shared" si="120"/>
        <v>0</v>
      </c>
      <c r="D1628" s="60">
        <f>COUNTIF($K$7:K1628,K1628)</f>
        <v>0</v>
      </c>
      <c r="E1628" s="61"/>
      <c r="F1628" s="227">
        <v>44617</v>
      </c>
      <c r="G1628" s="228"/>
      <c r="H1628" s="228" t="s">
        <v>832</v>
      </c>
      <c r="I1628" s="228" t="s">
        <v>58</v>
      </c>
      <c r="J1628" s="64">
        <v>410.03</v>
      </c>
      <c r="K1628" s="65"/>
      <c r="L1628" s="224"/>
      <c r="M1628" s="231">
        <v>875000</v>
      </c>
      <c r="N1628" s="231"/>
      <c r="O1628" s="61"/>
      <c r="P1628" s="69" t="str">
        <f t="shared" si="121"/>
        <v>Penjualan Exam</v>
      </c>
      <c r="Q1628" s="61"/>
    </row>
    <row r="1629" spans="1:17" hidden="1" x14ac:dyDescent="0.25">
      <c r="A1629" s="60" t="str">
        <f t="shared" si="119"/>
        <v>54410,03</v>
      </c>
      <c r="B1629" s="60">
        <f>COUNTIF($J$7:J1629,J1629)</f>
        <v>54</v>
      </c>
      <c r="C1629" s="60" t="str">
        <f t="shared" si="120"/>
        <v>0</v>
      </c>
      <c r="D1629" s="60">
        <f>COUNTIF($K$7:K1629,K1629)</f>
        <v>0</v>
      </c>
      <c r="E1629" s="61"/>
      <c r="F1629" s="227">
        <v>44617</v>
      </c>
      <c r="G1629" s="228"/>
      <c r="H1629" s="228" t="s">
        <v>832</v>
      </c>
      <c r="I1629" s="228" t="s">
        <v>58</v>
      </c>
      <c r="J1629" s="64">
        <v>410.03</v>
      </c>
      <c r="K1629" s="65"/>
      <c r="L1629" s="224"/>
      <c r="M1629" s="231">
        <v>875000</v>
      </c>
      <c r="N1629" s="231"/>
      <c r="O1629" s="61"/>
      <c r="P1629" s="69" t="str">
        <f t="shared" si="121"/>
        <v>Penjualan Exam</v>
      </c>
      <c r="Q1629" s="61"/>
    </row>
    <row r="1630" spans="1:17" hidden="1" x14ac:dyDescent="0.25">
      <c r="A1630" s="60" t="str">
        <f t="shared" si="119"/>
        <v>64410,01</v>
      </c>
      <c r="B1630" s="60">
        <f>COUNTIF($J$7:J1630,J1630)</f>
        <v>64</v>
      </c>
      <c r="C1630" s="60" t="str">
        <f t="shared" si="120"/>
        <v>0</v>
      </c>
      <c r="D1630" s="60">
        <f>COUNTIF($K$7:K1630,K1630)</f>
        <v>0</v>
      </c>
      <c r="E1630" s="61"/>
      <c r="F1630" s="227">
        <v>44617</v>
      </c>
      <c r="G1630" s="228"/>
      <c r="H1630" s="228" t="s">
        <v>833</v>
      </c>
      <c r="I1630" s="228" t="s">
        <v>834</v>
      </c>
      <c r="J1630" s="64">
        <v>410.01</v>
      </c>
      <c r="K1630" s="65"/>
      <c r="L1630" s="224"/>
      <c r="M1630" s="231">
        <v>62400000</v>
      </c>
      <c r="N1630" s="231"/>
      <c r="O1630" s="61"/>
      <c r="P1630" s="69" t="str">
        <f t="shared" si="121"/>
        <v>Penjualan Intouch</v>
      </c>
      <c r="Q1630" s="61"/>
    </row>
    <row r="1631" spans="1:17" hidden="1" x14ac:dyDescent="0.25">
      <c r="A1631" s="60" t="str">
        <f t="shared" si="119"/>
        <v>65410,01</v>
      </c>
      <c r="B1631" s="60">
        <f>COUNTIF($J$7:J1631,J1631)</f>
        <v>65</v>
      </c>
      <c r="C1631" s="60" t="str">
        <f t="shared" si="120"/>
        <v>0</v>
      </c>
      <c r="D1631" s="60">
        <f>COUNTIF($K$7:K1631,K1631)</f>
        <v>0</v>
      </c>
      <c r="E1631" s="61"/>
      <c r="F1631" s="227">
        <v>44617</v>
      </c>
      <c r="G1631" s="228"/>
      <c r="H1631" s="228" t="s">
        <v>833</v>
      </c>
      <c r="I1631" s="228" t="s">
        <v>834</v>
      </c>
      <c r="J1631" s="64">
        <v>410.01</v>
      </c>
      <c r="K1631" s="65"/>
      <c r="L1631" s="224"/>
      <c r="M1631" s="231">
        <v>78000000</v>
      </c>
      <c r="N1631" s="231"/>
      <c r="O1631" s="61"/>
      <c r="P1631" s="69" t="str">
        <f t="shared" si="121"/>
        <v>Penjualan Intouch</v>
      </c>
      <c r="Q1631" s="61"/>
    </row>
    <row r="1632" spans="1:17" hidden="1" x14ac:dyDescent="0.25">
      <c r="A1632" s="60" t="str">
        <f t="shared" si="119"/>
        <v>66410,01</v>
      </c>
      <c r="B1632" s="60">
        <f>COUNTIF($J$7:J1632,J1632)</f>
        <v>66</v>
      </c>
      <c r="C1632" s="60" t="str">
        <f t="shared" si="120"/>
        <v>0</v>
      </c>
      <c r="D1632" s="60">
        <f>COUNTIF($K$7:K1632,K1632)</f>
        <v>0</v>
      </c>
      <c r="E1632" s="61"/>
      <c r="F1632" s="227">
        <v>44617</v>
      </c>
      <c r="G1632" s="228"/>
      <c r="H1632" s="228" t="s">
        <v>833</v>
      </c>
      <c r="I1632" s="228" t="s">
        <v>834</v>
      </c>
      <c r="J1632" s="64">
        <v>410.01</v>
      </c>
      <c r="K1632" s="65"/>
      <c r="L1632" s="224"/>
      <c r="M1632" s="231">
        <v>31200000</v>
      </c>
      <c r="N1632" s="231"/>
      <c r="O1632" s="61"/>
      <c r="P1632" s="69" t="str">
        <f t="shared" si="121"/>
        <v>Penjualan Intouch</v>
      </c>
      <c r="Q1632" s="61"/>
    </row>
    <row r="1633" spans="1:17" hidden="1" x14ac:dyDescent="0.25">
      <c r="A1633" s="60" t="str">
        <f t="shared" si="119"/>
        <v>67410,01</v>
      </c>
      <c r="B1633" s="60">
        <f>COUNTIF($J$7:J1633,J1633)</f>
        <v>67</v>
      </c>
      <c r="C1633" s="60" t="str">
        <f t="shared" si="120"/>
        <v>0</v>
      </c>
      <c r="D1633" s="60">
        <f>COUNTIF($K$7:K1633,K1633)</f>
        <v>0</v>
      </c>
      <c r="E1633" s="61"/>
      <c r="F1633" s="227">
        <v>44599</v>
      </c>
      <c r="G1633" s="228"/>
      <c r="H1633" s="228" t="s">
        <v>835</v>
      </c>
      <c r="I1633" s="228" t="s">
        <v>834</v>
      </c>
      <c r="J1633" s="64">
        <v>410.01</v>
      </c>
      <c r="K1633" s="65"/>
      <c r="L1633" s="224"/>
      <c r="M1633" s="231">
        <v>18720000</v>
      </c>
      <c r="N1633" s="231"/>
      <c r="O1633" s="61"/>
      <c r="P1633" s="69" t="str">
        <f t="shared" si="121"/>
        <v>Penjualan Intouch</v>
      </c>
      <c r="Q1633" s="61"/>
    </row>
    <row r="1634" spans="1:17" hidden="1" x14ac:dyDescent="0.25">
      <c r="A1634" s="60" t="str">
        <f t="shared" si="119"/>
        <v>68410,01</v>
      </c>
      <c r="B1634" s="60">
        <f>COUNTIF($J$7:J1634,J1634)</f>
        <v>68</v>
      </c>
      <c r="C1634" s="60" t="str">
        <f t="shared" si="120"/>
        <v>0</v>
      </c>
      <c r="D1634" s="60">
        <f>COUNTIF($K$7:K1634,K1634)</f>
        <v>0</v>
      </c>
      <c r="E1634" s="61"/>
      <c r="F1634" s="227">
        <v>44599</v>
      </c>
      <c r="G1634" s="228"/>
      <c r="H1634" s="228" t="s">
        <v>835</v>
      </c>
      <c r="I1634" s="228" t="s">
        <v>834</v>
      </c>
      <c r="J1634" s="64">
        <v>410.01</v>
      </c>
      <c r="K1634" s="65"/>
      <c r="L1634" s="224"/>
      <c r="M1634" s="231">
        <v>12480000</v>
      </c>
      <c r="N1634" s="231"/>
      <c r="O1634" s="61"/>
      <c r="P1634" s="69" t="str">
        <f t="shared" si="121"/>
        <v>Penjualan Intouch</v>
      </c>
      <c r="Q1634" s="61"/>
    </row>
    <row r="1635" spans="1:17" hidden="1" x14ac:dyDescent="0.25">
      <c r="A1635" s="60" t="str">
        <f t="shared" si="119"/>
        <v>69410,01</v>
      </c>
      <c r="B1635" s="60">
        <f>COUNTIF($J$7:J1635,J1635)</f>
        <v>69</v>
      </c>
      <c r="C1635" s="60" t="str">
        <f t="shared" si="120"/>
        <v>0</v>
      </c>
      <c r="D1635" s="60">
        <f>COUNTIF($K$7:K1635,K1635)</f>
        <v>0</v>
      </c>
      <c r="E1635" s="61"/>
      <c r="F1635" s="227">
        <v>44599</v>
      </c>
      <c r="G1635" s="228"/>
      <c r="H1635" s="228" t="s">
        <v>835</v>
      </c>
      <c r="I1635" s="228" t="s">
        <v>834</v>
      </c>
      <c r="J1635" s="64">
        <v>410.01</v>
      </c>
      <c r="K1635" s="65"/>
      <c r="L1635" s="224"/>
      <c r="M1635" s="231">
        <v>78000000</v>
      </c>
      <c r="N1635" s="231"/>
      <c r="O1635" s="61"/>
      <c r="P1635" s="69" t="str">
        <f t="shared" si="121"/>
        <v>Penjualan Intouch</v>
      </c>
      <c r="Q1635" s="61"/>
    </row>
    <row r="1636" spans="1:17" hidden="1" x14ac:dyDescent="0.25">
      <c r="A1636" s="60" t="str">
        <f t="shared" si="119"/>
        <v>55410,03</v>
      </c>
      <c r="B1636" s="60">
        <f>COUNTIF($J$7:J1636,J1636)</f>
        <v>55</v>
      </c>
      <c r="C1636" s="60" t="str">
        <f t="shared" si="120"/>
        <v>0</v>
      </c>
      <c r="D1636" s="60">
        <f>COUNTIF($K$7:K1636,K1636)</f>
        <v>0</v>
      </c>
      <c r="E1636" s="61"/>
      <c r="F1636" s="227">
        <v>44594</v>
      </c>
      <c r="G1636" s="228"/>
      <c r="H1636" s="228" t="s">
        <v>836</v>
      </c>
      <c r="I1636" s="228" t="s">
        <v>18</v>
      </c>
      <c r="J1636" s="64">
        <v>410.03</v>
      </c>
      <c r="K1636" s="65"/>
      <c r="L1636" s="224"/>
      <c r="M1636" s="231">
        <v>13725000</v>
      </c>
      <c r="N1636" s="231"/>
      <c r="O1636" s="61"/>
      <c r="P1636" s="69" t="str">
        <f t="shared" si="121"/>
        <v>Penjualan Exam</v>
      </c>
      <c r="Q1636" s="61"/>
    </row>
    <row r="1637" spans="1:17" hidden="1" x14ac:dyDescent="0.25">
      <c r="A1637" s="60" t="str">
        <f t="shared" si="119"/>
        <v>70410,01</v>
      </c>
      <c r="B1637" s="60">
        <f>COUNTIF($J$7:J1637,J1637)</f>
        <v>70</v>
      </c>
      <c r="C1637" s="60" t="str">
        <f t="shared" si="120"/>
        <v>0</v>
      </c>
      <c r="D1637" s="60">
        <f>COUNTIF($K$7:K1637,K1637)</f>
        <v>0</v>
      </c>
      <c r="E1637" s="61"/>
      <c r="F1637" s="227">
        <v>44594</v>
      </c>
      <c r="G1637" s="228"/>
      <c r="H1637" s="228" t="s">
        <v>837</v>
      </c>
      <c r="I1637" s="228" t="s">
        <v>18</v>
      </c>
      <c r="J1637" s="64">
        <v>410.01</v>
      </c>
      <c r="K1637" s="65"/>
      <c r="L1637" s="224"/>
      <c r="M1637" s="231">
        <v>1770000</v>
      </c>
      <c r="N1637" s="231"/>
      <c r="O1637" s="61"/>
      <c r="P1637" s="69" t="str">
        <f t="shared" si="121"/>
        <v>Penjualan Intouch</v>
      </c>
      <c r="Q1637" s="61"/>
    </row>
    <row r="1638" spans="1:17" hidden="1" x14ac:dyDescent="0.25">
      <c r="A1638" s="60" t="str">
        <f t="shared" si="119"/>
        <v>71410,01</v>
      </c>
      <c r="B1638" s="60">
        <f>COUNTIF($J$7:J1638,J1638)</f>
        <v>71</v>
      </c>
      <c r="C1638" s="60" t="str">
        <f t="shared" si="120"/>
        <v>0</v>
      </c>
      <c r="D1638" s="60">
        <f>COUNTIF($K$7:K1638,K1638)</f>
        <v>0</v>
      </c>
      <c r="E1638" s="61"/>
      <c r="F1638" s="227">
        <v>44594</v>
      </c>
      <c r="G1638" s="228"/>
      <c r="H1638" s="228" t="s">
        <v>838</v>
      </c>
      <c r="I1638" s="228" t="s">
        <v>18</v>
      </c>
      <c r="J1638" s="64">
        <v>410.01</v>
      </c>
      <c r="K1638" s="65"/>
      <c r="L1638" s="224"/>
      <c r="M1638" s="231">
        <v>0</v>
      </c>
      <c r="N1638" s="231"/>
      <c r="O1638" s="61"/>
      <c r="P1638" s="69" t="str">
        <f t="shared" si="121"/>
        <v>Penjualan Intouch</v>
      </c>
      <c r="Q1638" s="61"/>
    </row>
    <row r="1639" spans="1:17" hidden="1" x14ac:dyDescent="0.25">
      <c r="A1639" s="60" t="str">
        <f t="shared" si="119"/>
        <v>56410,03</v>
      </c>
      <c r="B1639" s="60">
        <f>COUNTIF($J$7:J1639,J1639)</f>
        <v>56</v>
      </c>
      <c r="C1639" s="60" t="str">
        <f t="shared" si="120"/>
        <v>0</v>
      </c>
      <c r="D1639" s="60">
        <f>COUNTIF($K$7:K1639,K1639)</f>
        <v>0</v>
      </c>
      <c r="E1639" s="61"/>
      <c r="F1639" s="227">
        <v>44594</v>
      </c>
      <c r="G1639" s="228"/>
      <c r="H1639" s="228" t="s">
        <v>839</v>
      </c>
      <c r="I1639" s="228" t="s">
        <v>18</v>
      </c>
      <c r="J1639" s="64">
        <v>410.03</v>
      </c>
      <c r="K1639" s="65"/>
      <c r="L1639" s="224"/>
      <c r="M1639" s="231">
        <v>41000000</v>
      </c>
      <c r="N1639" s="231"/>
      <c r="O1639" s="61"/>
      <c r="P1639" s="69" t="str">
        <f t="shared" si="121"/>
        <v>Penjualan Exam</v>
      </c>
      <c r="Q1639" s="61"/>
    </row>
    <row r="1640" spans="1:17" hidden="1" x14ac:dyDescent="0.25">
      <c r="A1640" s="60" t="str">
        <f t="shared" si="119"/>
        <v>72410,01</v>
      </c>
      <c r="B1640" s="60">
        <f>COUNTIF($J$7:J1640,J1640)</f>
        <v>72</v>
      </c>
      <c r="C1640" s="60" t="str">
        <f t="shared" si="120"/>
        <v>0</v>
      </c>
      <c r="D1640" s="60">
        <f>COUNTIF($K$7:K1640,K1640)</f>
        <v>0</v>
      </c>
      <c r="E1640" s="61"/>
      <c r="F1640" s="227">
        <v>44594</v>
      </c>
      <c r="G1640" s="228"/>
      <c r="H1640" s="228" t="s">
        <v>840</v>
      </c>
      <c r="I1640" s="228" t="s">
        <v>18</v>
      </c>
      <c r="J1640" s="64">
        <v>410.01</v>
      </c>
      <c r="K1640" s="65"/>
      <c r="L1640" s="224"/>
      <c r="M1640" s="231">
        <v>1522500</v>
      </c>
      <c r="N1640" s="231"/>
      <c r="O1640" s="61"/>
      <c r="P1640" s="69" t="str">
        <f t="shared" si="121"/>
        <v>Penjualan Intouch</v>
      </c>
      <c r="Q1640" s="61"/>
    </row>
    <row r="1641" spans="1:17" hidden="1" x14ac:dyDescent="0.25">
      <c r="A1641" s="60" t="str">
        <f t="shared" si="119"/>
        <v>73410,01</v>
      </c>
      <c r="B1641" s="60">
        <f>COUNTIF($J$7:J1641,J1641)</f>
        <v>73</v>
      </c>
      <c r="C1641" s="60" t="str">
        <f t="shared" si="120"/>
        <v>0</v>
      </c>
      <c r="D1641" s="60">
        <f>COUNTIF($K$7:K1641,K1641)</f>
        <v>0</v>
      </c>
      <c r="E1641" s="61"/>
      <c r="F1641" s="227">
        <v>44594</v>
      </c>
      <c r="G1641" s="228"/>
      <c r="H1641" s="228" t="s">
        <v>840</v>
      </c>
      <c r="I1641" s="228" t="s">
        <v>18</v>
      </c>
      <c r="J1641" s="64">
        <v>410.01</v>
      </c>
      <c r="K1641" s="65"/>
      <c r="L1641" s="224"/>
      <c r="M1641" s="231">
        <v>4567500</v>
      </c>
      <c r="N1641" s="231"/>
      <c r="O1641" s="61"/>
      <c r="P1641" s="69" t="str">
        <f t="shared" si="121"/>
        <v>Penjualan Intouch</v>
      </c>
      <c r="Q1641" s="61"/>
    </row>
    <row r="1642" spans="1:17" hidden="1" x14ac:dyDescent="0.25">
      <c r="A1642" s="60" t="str">
        <f t="shared" si="119"/>
        <v>74410,01</v>
      </c>
      <c r="B1642" s="60">
        <f>COUNTIF($J$7:J1642,J1642)</f>
        <v>74</v>
      </c>
      <c r="C1642" s="60" t="str">
        <f t="shared" si="120"/>
        <v>0</v>
      </c>
      <c r="D1642" s="60">
        <f>COUNTIF($K$7:K1642,K1642)</f>
        <v>0</v>
      </c>
      <c r="E1642" s="61"/>
      <c r="F1642" s="227">
        <v>44594</v>
      </c>
      <c r="G1642" s="228"/>
      <c r="H1642" s="228" t="s">
        <v>840</v>
      </c>
      <c r="I1642" s="228" t="s">
        <v>18</v>
      </c>
      <c r="J1642" s="64">
        <v>410.01</v>
      </c>
      <c r="K1642" s="65"/>
      <c r="L1642" s="224"/>
      <c r="M1642" s="231">
        <v>6090000</v>
      </c>
      <c r="N1642" s="231"/>
      <c r="O1642" s="61"/>
      <c r="P1642" s="69" t="str">
        <f t="shared" si="121"/>
        <v>Penjualan Intouch</v>
      </c>
      <c r="Q1642" s="61"/>
    </row>
    <row r="1643" spans="1:17" hidden="1" x14ac:dyDescent="0.25">
      <c r="A1643" s="60" t="str">
        <f t="shared" si="119"/>
        <v>75410,01</v>
      </c>
      <c r="B1643" s="60">
        <f>COUNTIF($J$7:J1643,J1643)</f>
        <v>75</v>
      </c>
      <c r="C1643" s="60" t="str">
        <f t="shared" si="120"/>
        <v>0</v>
      </c>
      <c r="D1643" s="60">
        <f>COUNTIF($K$7:K1643,K1643)</f>
        <v>0</v>
      </c>
      <c r="E1643" s="61"/>
      <c r="F1643" s="227">
        <v>44594</v>
      </c>
      <c r="G1643" s="228"/>
      <c r="H1643" s="228" t="s">
        <v>840</v>
      </c>
      <c r="I1643" s="228" t="s">
        <v>18</v>
      </c>
      <c r="J1643" s="64">
        <v>410.01</v>
      </c>
      <c r="K1643" s="65"/>
      <c r="L1643" s="224"/>
      <c r="M1643" s="231">
        <v>1522500</v>
      </c>
      <c r="N1643" s="231"/>
      <c r="O1643" s="61"/>
      <c r="P1643" s="69" t="str">
        <f t="shared" si="121"/>
        <v>Penjualan Intouch</v>
      </c>
      <c r="Q1643" s="61"/>
    </row>
    <row r="1644" spans="1:17" hidden="1" x14ac:dyDescent="0.25">
      <c r="A1644" s="60" t="str">
        <f t="shared" si="119"/>
        <v>57410,03</v>
      </c>
      <c r="B1644" s="60">
        <f>COUNTIF($J$7:J1644,J1644)</f>
        <v>57</v>
      </c>
      <c r="C1644" s="60" t="str">
        <f t="shared" si="120"/>
        <v>0</v>
      </c>
      <c r="D1644" s="60">
        <f>COUNTIF($K$7:K1644,K1644)</f>
        <v>0</v>
      </c>
      <c r="E1644" s="61"/>
      <c r="F1644" s="227">
        <v>44596</v>
      </c>
      <c r="G1644" s="228"/>
      <c r="H1644" s="228" t="s">
        <v>841</v>
      </c>
      <c r="I1644" s="228" t="s">
        <v>18</v>
      </c>
      <c r="J1644" s="64">
        <v>410.03</v>
      </c>
      <c r="K1644" s="65"/>
      <c r="L1644" s="224"/>
      <c r="M1644" s="231">
        <v>2460000</v>
      </c>
      <c r="N1644" s="231"/>
      <c r="O1644" s="61"/>
      <c r="P1644" s="69" t="str">
        <f t="shared" si="121"/>
        <v>Penjualan Exam</v>
      </c>
      <c r="Q1644" s="61"/>
    </row>
    <row r="1645" spans="1:17" hidden="1" x14ac:dyDescent="0.25">
      <c r="A1645" s="60" t="str">
        <f t="shared" si="119"/>
        <v>58410,03</v>
      </c>
      <c r="B1645" s="60">
        <f>COUNTIF($J$7:J1645,J1645)</f>
        <v>58</v>
      </c>
      <c r="C1645" s="60" t="str">
        <f t="shared" si="120"/>
        <v>0</v>
      </c>
      <c r="D1645" s="60">
        <f>COUNTIF($K$7:K1645,K1645)</f>
        <v>0</v>
      </c>
      <c r="E1645" s="61"/>
      <c r="F1645" s="227">
        <v>44596</v>
      </c>
      <c r="G1645" s="228"/>
      <c r="H1645" s="228" t="s">
        <v>841</v>
      </c>
      <c r="I1645" s="228" t="s">
        <v>18</v>
      </c>
      <c r="J1645" s="64">
        <v>410.03</v>
      </c>
      <c r="K1645" s="65"/>
      <c r="L1645" s="224"/>
      <c r="M1645" s="231">
        <v>4100000</v>
      </c>
      <c r="N1645" s="231"/>
      <c r="O1645" s="61"/>
      <c r="P1645" s="69" t="str">
        <f t="shared" si="121"/>
        <v>Penjualan Exam</v>
      </c>
      <c r="Q1645" s="61"/>
    </row>
    <row r="1646" spans="1:17" hidden="1" x14ac:dyDescent="0.25">
      <c r="A1646" s="60" t="str">
        <f t="shared" si="119"/>
        <v>76410,01</v>
      </c>
      <c r="B1646" s="60">
        <f>COUNTIF($J$7:J1646,J1646)</f>
        <v>76</v>
      </c>
      <c r="C1646" s="60" t="str">
        <f t="shared" si="120"/>
        <v>0</v>
      </c>
      <c r="D1646" s="60">
        <f>COUNTIF($K$7:K1646,K1646)</f>
        <v>0</v>
      </c>
      <c r="E1646" s="61"/>
      <c r="F1646" s="227">
        <v>44596</v>
      </c>
      <c r="G1646" s="228"/>
      <c r="H1646" s="228" t="s">
        <v>842</v>
      </c>
      <c r="I1646" s="228" t="s">
        <v>18</v>
      </c>
      <c r="J1646" s="64">
        <v>410.01</v>
      </c>
      <c r="K1646" s="65"/>
      <c r="L1646" s="224"/>
      <c r="M1646" s="231">
        <v>8962500</v>
      </c>
      <c r="N1646" s="231"/>
      <c r="O1646" s="61"/>
      <c r="P1646" s="69" t="str">
        <f t="shared" si="121"/>
        <v>Penjualan Intouch</v>
      </c>
      <c r="Q1646" s="61"/>
    </row>
    <row r="1647" spans="1:17" hidden="1" x14ac:dyDescent="0.25">
      <c r="A1647" s="60" t="str">
        <f t="shared" si="119"/>
        <v>77410,01</v>
      </c>
      <c r="B1647" s="60">
        <f>COUNTIF($J$7:J1647,J1647)</f>
        <v>77</v>
      </c>
      <c r="C1647" s="60" t="str">
        <f t="shared" si="120"/>
        <v>0</v>
      </c>
      <c r="D1647" s="60">
        <f>COUNTIF($K$7:K1647,K1647)</f>
        <v>0</v>
      </c>
      <c r="E1647" s="61"/>
      <c r="F1647" s="227">
        <v>44596</v>
      </c>
      <c r="G1647" s="228"/>
      <c r="H1647" s="228" t="s">
        <v>842</v>
      </c>
      <c r="I1647" s="228" t="s">
        <v>18</v>
      </c>
      <c r="J1647" s="64">
        <v>410.01</v>
      </c>
      <c r="K1647" s="65"/>
      <c r="L1647" s="224"/>
      <c r="M1647" s="231">
        <v>3585000</v>
      </c>
      <c r="N1647" s="231"/>
      <c r="O1647" s="61"/>
      <c r="P1647" s="69" t="str">
        <f t="shared" si="121"/>
        <v>Penjualan Intouch</v>
      </c>
      <c r="Q1647" s="61"/>
    </row>
    <row r="1648" spans="1:17" hidden="1" x14ac:dyDescent="0.25">
      <c r="A1648" s="60" t="str">
        <f t="shared" si="119"/>
        <v>78410,01</v>
      </c>
      <c r="B1648" s="60">
        <f>COUNTIF($J$7:J1648,J1648)</f>
        <v>78</v>
      </c>
      <c r="C1648" s="60" t="str">
        <f t="shared" si="120"/>
        <v>0</v>
      </c>
      <c r="D1648" s="60">
        <f>COUNTIF($K$7:K1648,K1648)</f>
        <v>0</v>
      </c>
      <c r="E1648" s="61"/>
      <c r="F1648" s="227">
        <v>44596</v>
      </c>
      <c r="G1648" s="228"/>
      <c r="H1648" s="228" t="s">
        <v>842</v>
      </c>
      <c r="I1648" s="228" t="s">
        <v>18</v>
      </c>
      <c r="J1648" s="64">
        <v>410.01</v>
      </c>
      <c r="K1648" s="65"/>
      <c r="L1648" s="224"/>
      <c r="M1648" s="231">
        <v>3585000</v>
      </c>
      <c r="N1648" s="231"/>
      <c r="O1648" s="61"/>
      <c r="P1648" s="69" t="str">
        <f t="shared" si="121"/>
        <v>Penjualan Intouch</v>
      </c>
      <c r="Q1648" s="61"/>
    </row>
    <row r="1649" spans="1:17" hidden="1" x14ac:dyDescent="0.25">
      <c r="A1649" s="60" t="str">
        <f t="shared" si="119"/>
        <v>79410,01</v>
      </c>
      <c r="B1649" s="60">
        <f>COUNTIF($J$7:J1649,J1649)</f>
        <v>79</v>
      </c>
      <c r="C1649" s="60" t="str">
        <f t="shared" si="120"/>
        <v>0</v>
      </c>
      <c r="D1649" s="60">
        <f>COUNTIF($K$7:K1649,K1649)</f>
        <v>0</v>
      </c>
      <c r="E1649" s="61"/>
      <c r="F1649" s="227">
        <v>44596</v>
      </c>
      <c r="G1649" s="228"/>
      <c r="H1649" s="228" t="s">
        <v>842</v>
      </c>
      <c r="I1649" s="228" t="s">
        <v>18</v>
      </c>
      <c r="J1649" s="64">
        <v>410.01</v>
      </c>
      <c r="K1649" s="65"/>
      <c r="L1649" s="224"/>
      <c r="M1649" s="231">
        <v>1792500</v>
      </c>
      <c r="N1649" s="231"/>
      <c r="O1649" s="61"/>
      <c r="P1649" s="69" t="str">
        <f t="shared" si="121"/>
        <v>Penjualan Intouch</v>
      </c>
      <c r="Q1649" s="61"/>
    </row>
    <row r="1650" spans="1:17" hidden="1" x14ac:dyDescent="0.25">
      <c r="A1650" s="60" t="str">
        <f t="shared" si="119"/>
        <v>80410,01</v>
      </c>
      <c r="B1650" s="60">
        <f>COUNTIF($J$7:J1650,J1650)</f>
        <v>80</v>
      </c>
      <c r="C1650" s="60" t="str">
        <f t="shared" si="120"/>
        <v>0</v>
      </c>
      <c r="D1650" s="60">
        <f>COUNTIF($K$7:K1650,K1650)</f>
        <v>0</v>
      </c>
      <c r="E1650" s="61"/>
      <c r="F1650" s="227">
        <v>44601</v>
      </c>
      <c r="G1650" s="228"/>
      <c r="H1650" s="228" t="s">
        <v>843</v>
      </c>
      <c r="I1650" s="228" t="s">
        <v>18</v>
      </c>
      <c r="J1650" s="64">
        <v>410.01</v>
      </c>
      <c r="K1650" s="65"/>
      <c r="L1650" s="224"/>
      <c r="M1650" s="231">
        <v>7170000</v>
      </c>
      <c r="N1650" s="231"/>
      <c r="O1650" s="61"/>
      <c r="P1650" s="69" t="str">
        <f t="shared" si="121"/>
        <v>Penjualan Intouch</v>
      </c>
      <c r="Q1650" s="61"/>
    </row>
    <row r="1651" spans="1:17" hidden="1" x14ac:dyDescent="0.25">
      <c r="A1651" s="60" t="str">
        <f t="shared" si="119"/>
        <v>81410,01</v>
      </c>
      <c r="B1651" s="60">
        <f>COUNTIF($J$7:J1651,J1651)</f>
        <v>81</v>
      </c>
      <c r="C1651" s="60" t="str">
        <f t="shared" si="120"/>
        <v>0</v>
      </c>
      <c r="D1651" s="60">
        <f>COUNTIF($K$7:K1651,K1651)</f>
        <v>0</v>
      </c>
      <c r="E1651" s="61"/>
      <c r="F1651" s="227">
        <v>44601</v>
      </c>
      <c r="G1651" s="228"/>
      <c r="H1651" s="228" t="s">
        <v>843</v>
      </c>
      <c r="I1651" s="228" t="s">
        <v>18</v>
      </c>
      <c r="J1651" s="64">
        <v>410.01</v>
      </c>
      <c r="K1651" s="65"/>
      <c r="L1651" s="224"/>
      <c r="M1651" s="231">
        <v>3585000</v>
      </c>
      <c r="N1651" s="231"/>
      <c r="O1651" s="61"/>
      <c r="P1651" s="69" t="str">
        <f t="shared" si="121"/>
        <v>Penjualan Intouch</v>
      </c>
      <c r="Q1651" s="61"/>
    </row>
    <row r="1652" spans="1:17" hidden="1" x14ac:dyDescent="0.25">
      <c r="A1652" s="60" t="str">
        <f t="shared" si="119"/>
        <v>82410,01</v>
      </c>
      <c r="B1652" s="60">
        <f>COUNTIF($J$7:J1652,J1652)</f>
        <v>82</v>
      </c>
      <c r="C1652" s="60" t="str">
        <f t="shared" si="120"/>
        <v>0</v>
      </c>
      <c r="D1652" s="60">
        <f>COUNTIF($K$7:K1652,K1652)</f>
        <v>0</v>
      </c>
      <c r="E1652" s="61"/>
      <c r="F1652" s="227">
        <v>44601</v>
      </c>
      <c r="G1652" s="228"/>
      <c r="H1652" s="228" t="s">
        <v>843</v>
      </c>
      <c r="I1652" s="228" t="s">
        <v>18</v>
      </c>
      <c r="J1652" s="64">
        <v>410.01</v>
      </c>
      <c r="K1652" s="65"/>
      <c r="L1652" s="224"/>
      <c r="M1652" s="231">
        <v>7170000</v>
      </c>
      <c r="N1652" s="231"/>
      <c r="O1652" s="61"/>
      <c r="P1652" s="69" t="str">
        <f t="shared" si="121"/>
        <v>Penjualan Intouch</v>
      </c>
      <c r="Q1652" s="61"/>
    </row>
    <row r="1653" spans="1:17" hidden="1" x14ac:dyDescent="0.25">
      <c r="A1653" s="60" t="str">
        <f t="shared" si="119"/>
        <v>83410,01</v>
      </c>
      <c r="B1653" s="60">
        <f>COUNTIF($J$7:J1653,J1653)</f>
        <v>83</v>
      </c>
      <c r="C1653" s="60" t="str">
        <f t="shared" si="120"/>
        <v>0</v>
      </c>
      <c r="D1653" s="60">
        <f>COUNTIF($K$7:K1653,K1653)</f>
        <v>0</v>
      </c>
      <c r="E1653" s="61"/>
      <c r="F1653" s="227">
        <v>44601</v>
      </c>
      <c r="G1653" s="228"/>
      <c r="H1653" s="228" t="s">
        <v>844</v>
      </c>
      <c r="I1653" s="228" t="s">
        <v>18</v>
      </c>
      <c r="J1653" s="64">
        <v>410.01</v>
      </c>
      <c r="K1653" s="65"/>
      <c r="L1653" s="224"/>
      <c r="M1653" s="231">
        <v>4185000</v>
      </c>
      <c r="N1653" s="231"/>
      <c r="O1653" s="61"/>
      <c r="P1653" s="69" t="str">
        <f t="shared" si="121"/>
        <v>Penjualan Intouch</v>
      </c>
      <c r="Q1653" s="61"/>
    </row>
    <row r="1654" spans="1:17" hidden="1" x14ac:dyDescent="0.25">
      <c r="A1654" s="60" t="str">
        <f t="shared" si="119"/>
        <v>84410,01</v>
      </c>
      <c r="B1654" s="60">
        <f>COUNTIF($J$7:J1654,J1654)</f>
        <v>84</v>
      </c>
      <c r="C1654" s="60" t="str">
        <f t="shared" si="120"/>
        <v>0</v>
      </c>
      <c r="D1654" s="60">
        <f>COUNTIF($K$7:K1654,K1654)</f>
        <v>0</v>
      </c>
      <c r="E1654" s="61"/>
      <c r="F1654" s="227">
        <v>44601</v>
      </c>
      <c r="G1654" s="228"/>
      <c r="H1654" s="228" t="s">
        <v>844</v>
      </c>
      <c r="I1654" s="228" t="s">
        <v>18</v>
      </c>
      <c r="J1654" s="64">
        <v>410.01</v>
      </c>
      <c r="K1654" s="65"/>
      <c r="L1654" s="224"/>
      <c r="M1654" s="231">
        <v>4185000</v>
      </c>
      <c r="N1654" s="231"/>
      <c r="O1654" s="61"/>
      <c r="P1654" s="69" t="str">
        <f t="shared" si="121"/>
        <v>Penjualan Intouch</v>
      </c>
      <c r="Q1654" s="61"/>
    </row>
    <row r="1655" spans="1:17" hidden="1" x14ac:dyDescent="0.25">
      <c r="A1655" s="60" t="str">
        <f t="shared" si="119"/>
        <v>85410,01</v>
      </c>
      <c r="B1655" s="60">
        <f>COUNTIF($J$7:J1655,J1655)</f>
        <v>85</v>
      </c>
      <c r="C1655" s="60" t="str">
        <f t="shared" si="120"/>
        <v>0</v>
      </c>
      <c r="D1655" s="60">
        <f>COUNTIF($K$7:K1655,K1655)</f>
        <v>0</v>
      </c>
      <c r="E1655" s="61"/>
      <c r="F1655" s="227">
        <v>44601</v>
      </c>
      <c r="G1655" s="228"/>
      <c r="H1655" s="228" t="s">
        <v>844</v>
      </c>
      <c r="I1655" s="228" t="s">
        <v>18</v>
      </c>
      <c r="J1655" s="64">
        <v>410.01</v>
      </c>
      <c r="K1655" s="65"/>
      <c r="L1655" s="224"/>
      <c r="M1655" s="231">
        <v>2092500</v>
      </c>
      <c r="N1655" s="231"/>
      <c r="O1655" s="61"/>
      <c r="P1655" s="69" t="str">
        <f t="shared" si="121"/>
        <v>Penjualan Intouch</v>
      </c>
      <c r="Q1655" s="61"/>
    </row>
    <row r="1656" spans="1:17" hidden="1" x14ac:dyDescent="0.25">
      <c r="A1656" s="60" t="str">
        <f t="shared" si="119"/>
        <v>86410,01</v>
      </c>
      <c r="B1656" s="60">
        <f>COUNTIF($J$7:J1656,J1656)</f>
        <v>86</v>
      </c>
      <c r="C1656" s="60" t="str">
        <f t="shared" si="120"/>
        <v>0</v>
      </c>
      <c r="D1656" s="60">
        <f>COUNTIF($K$7:K1656,K1656)</f>
        <v>0</v>
      </c>
      <c r="E1656" s="61"/>
      <c r="F1656" s="227">
        <v>44601</v>
      </c>
      <c r="G1656" s="228"/>
      <c r="H1656" s="228" t="s">
        <v>844</v>
      </c>
      <c r="I1656" s="228" t="s">
        <v>18</v>
      </c>
      <c r="J1656" s="64">
        <v>410.01</v>
      </c>
      <c r="K1656" s="65"/>
      <c r="L1656" s="224"/>
      <c r="M1656" s="231">
        <v>2092500</v>
      </c>
      <c r="N1656" s="231"/>
      <c r="O1656" s="61"/>
      <c r="P1656" s="69" t="str">
        <f t="shared" si="121"/>
        <v>Penjualan Intouch</v>
      </c>
      <c r="Q1656" s="61"/>
    </row>
    <row r="1657" spans="1:17" hidden="1" x14ac:dyDescent="0.25">
      <c r="A1657" s="60" t="str">
        <f t="shared" si="119"/>
        <v>87410,01</v>
      </c>
      <c r="B1657" s="60">
        <f>COUNTIF($J$7:J1657,J1657)</f>
        <v>87</v>
      </c>
      <c r="C1657" s="60" t="str">
        <f t="shared" si="120"/>
        <v>0</v>
      </c>
      <c r="D1657" s="60">
        <f>COUNTIF($K$7:K1657,K1657)</f>
        <v>0</v>
      </c>
      <c r="E1657" s="61"/>
      <c r="F1657" s="227">
        <v>44601</v>
      </c>
      <c r="G1657" s="228"/>
      <c r="H1657" s="228" t="s">
        <v>844</v>
      </c>
      <c r="I1657" s="228" t="s">
        <v>18</v>
      </c>
      <c r="J1657" s="64">
        <v>410.01</v>
      </c>
      <c r="K1657" s="65"/>
      <c r="L1657" s="224"/>
      <c r="M1657" s="231">
        <v>2092500</v>
      </c>
      <c r="N1657" s="231"/>
      <c r="O1657" s="61"/>
      <c r="P1657" s="69" t="str">
        <f t="shared" si="121"/>
        <v>Penjualan Intouch</v>
      </c>
      <c r="Q1657" s="61"/>
    </row>
    <row r="1658" spans="1:17" hidden="1" x14ac:dyDescent="0.25">
      <c r="A1658" s="60" t="str">
        <f t="shared" si="119"/>
        <v>88410,01</v>
      </c>
      <c r="B1658" s="60">
        <f>COUNTIF($J$7:J1658,J1658)</f>
        <v>88</v>
      </c>
      <c r="C1658" s="60" t="str">
        <f t="shared" si="120"/>
        <v>0</v>
      </c>
      <c r="D1658" s="60">
        <f>COUNTIF($K$7:K1658,K1658)</f>
        <v>0</v>
      </c>
      <c r="E1658" s="61"/>
      <c r="F1658" s="227">
        <v>44601</v>
      </c>
      <c r="G1658" s="228"/>
      <c r="H1658" s="228" t="s">
        <v>844</v>
      </c>
      <c r="I1658" s="228" t="s">
        <v>18</v>
      </c>
      <c r="J1658" s="64">
        <v>410.01</v>
      </c>
      <c r="K1658" s="65"/>
      <c r="L1658" s="224"/>
      <c r="M1658" s="231">
        <v>3540000</v>
      </c>
      <c r="N1658" s="231"/>
      <c r="O1658" s="61"/>
      <c r="P1658" s="69" t="str">
        <f t="shared" si="121"/>
        <v>Penjualan Intouch</v>
      </c>
      <c r="Q1658" s="61"/>
    </row>
    <row r="1659" spans="1:17" hidden="1" x14ac:dyDescent="0.25">
      <c r="A1659" s="60" t="str">
        <f t="shared" si="119"/>
        <v>89410,01</v>
      </c>
      <c r="B1659" s="60">
        <f>COUNTIF($J$7:J1659,J1659)</f>
        <v>89</v>
      </c>
      <c r="C1659" s="60" t="str">
        <f t="shared" si="120"/>
        <v>0</v>
      </c>
      <c r="D1659" s="60">
        <f>COUNTIF($K$7:K1659,K1659)</f>
        <v>0</v>
      </c>
      <c r="E1659" s="61"/>
      <c r="F1659" s="227">
        <v>44601</v>
      </c>
      <c r="G1659" s="228"/>
      <c r="H1659" s="228" t="s">
        <v>844</v>
      </c>
      <c r="I1659" s="228" t="s">
        <v>18</v>
      </c>
      <c r="J1659" s="64">
        <v>410.01</v>
      </c>
      <c r="K1659" s="65"/>
      <c r="L1659" s="224"/>
      <c r="M1659" s="231">
        <v>3540000</v>
      </c>
      <c r="N1659" s="231"/>
      <c r="O1659" s="61"/>
      <c r="P1659" s="69" t="str">
        <f t="shared" si="121"/>
        <v>Penjualan Intouch</v>
      </c>
      <c r="Q1659" s="61"/>
    </row>
    <row r="1660" spans="1:17" hidden="1" x14ac:dyDescent="0.25">
      <c r="A1660" s="60" t="str">
        <f t="shared" si="119"/>
        <v>90410,01</v>
      </c>
      <c r="B1660" s="60">
        <f>COUNTIF($J$7:J1660,J1660)</f>
        <v>90</v>
      </c>
      <c r="C1660" s="60" t="str">
        <f t="shared" si="120"/>
        <v>0</v>
      </c>
      <c r="D1660" s="60">
        <f>COUNTIF($K$7:K1660,K1660)</f>
        <v>0</v>
      </c>
      <c r="E1660" s="61"/>
      <c r="F1660" s="227">
        <v>44601</v>
      </c>
      <c r="G1660" s="228"/>
      <c r="H1660" s="228" t="s">
        <v>844</v>
      </c>
      <c r="I1660" s="228" t="s">
        <v>18</v>
      </c>
      <c r="J1660" s="64">
        <v>410.01</v>
      </c>
      <c r="K1660" s="65"/>
      <c r="L1660" s="224"/>
      <c r="M1660" s="231">
        <v>3540000</v>
      </c>
      <c r="N1660" s="231"/>
      <c r="O1660" s="61"/>
      <c r="P1660" s="69" t="str">
        <f t="shared" si="121"/>
        <v>Penjualan Intouch</v>
      </c>
      <c r="Q1660" s="61"/>
    </row>
    <row r="1661" spans="1:17" hidden="1" x14ac:dyDescent="0.25">
      <c r="A1661" s="60" t="str">
        <f t="shared" si="119"/>
        <v>91410,01</v>
      </c>
      <c r="B1661" s="60">
        <f>COUNTIF($J$7:J1661,J1661)</f>
        <v>91</v>
      </c>
      <c r="C1661" s="60" t="str">
        <f t="shared" si="120"/>
        <v>0</v>
      </c>
      <c r="D1661" s="60">
        <f>COUNTIF($K$7:K1661,K1661)</f>
        <v>0</v>
      </c>
      <c r="E1661" s="61"/>
      <c r="F1661" s="227">
        <v>44601</v>
      </c>
      <c r="G1661" s="228"/>
      <c r="H1661" s="228" t="s">
        <v>845</v>
      </c>
      <c r="I1661" s="228" t="s">
        <v>18</v>
      </c>
      <c r="J1661" s="64">
        <v>410.01</v>
      </c>
      <c r="K1661" s="65"/>
      <c r="L1661" s="224"/>
      <c r="M1661" s="231">
        <v>1522500</v>
      </c>
      <c r="N1661" s="231"/>
      <c r="O1661" s="61"/>
      <c r="P1661" s="69" t="str">
        <f t="shared" si="121"/>
        <v>Penjualan Intouch</v>
      </c>
      <c r="Q1661" s="61"/>
    </row>
    <row r="1662" spans="1:17" hidden="1" x14ac:dyDescent="0.25">
      <c r="A1662" s="60" t="str">
        <f t="shared" si="119"/>
        <v>59410,03</v>
      </c>
      <c r="B1662" s="60">
        <f>COUNTIF($J$7:J1662,J1662)</f>
        <v>59</v>
      </c>
      <c r="C1662" s="60" t="str">
        <f t="shared" si="120"/>
        <v>0</v>
      </c>
      <c r="D1662" s="60">
        <f>COUNTIF($K$7:K1662,K1662)</f>
        <v>0</v>
      </c>
      <c r="E1662" s="61"/>
      <c r="F1662" s="227">
        <v>44602</v>
      </c>
      <c r="G1662" s="228"/>
      <c r="H1662" s="228" t="s">
        <v>846</v>
      </c>
      <c r="I1662" s="228" t="s">
        <v>18</v>
      </c>
      <c r="J1662" s="64">
        <v>410.03</v>
      </c>
      <c r="K1662" s="65"/>
      <c r="L1662" s="224"/>
      <c r="M1662" s="231">
        <v>41000000</v>
      </c>
      <c r="N1662" s="231"/>
      <c r="O1662" s="61"/>
      <c r="P1662" s="69" t="str">
        <f t="shared" si="121"/>
        <v>Penjualan Exam</v>
      </c>
      <c r="Q1662" s="61"/>
    </row>
    <row r="1663" spans="1:17" hidden="1" x14ac:dyDescent="0.25">
      <c r="A1663" s="60" t="str">
        <f t="shared" si="119"/>
        <v>92410,01</v>
      </c>
      <c r="B1663" s="60">
        <f>COUNTIF($J$7:J1663,J1663)</f>
        <v>92</v>
      </c>
      <c r="C1663" s="60" t="str">
        <f t="shared" si="120"/>
        <v>0</v>
      </c>
      <c r="D1663" s="60">
        <f>COUNTIF($K$7:K1663,K1663)</f>
        <v>0</v>
      </c>
      <c r="E1663" s="61"/>
      <c r="F1663" s="227">
        <v>44602</v>
      </c>
      <c r="G1663" s="228"/>
      <c r="H1663" s="228" t="s">
        <v>847</v>
      </c>
      <c r="I1663" s="228" t="s">
        <v>18</v>
      </c>
      <c r="J1663" s="64">
        <v>410.01</v>
      </c>
      <c r="K1663" s="65"/>
      <c r="L1663" s="224"/>
      <c r="M1663" s="231">
        <v>12547500</v>
      </c>
      <c r="N1663" s="231"/>
      <c r="O1663" s="61"/>
      <c r="P1663" s="69" t="str">
        <f t="shared" si="121"/>
        <v>Penjualan Intouch</v>
      </c>
      <c r="Q1663" s="61"/>
    </row>
    <row r="1664" spans="1:17" hidden="1" x14ac:dyDescent="0.25">
      <c r="A1664" s="60" t="str">
        <f t="shared" si="119"/>
        <v>93410,01</v>
      </c>
      <c r="B1664" s="60">
        <f>COUNTIF($J$7:J1664,J1664)</f>
        <v>93</v>
      </c>
      <c r="C1664" s="60" t="str">
        <f t="shared" si="120"/>
        <v>0</v>
      </c>
      <c r="D1664" s="60">
        <f>COUNTIF($K$7:K1664,K1664)</f>
        <v>0</v>
      </c>
      <c r="E1664" s="61"/>
      <c r="F1664" s="227">
        <v>44602</v>
      </c>
      <c r="G1664" s="228"/>
      <c r="H1664" s="228" t="s">
        <v>847</v>
      </c>
      <c r="I1664" s="228" t="s">
        <v>18</v>
      </c>
      <c r="J1664" s="64">
        <v>410.01</v>
      </c>
      <c r="K1664" s="65"/>
      <c r="L1664" s="224"/>
      <c r="M1664" s="231">
        <v>12547500</v>
      </c>
      <c r="N1664" s="231"/>
      <c r="O1664" s="61"/>
      <c r="P1664" s="69" t="str">
        <f t="shared" si="121"/>
        <v>Penjualan Intouch</v>
      </c>
      <c r="Q1664" s="61"/>
    </row>
    <row r="1665" spans="1:17" hidden="1" x14ac:dyDescent="0.25">
      <c r="A1665" s="60" t="str">
        <f t="shared" si="119"/>
        <v>60410,03</v>
      </c>
      <c r="B1665" s="60">
        <f>COUNTIF($J$7:J1665,J1665)</f>
        <v>60</v>
      </c>
      <c r="C1665" s="60" t="str">
        <f t="shared" si="120"/>
        <v>0</v>
      </c>
      <c r="D1665" s="60">
        <f>COUNTIF($K$7:K1665,K1665)</f>
        <v>0</v>
      </c>
      <c r="E1665" s="61"/>
      <c r="F1665" s="227">
        <v>44602</v>
      </c>
      <c r="G1665" s="228"/>
      <c r="H1665" s="228" t="s">
        <v>848</v>
      </c>
      <c r="I1665" s="228" t="s">
        <v>18</v>
      </c>
      <c r="J1665" s="64">
        <v>410.03</v>
      </c>
      <c r="K1665" s="65"/>
      <c r="L1665" s="224"/>
      <c r="M1665" s="231">
        <v>820000</v>
      </c>
      <c r="N1665" s="231"/>
      <c r="O1665" s="61"/>
      <c r="P1665" s="69" t="str">
        <f t="shared" si="121"/>
        <v>Penjualan Exam</v>
      </c>
      <c r="Q1665" s="61"/>
    </row>
    <row r="1666" spans="1:17" hidden="1" x14ac:dyDescent="0.25">
      <c r="A1666" s="60" t="str">
        <f t="shared" si="119"/>
        <v>61410,03</v>
      </c>
      <c r="B1666" s="60">
        <f>COUNTIF($J$7:J1666,J1666)</f>
        <v>61</v>
      </c>
      <c r="C1666" s="60" t="str">
        <f t="shared" si="120"/>
        <v>0</v>
      </c>
      <c r="D1666" s="60">
        <f>COUNTIF($K$7:K1666,K1666)</f>
        <v>0</v>
      </c>
      <c r="E1666" s="61"/>
      <c r="F1666" s="227">
        <v>44602</v>
      </c>
      <c r="G1666" s="228"/>
      <c r="H1666" s="228" t="s">
        <v>848</v>
      </c>
      <c r="I1666" s="228" t="s">
        <v>18</v>
      </c>
      <c r="J1666" s="64">
        <v>410.03</v>
      </c>
      <c r="K1666" s="65"/>
      <c r="L1666" s="224"/>
      <c r="M1666" s="231">
        <v>1640000</v>
      </c>
      <c r="N1666" s="231"/>
      <c r="O1666" s="61"/>
      <c r="P1666" s="69" t="str">
        <f t="shared" si="121"/>
        <v>Penjualan Exam</v>
      </c>
      <c r="Q1666" s="61"/>
    </row>
    <row r="1667" spans="1:17" hidden="1" x14ac:dyDescent="0.25">
      <c r="A1667" s="60" t="str">
        <f t="shared" si="119"/>
        <v>62410,03</v>
      </c>
      <c r="B1667" s="60">
        <f>COUNTIF($J$7:J1667,J1667)</f>
        <v>62</v>
      </c>
      <c r="C1667" s="60" t="str">
        <f t="shared" si="120"/>
        <v>0</v>
      </c>
      <c r="D1667" s="60">
        <f>COUNTIF($K$7:K1667,K1667)</f>
        <v>0</v>
      </c>
      <c r="E1667" s="61"/>
      <c r="F1667" s="227">
        <v>44602</v>
      </c>
      <c r="G1667" s="228"/>
      <c r="H1667" s="228" t="s">
        <v>848</v>
      </c>
      <c r="I1667" s="228" t="s">
        <v>18</v>
      </c>
      <c r="J1667" s="64">
        <v>410.03</v>
      </c>
      <c r="K1667" s="65"/>
      <c r="L1667" s="224"/>
      <c r="M1667" s="231">
        <v>820000</v>
      </c>
      <c r="N1667" s="231"/>
      <c r="O1667" s="61"/>
      <c r="P1667" s="69" t="str">
        <f t="shared" si="121"/>
        <v>Penjualan Exam</v>
      </c>
      <c r="Q1667" s="61"/>
    </row>
    <row r="1668" spans="1:17" hidden="1" x14ac:dyDescent="0.25">
      <c r="A1668" s="60" t="str">
        <f t="shared" si="119"/>
        <v>63410,03</v>
      </c>
      <c r="B1668" s="60">
        <f>COUNTIF($J$7:J1668,J1668)</f>
        <v>63</v>
      </c>
      <c r="C1668" s="60" t="str">
        <f t="shared" si="120"/>
        <v>0</v>
      </c>
      <c r="D1668" s="60">
        <f>COUNTIF($K$7:K1668,K1668)</f>
        <v>0</v>
      </c>
      <c r="E1668" s="61"/>
      <c r="F1668" s="227">
        <v>44606</v>
      </c>
      <c r="G1668" s="228"/>
      <c r="H1668" s="228" t="s">
        <v>849</v>
      </c>
      <c r="I1668" s="228" t="s">
        <v>18</v>
      </c>
      <c r="J1668" s="64">
        <v>410.03</v>
      </c>
      <c r="K1668" s="65"/>
      <c r="L1668" s="224"/>
      <c r="M1668" s="231">
        <v>16400000</v>
      </c>
      <c r="N1668" s="231"/>
      <c r="O1668" s="61"/>
      <c r="P1668" s="69" t="str">
        <f t="shared" si="121"/>
        <v>Penjualan Exam</v>
      </c>
      <c r="Q1668" s="61"/>
    </row>
    <row r="1669" spans="1:17" hidden="1" x14ac:dyDescent="0.25">
      <c r="A1669" s="60" t="str">
        <f t="shared" si="119"/>
        <v>94410,01</v>
      </c>
      <c r="B1669" s="60">
        <f>COUNTIF($J$7:J1669,J1669)</f>
        <v>94</v>
      </c>
      <c r="C1669" s="60" t="str">
        <f t="shared" si="120"/>
        <v>0</v>
      </c>
      <c r="D1669" s="60">
        <f>COUNTIF($K$7:K1669,K1669)</f>
        <v>0</v>
      </c>
      <c r="E1669" s="61"/>
      <c r="F1669" s="227">
        <v>44606</v>
      </c>
      <c r="G1669" s="228"/>
      <c r="H1669" s="228" t="s">
        <v>850</v>
      </c>
      <c r="I1669" s="228" t="s">
        <v>18</v>
      </c>
      <c r="J1669" s="64">
        <v>410.01</v>
      </c>
      <c r="K1669" s="65"/>
      <c r="L1669" s="224"/>
      <c r="M1669" s="231">
        <v>6090000</v>
      </c>
      <c r="N1669" s="231"/>
      <c r="O1669" s="61"/>
      <c r="P1669" s="69" t="str">
        <f t="shared" si="121"/>
        <v>Penjualan Intouch</v>
      </c>
      <c r="Q1669" s="61"/>
    </row>
    <row r="1670" spans="1:17" hidden="1" x14ac:dyDescent="0.25">
      <c r="A1670" s="60" t="str">
        <f t="shared" si="119"/>
        <v>95410,01</v>
      </c>
      <c r="B1670" s="60">
        <f>COUNTIF($J$7:J1670,J1670)</f>
        <v>95</v>
      </c>
      <c r="C1670" s="60" t="str">
        <f t="shared" si="120"/>
        <v>0</v>
      </c>
      <c r="D1670" s="60">
        <f>COUNTIF($K$7:K1670,K1670)</f>
        <v>0</v>
      </c>
      <c r="E1670" s="61"/>
      <c r="F1670" s="227">
        <v>44606</v>
      </c>
      <c r="G1670" s="228"/>
      <c r="H1670" s="228" t="s">
        <v>850</v>
      </c>
      <c r="I1670" s="228" t="s">
        <v>18</v>
      </c>
      <c r="J1670" s="64">
        <v>410.01</v>
      </c>
      <c r="K1670" s="65"/>
      <c r="L1670" s="224"/>
      <c r="M1670" s="231">
        <v>1522500</v>
      </c>
      <c r="N1670" s="231"/>
      <c r="O1670" s="61"/>
      <c r="P1670" s="69" t="str">
        <f t="shared" si="121"/>
        <v>Penjualan Intouch</v>
      </c>
      <c r="Q1670" s="61"/>
    </row>
    <row r="1671" spans="1:17" hidden="1" x14ac:dyDescent="0.25">
      <c r="A1671" s="60" t="str">
        <f t="shared" ref="A1671:A1734" si="122">B1671&amp;J1671</f>
        <v>96410,01</v>
      </c>
      <c r="B1671" s="60">
        <f>COUNTIF($J$7:J1671,J1671)</f>
        <v>96</v>
      </c>
      <c r="C1671" s="60" t="str">
        <f t="shared" ref="C1671:C1734" si="123">D1671&amp;K1671</f>
        <v>0</v>
      </c>
      <c r="D1671" s="60">
        <f>COUNTIF($K$7:K1671,K1671)</f>
        <v>0</v>
      </c>
      <c r="E1671" s="61"/>
      <c r="F1671" s="227">
        <v>44606</v>
      </c>
      <c r="G1671" s="228"/>
      <c r="H1671" s="228" t="s">
        <v>850</v>
      </c>
      <c r="I1671" s="228" t="s">
        <v>18</v>
      </c>
      <c r="J1671" s="64">
        <v>410.01</v>
      </c>
      <c r="K1671" s="65"/>
      <c r="L1671" s="224"/>
      <c r="M1671" s="231">
        <v>3045000</v>
      </c>
      <c r="N1671" s="231"/>
      <c r="O1671" s="61"/>
      <c r="P1671" s="69" t="str">
        <f t="shared" ref="P1671:P1734" si="124">IF(J1671=0,"-",+VLOOKUP(J1671,DAF_AKUN,2,FALSE))</f>
        <v>Penjualan Intouch</v>
      </c>
      <c r="Q1671" s="61"/>
    </row>
    <row r="1672" spans="1:17" hidden="1" x14ac:dyDescent="0.25">
      <c r="A1672" s="60" t="str">
        <f t="shared" si="122"/>
        <v>97410,01</v>
      </c>
      <c r="B1672" s="60">
        <f>COUNTIF($J$7:J1672,J1672)</f>
        <v>97</v>
      </c>
      <c r="C1672" s="60" t="str">
        <f t="shared" si="123"/>
        <v>0</v>
      </c>
      <c r="D1672" s="60">
        <f>COUNTIF($K$7:K1672,K1672)</f>
        <v>0</v>
      </c>
      <c r="E1672" s="61"/>
      <c r="F1672" s="227">
        <v>44606</v>
      </c>
      <c r="G1672" s="228"/>
      <c r="H1672" s="228" t="s">
        <v>850</v>
      </c>
      <c r="I1672" s="228" t="s">
        <v>18</v>
      </c>
      <c r="J1672" s="64">
        <v>410.01</v>
      </c>
      <c r="K1672" s="65"/>
      <c r="L1672" s="224"/>
      <c r="M1672" s="231">
        <v>6090000</v>
      </c>
      <c r="N1672" s="231"/>
      <c r="O1672" s="61"/>
      <c r="P1672" s="69" t="str">
        <f t="shared" si="124"/>
        <v>Penjualan Intouch</v>
      </c>
      <c r="Q1672" s="61"/>
    </row>
    <row r="1673" spans="1:17" hidden="1" x14ac:dyDescent="0.25">
      <c r="A1673" s="60" t="str">
        <f t="shared" si="122"/>
        <v>64410,03</v>
      </c>
      <c r="B1673" s="60">
        <f>COUNTIF($J$7:J1673,J1673)</f>
        <v>64</v>
      </c>
      <c r="C1673" s="60" t="str">
        <f t="shared" si="123"/>
        <v>0</v>
      </c>
      <c r="D1673" s="60">
        <f>COUNTIF($K$7:K1673,K1673)</f>
        <v>0</v>
      </c>
      <c r="E1673" s="61"/>
      <c r="F1673" s="227">
        <v>44608</v>
      </c>
      <c r="G1673" s="228"/>
      <c r="H1673" s="228" t="s">
        <v>851</v>
      </c>
      <c r="I1673" s="228" t="s">
        <v>18</v>
      </c>
      <c r="J1673" s="64">
        <v>410.03</v>
      </c>
      <c r="K1673" s="65"/>
      <c r="L1673" s="224"/>
      <c r="M1673" s="231">
        <v>3280000</v>
      </c>
      <c r="N1673" s="231"/>
      <c r="O1673" s="61"/>
      <c r="P1673" s="69" t="str">
        <f t="shared" si="124"/>
        <v>Penjualan Exam</v>
      </c>
      <c r="Q1673" s="61"/>
    </row>
    <row r="1674" spans="1:17" hidden="1" x14ac:dyDescent="0.25">
      <c r="A1674" s="60" t="str">
        <f t="shared" si="122"/>
        <v>65410,03</v>
      </c>
      <c r="B1674" s="60">
        <f>COUNTIF($J$7:J1674,J1674)</f>
        <v>65</v>
      </c>
      <c r="C1674" s="60" t="str">
        <f t="shared" si="123"/>
        <v>0</v>
      </c>
      <c r="D1674" s="60">
        <f>COUNTIF($K$7:K1674,K1674)</f>
        <v>0</v>
      </c>
      <c r="E1674" s="61"/>
      <c r="F1674" s="227">
        <v>44608</v>
      </c>
      <c r="G1674" s="228"/>
      <c r="H1674" s="228" t="s">
        <v>851</v>
      </c>
      <c r="I1674" s="228" t="s">
        <v>18</v>
      </c>
      <c r="J1674" s="64">
        <v>410.03</v>
      </c>
      <c r="K1674" s="65"/>
      <c r="L1674" s="224"/>
      <c r="M1674" s="231">
        <v>3280000</v>
      </c>
      <c r="N1674" s="231"/>
      <c r="O1674" s="61"/>
      <c r="P1674" s="69" t="str">
        <f t="shared" si="124"/>
        <v>Penjualan Exam</v>
      </c>
      <c r="Q1674" s="61"/>
    </row>
    <row r="1675" spans="1:17" hidden="1" x14ac:dyDescent="0.25">
      <c r="A1675" s="60" t="str">
        <f t="shared" si="122"/>
        <v>98410,01</v>
      </c>
      <c r="B1675" s="60">
        <f>COUNTIF($J$7:J1675,J1675)</f>
        <v>98</v>
      </c>
      <c r="C1675" s="60" t="str">
        <f t="shared" si="123"/>
        <v>0</v>
      </c>
      <c r="D1675" s="60">
        <f>COUNTIF($K$7:K1675,K1675)</f>
        <v>0</v>
      </c>
      <c r="E1675" s="61"/>
      <c r="F1675" s="227">
        <v>44613</v>
      </c>
      <c r="G1675" s="228"/>
      <c r="H1675" s="228" t="s">
        <v>852</v>
      </c>
      <c r="I1675" s="228" t="s">
        <v>18</v>
      </c>
      <c r="J1675" s="64">
        <v>410.01</v>
      </c>
      <c r="K1675" s="65"/>
      <c r="L1675" s="224"/>
      <c r="M1675" s="231">
        <v>5377500</v>
      </c>
      <c r="N1675" s="231"/>
      <c r="O1675" s="61"/>
      <c r="P1675" s="69" t="str">
        <f t="shared" si="124"/>
        <v>Penjualan Intouch</v>
      </c>
      <c r="Q1675" s="61"/>
    </row>
    <row r="1676" spans="1:17" hidden="1" x14ac:dyDescent="0.25">
      <c r="A1676" s="60" t="str">
        <f t="shared" si="122"/>
        <v>99410,01</v>
      </c>
      <c r="B1676" s="60">
        <f>COUNTIF($J$7:J1676,J1676)</f>
        <v>99</v>
      </c>
      <c r="C1676" s="60" t="str">
        <f t="shared" si="123"/>
        <v>0</v>
      </c>
      <c r="D1676" s="60">
        <f>COUNTIF($K$7:K1676,K1676)</f>
        <v>0</v>
      </c>
      <c r="E1676" s="61"/>
      <c r="F1676" s="227">
        <v>44613</v>
      </c>
      <c r="G1676" s="228"/>
      <c r="H1676" s="228" t="s">
        <v>852</v>
      </c>
      <c r="I1676" s="228" t="s">
        <v>18</v>
      </c>
      <c r="J1676" s="64">
        <v>410.01</v>
      </c>
      <c r="K1676" s="65"/>
      <c r="L1676" s="224"/>
      <c r="M1676" s="231">
        <v>7170000</v>
      </c>
      <c r="N1676" s="231"/>
      <c r="O1676" s="61"/>
      <c r="P1676" s="69" t="str">
        <f t="shared" si="124"/>
        <v>Penjualan Intouch</v>
      </c>
      <c r="Q1676" s="61"/>
    </row>
    <row r="1677" spans="1:17" hidden="1" x14ac:dyDescent="0.25">
      <c r="A1677" s="60" t="str">
        <f t="shared" si="122"/>
        <v>100410,01</v>
      </c>
      <c r="B1677" s="60">
        <f>COUNTIF($J$7:J1677,J1677)</f>
        <v>100</v>
      </c>
      <c r="C1677" s="60" t="str">
        <f t="shared" si="123"/>
        <v>0</v>
      </c>
      <c r="D1677" s="60">
        <f>COUNTIF($K$7:K1677,K1677)</f>
        <v>0</v>
      </c>
      <c r="E1677" s="61"/>
      <c r="F1677" s="227">
        <v>44613</v>
      </c>
      <c r="G1677" s="228"/>
      <c r="H1677" s="228" t="s">
        <v>852</v>
      </c>
      <c r="I1677" s="228" t="s">
        <v>18</v>
      </c>
      <c r="J1677" s="64">
        <v>410.01</v>
      </c>
      <c r="K1677" s="65"/>
      <c r="L1677" s="224"/>
      <c r="M1677" s="231">
        <v>7170000</v>
      </c>
      <c r="N1677" s="231"/>
      <c r="O1677" s="61"/>
      <c r="P1677" s="69" t="str">
        <f t="shared" si="124"/>
        <v>Penjualan Intouch</v>
      </c>
      <c r="Q1677" s="61"/>
    </row>
    <row r="1678" spans="1:17" hidden="1" x14ac:dyDescent="0.25">
      <c r="A1678" s="60" t="str">
        <f t="shared" si="122"/>
        <v>101410,01</v>
      </c>
      <c r="B1678" s="60">
        <f>COUNTIF($J$7:J1678,J1678)</f>
        <v>101</v>
      </c>
      <c r="C1678" s="60" t="str">
        <f t="shared" si="123"/>
        <v>0</v>
      </c>
      <c r="D1678" s="60">
        <f>COUNTIF($K$7:K1678,K1678)</f>
        <v>0</v>
      </c>
      <c r="E1678" s="61"/>
      <c r="F1678" s="227">
        <v>44613</v>
      </c>
      <c r="G1678" s="228"/>
      <c r="H1678" s="228" t="s">
        <v>852</v>
      </c>
      <c r="I1678" s="228" t="s">
        <v>18</v>
      </c>
      <c r="J1678" s="64">
        <v>410.01</v>
      </c>
      <c r="K1678" s="65"/>
      <c r="L1678" s="224"/>
      <c r="M1678" s="231">
        <v>3585000</v>
      </c>
      <c r="N1678" s="231"/>
      <c r="O1678" s="61"/>
      <c r="P1678" s="69" t="str">
        <f t="shared" si="124"/>
        <v>Penjualan Intouch</v>
      </c>
      <c r="Q1678" s="61"/>
    </row>
    <row r="1679" spans="1:17" hidden="1" x14ac:dyDescent="0.25">
      <c r="A1679" s="60" t="str">
        <f t="shared" si="122"/>
        <v>102410,01</v>
      </c>
      <c r="B1679" s="60">
        <f>COUNTIF($J$7:J1679,J1679)</f>
        <v>102</v>
      </c>
      <c r="C1679" s="60" t="str">
        <f t="shared" si="123"/>
        <v>0</v>
      </c>
      <c r="D1679" s="60">
        <f>COUNTIF($K$7:K1679,K1679)</f>
        <v>0</v>
      </c>
      <c r="E1679" s="61"/>
      <c r="F1679" s="227">
        <v>44615</v>
      </c>
      <c r="G1679" s="228"/>
      <c r="H1679" s="228" t="s">
        <v>853</v>
      </c>
      <c r="I1679" s="228" t="s">
        <v>18</v>
      </c>
      <c r="J1679" s="64">
        <v>410.01</v>
      </c>
      <c r="K1679" s="65"/>
      <c r="L1679" s="224"/>
      <c r="M1679" s="231">
        <v>5377500</v>
      </c>
      <c r="N1679" s="231"/>
      <c r="O1679" s="61"/>
      <c r="P1679" s="69" t="str">
        <f t="shared" si="124"/>
        <v>Penjualan Intouch</v>
      </c>
      <c r="Q1679" s="61"/>
    </row>
    <row r="1680" spans="1:17" hidden="1" x14ac:dyDescent="0.25">
      <c r="A1680" s="60" t="str">
        <f t="shared" si="122"/>
        <v>103410,01</v>
      </c>
      <c r="B1680" s="60">
        <f>COUNTIF($J$7:J1680,J1680)</f>
        <v>103</v>
      </c>
      <c r="C1680" s="60" t="str">
        <f t="shared" si="123"/>
        <v>0</v>
      </c>
      <c r="D1680" s="60">
        <f>COUNTIF($K$7:K1680,K1680)</f>
        <v>0</v>
      </c>
      <c r="E1680" s="61"/>
      <c r="F1680" s="227">
        <v>44615</v>
      </c>
      <c r="G1680" s="228"/>
      <c r="H1680" s="228" t="s">
        <v>853</v>
      </c>
      <c r="I1680" s="228" t="s">
        <v>18</v>
      </c>
      <c r="J1680" s="64">
        <v>410.01</v>
      </c>
      <c r="K1680" s="65"/>
      <c r="L1680" s="224"/>
      <c r="M1680" s="231">
        <v>8962500</v>
      </c>
      <c r="N1680" s="231"/>
      <c r="O1680" s="61"/>
      <c r="P1680" s="69" t="str">
        <f t="shared" si="124"/>
        <v>Penjualan Intouch</v>
      </c>
      <c r="Q1680" s="61"/>
    </row>
    <row r="1681" spans="1:17" hidden="1" x14ac:dyDescent="0.25">
      <c r="A1681" s="60" t="str">
        <f t="shared" si="122"/>
        <v>104410,01</v>
      </c>
      <c r="B1681" s="60">
        <f>COUNTIF($J$7:J1681,J1681)</f>
        <v>104</v>
      </c>
      <c r="C1681" s="60" t="str">
        <f t="shared" si="123"/>
        <v>0</v>
      </c>
      <c r="D1681" s="60">
        <f>COUNTIF($K$7:K1681,K1681)</f>
        <v>0</v>
      </c>
      <c r="E1681" s="61"/>
      <c r="F1681" s="227">
        <v>44615</v>
      </c>
      <c r="G1681" s="228"/>
      <c r="H1681" s="228" t="s">
        <v>853</v>
      </c>
      <c r="I1681" s="228" t="s">
        <v>18</v>
      </c>
      <c r="J1681" s="64">
        <v>410.01</v>
      </c>
      <c r="K1681" s="65"/>
      <c r="L1681" s="224"/>
      <c r="M1681" s="231">
        <v>5377500</v>
      </c>
      <c r="N1681" s="231"/>
      <c r="O1681" s="61"/>
      <c r="P1681" s="69" t="str">
        <f t="shared" si="124"/>
        <v>Penjualan Intouch</v>
      </c>
      <c r="Q1681" s="61"/>
    </row>
    <row r="1682" spans="1:17" hidden="1" x14ac:dyDescent="0.25">
      <c r="A1682" s="60" t="str">
        <f t="shared" si="122"/>
        <v>66410,03</v>
      </c>
      <c r="B1682" s="60">
        <f>COUNTIF($J$7:J1682,J1682)</f>
        <v>66</v>
      </c>
      <c r="C1682" s="60" t="str">
        <f t="shared" si="123"/>
        <v>0</v>
      </c>
      <c r="D1682" s="60">
        <f>COUNTIF($K$7:K1682,K1682)</f>
        <v>0</v>
      </c>
      <c r="E1682" s="61"/>
      <c r="F1682" s="227">
        <v>44617</v>
      </c>
      <c r="G1682" s="228"/>
      <c r="H1682" s="228" t="s">
        <v>854</v>
      </c>
      <c r="I1682" s="228" t="s">
        <v>18</v>
      </c>
      <c r="J1682" s="64">
        <v>410.03</v>
      </c>
      <c r="K1682" s="65"/>
      <c r="L1682" s="224"/>
      <c r="M1682" s="231">
        <v>820000</v>
      </c>
      <c r="N1682" s="231"/>
      <c r="O1682" s="61"/>
      <c r="P1682" s="69" t="str">
        <f t="shared" si="124"/>
        <v>Penjualan Exam</v>
      </c>
      <c r="Q1682" s="61"/>
    </row>
    <row r="1683" spans="1:17" hidden="1" x14ac:dyDescent="0.25">
      <c r="A1683" s="60" t="str">
        <f t="shared" si="122"/>
        <v>105410,01</v>
      </c>
      <c r="B1683" s="60">
        <f>COUNTIF($J$7:J1683,J1683)</f>
        <v>105</v>
      </c>
      <c r="C1683" s="60" t="str">
        <f t="shared" si="123"/>
        <v>0</v>
      </c>
      <c r="D1683" s="60">
        <f>COUNTIF($K$7:K1683,K1683)</f>
        <v>0</v>
      </c>
      <c r="E1683" s="61"/>
      <c r="F1683" s="227">
        <v>44617</v>
      </c>
      <c r="G1683" s="228"/>
      <c r="H1683" s="228" t="s">
        <v>855</v>
      </c>
      <c r="I1683" s="228" t="s">
        <v>18</v>
      </c>
      <c r="J1683" s="64">
        <v>410.01</v>
      </c>
      <c r="K1683" s="65"/>
      <c r="L1683" s="224"/>
      <c r="M1683" s="231">
        <v>1770000</v>
      </c>
      <c r="N1683" s="231"/>
      <c r="O1683" s="61"/>
      <c r="P1683" s="69" t="str">
        <f t="shared" si="124"/>
        <v>Penjualan Intouch</v>
      </c>
      <c r="Q1683" s="61"/>
    </row>
    <row r="1684" spans="1:17" hidden="1" x14ac:dyDescent="0.25">
      <c r="A1684" s="60" t="str">
        <f t="shared" si="122"/>
        <v>106410,01</v>
      </c>
      <c r="B1684" s="60">
        <f>COUNTIF($J$7:J1684,J1684)</f>
        <v>106</v>
      </c>
      <c r="C1684" s="60" t="str">
        <f t="shared" si="123"/>
        <v>0</v>
      </c>
      <c r="D1684" s="60">
        <f>COUNTIF($K$7:K1684,K1684)</f>
        <v>0</v>
      </c>
      <c r="E1684" s="61"/>
      <c r="F1684" s="227">
        <v>44617</v>
      </c>
      <c r="G1684" s="228"/>
      <c r="H1684" s="228" t="s">
        <v>855</v>
      </c>
      <c r="I1684" s="228" t="s">
        <v>18</v>
      </c>
      <c r="J1684" s="64">
        <v>410.01</v>
      </c>
      <c r="K1684" s="65"/>
      <c r="L1684" s="224"/>
      <c r="M1684" s="231">
        <v>3540000</v>
      </c>
      <c r="N1684" s="231"/>
      <c r="O1684" s="61"/>
      <c r="P1684" s="69" t="str">
        <f t="shared" si="124"/>
        <v>Penjualan Intouch</v>
      </c>
      <c r="Q1684" s="61"/>
    </row>
    <row r="1685" spans="1:17" hidden="1" x14ac:dyDescent="0.25">
      <c r="A1685" s="60" t="str">
        <f t="shared" si="122"/>
        <v>107410,01</v>
      </c>
      <c r="B1685" s="60">
        <f>COUNTIF($J$7:J1685,J1685)</f>
        <v>107</v>
      </c>
      <c r="C1685" s="60" t="str">
        <f t="shared" si="123"/>
        <v>0</v>
      </c>
      <c r="D1685" s="60">
        <f>COUNTIF($K$7:K1685,K1685)</f>
        <v>0</v>
      </c>
      <c r="E1685" s="61"/>
      <c r="F1685" s="227">
        <v>44617</v>
      </c>
      <c r="G1685" s="228"/>
      <c r="H1685" s="228" t="s">
        <v>855</v>
      </c>
      <c r="I1685" s="228" t="s">
        <v>18</v>
      </c>
      <c r="J1685" s="64">
        <v>410.01</v>
      </c>
      <c r="K1685" s="65"/>
      <c r="L1685" s="224"/>
      <c r="M1685" s="231">
        <v>3540000</v>
      </c>
      <c r="N1685" s="231"/>
      <c r="O1685" s="61"/>
      <c r="P1685" s="69" t="str">
        <f t="shared" si="124"/>
        <v>Penjualan Intouch</v>
      </c>
      <c r="Q1685" s="61"/>
    </row>
    <row r="1686" spans="1:17" hidden="1" x14ac:dyDescent="0.25">
      <c r="A1686" s="60" t="str">
        <f t="shared" si="122"/>
        <v>108410,01</v>
      </c>
      <c r="B1686" s="60">
        <f>COUNTIF($J$7:J1686,J1686)</f>
        <v>108</v>
      </c>
      <c r="C1686" s="60" t="str">
        <f t="shared" si="123"/>
        <v>0</v>
      </c>
      <c r="D1686" s="60">
        <f>COUNTIF($K$7:K1686,K1686)</f>
        <v>0</v>
      </c>
      <c r="E1686" s="61"/>
      <c r="F1686" s="227">
        <v>44617</v>
      </c>
      <c r="G1686" s="228"/>
      <c r="H1686" s="228" t="s">
        <v>855</v>
      </c>
      <c r="I1686" s="228" t="s">
        <v>18</v>
      </c>
      <c r="J1686" s="64">
        <v>410.01</v>
      </c>
      <c r="K1686" s="65"/>
      <c r="L1686" s="224"/>
      <c r="M1686" s="231">
        <v>1770000</v>
      </c>
      <c r="N1686" s="231"/>
      <c r="O1686" s="61"/>
      <c r="P1686" s="69" t="str">
        <f t="shared" si="124"/>
        <v>Penjualan Intouch</v>
      </c>
      <c r="Q1686" s="61"/>
    </row>
    <row r="1687" spans="1:17" hidden="1" x14ac:dyDescent="0.25">
      <c r="A1687" s="60" t="str">
        <f t="shared" si="122"/>
        <v>109410,01</v>
      </c>
      <c r="B1687" s="60">
        <f>COUNTIF($J$7:J1687,J1687)</f>
        <v>109</v>
      </c>
      <c r="C1687" s="60" t="str">
        <f t="shared" si="123"/>
        <v>0</v>
      </c>
      <c r="D1687" s="60">
        <f>COUNTIF($K$7:K1687,K1687)</f>
        <v>0</v>
      </c>
      <c r="E1687" s="61"/>
      <c r="F1687" s="227">
        <v>44617</v>
      </c>
      <c r="G1687" s="228"/>
      <c r="H1687" s="228" t="s">
        <v>855</v>
      </c>
      <c r="I1687" s="228" t="s">
        <v>18</v>
      </c>
      <c r="J1687" s="64">
        <v>410.01</v>
      </c>
      <c r="K1687" s="65"/>
      <c r="L1687" s="224"/>
      <c r="M1687" s="231">
        <v>2092500</v>
      </c>
      <c r="N1687" s="231"/>
      <c r="O1687" s="61"/>
      <c r="P1687" s="69" t="str">
        <f t="shared" si="124"/>
        <v>Penjualan Intouch</v>
      </c>
      <c r="Q1687" s="61"/>
    </row>
    <row r="1688" spans="1:17" hidden="1" x14ac:dyDescent="0.25">
      <c r="A1688" s="60" t="str">
        <f t="shared" si="122"/>
        <v>110410,01</v>
      </c>
      <c r="B1688" s="60">
        <f>COUNTIF($J$7:J1688,J1688)</f>
        <v>110</v>
      </c>
      <c r="C1688" s="60" t="str">
        <f t="shared" si="123"/>
        <v>0</v>
      </c>
      <c r="D1688" s="60">
        <f>COUNTIF($K$7:K1688,K1688)</f>
        <v>0</v>
      </c>
      <c r="E1688" s="61"/>
      <c r="F1688" s="227">
        <v>44617</v>
      </c>
      <c r="G1688" s="228"/>
      <c r="H1688" s="228" t="s">
        <v>855</v>
      </c>
      <c r="I1688" s="228" t="s">
        <v>18</v>
      </c>
      <c r="J1688" s="64">
        <v>410.01</v>
      </c>
      <c r="K1688" s="65"/>
      <c r="L1688" s="224"/>
      <c r="M1688" s="231">
        <v>2092500</v>
      </c>
      <c r="N1688" s="231"/>
      <c r="O1688" s="61"/>
      <c r="P1688" s="69" t="str">
        <f t="shared" si="124"/>
        <v>Penjualan Intouch</v>
      </c>
      <c r="Q1688" s="61"/>
    </row>
    <row r="1689" spans="1:17" hidden="1" x14ac:dyDescent="0.25">
      <c r="A1689" s="60" t="str">
        <f t="shared" si="122"/>
        <v>111410,01</v>
      </c>
      <c r="B1689" s="60">
        <f>COUNTIF($J$7:J1689,J1689)</f>
        <v>111</v>
      </c>
      <c r="C1689" s="60" t="str">
        <f t="shared" si="123"/>
        <v>0</v>
      </c>
      <c r="D1689" s="60">
        <f>COUNTIF($K$7:K1689,K1689)</f>
        <v>0</v>
      </c>
      <c r="E1689" s="61"/>
      <c r="F1689" s="227">
        <v>44617</v>
      </c>
      <c r="G1689" s="228"/>
      <c r="H1689" s="228" t="s">
        <v>855</v>
      </c>
      <c r="I1689" s="228" t="s">
        <v>18</v>
      </c>
      <c r="J1689" s="64">
        <v>410.01</v>
      </c>
      <c r="K1689" s="65"/>
      <c r="L1689" s="224"/>
      <c r="M1689" s="231">
        <v>2092500</v>
      </c>
      <c r="N1689" s="231"/>
      <c r="O1689" s="61"/>
      <c r="P1689" s="69" t="str">
        <f t="shared" si="124"/>
        <v>Penjualan Intouch</v>
      </c>
      <c r="Q1689" s="61"/>
    </row>
    <row r="1690" spans="1:17" hidden="1" x14ac:dyDescent="0.25">
      <c r="A1690" s="60" t="str">
        <f t="shared" si="122"/>
        <v>112410,01</v>
      </c>
      <c r="B1690" s="60">
        <f>COUNTIF($J$7:J1690,J1690)</f>
        <v>112</v>
      </c>
      <c r="C1690" s="60" t="str">
        <f t="shared" si="123"/>
        <v>0</v>
      </c>
      <c r="D1690" s="60">
        <f>COUNTIF($K$7:K1690,K1690)</f>
        <v>0</v>
      </c>
      <c r="E1690" s="61"/>
      <c r="F1690" s="227">
        <v>44617</v>
      </c>
      <c r="G1690" s="228"/>
      <c r="H1690" s="228" t="s">
        <v>855</v>
      </c>
      <c r="I1690" s="228" t="s">
        <v>18</v>
      </c>
      <c r="J1690" s="64">
        <v>410.01</v>
      </c>
      <c r="K1690" s="65"/>
      <c r="L1690" s="224"/>
      <c r="M1690" s="231">
        <v>2092500</v>
      </c>
      <c r="N1690" s="231"/>
      <c r="O1690" s="61"/>
      <c r="P1690" s="69" t="str">
        <f t="shared" si="124"/>
        <v>Penjualan Intouch</v>
      </c>
      <c r="Q1690" s="61"/>
    </row>
    <row r="1691" spans="1:17" hidden="1" x14ac:dyDescent="0.25">
      <c r="A1691" s="60" t="str">
        <f t="shared" si="122"/>
        <v>67410,03</v>
      </c>
      <c r="B1691" s="60">
        <f>COUNTIF($J$7:J1691,J1691)</f>
        <v>67</v>
      </c>
      <c r="C1691" s="60" t="str">
        <f t="shared" si="123"/>
        <v>0</v>
      </c>
      <c r="D1691" s="60">
        <f>COUNTIF($K$7:K1691,K1691)</f>
        <v>0</v>
      </c>
      <c r="E1691" s="61"/>
      <c r="F1691" s="227">
        <v>44599</v>
      </c>
      <c r="G1691" s="228"/>
      <c r="H1691" s="228" t="s">
        <v>856</v>
      </c>
      <c r="I1691" s="228" t="s">
        <v>20</v>
      </c>
      <c r="J1691" s="64">
        <v>410.03</v>
      </c>
      <c r="K1691" s="65"/>
      <c r="L1691" s="224"/>
      <c r="M1691" s="231">
        <v>3280000</v>
      </c>
      <c r="N1691" s="231"/>
      <c r="O1691" s="61"/>
      <c r="P1691" s="69" t="str">
        <f t="shared" si="124"/>
        <v>Penjualan Exam</v>
      </c>
      <c r="Q1691" s="61"/>
    </row>
    <row r="1692" spans="1:17" hidden="1" x14ac:dyDescent="0.25">
      <c r="A1692" s="60" t="str">
        <f t="shared" si="122"/>
        <v>68410,03</v>
      </c>
      <c r="B1692" s="60">
        <f>COUNTIF($J$7:J1692,J1692)</f>
        <v>68</v>
      </c>
      <c r="C1692" s="60" t="str">
        <f t="shared" si="123"/>
        <v>0</v>
      </c>
      <c r="D1692" s="60">
        <f>COUNTIF($K$7:K1692,K1692)</f>
        <v>0</v>
      </c>
      <c r="E1692" s="61"/>
      <c r="F1692" s="227">
        <v>44599</v>
      </c>
      <c r="G1692" s="228"/>
      <c r="H1692" s="228" t="s">
        <v>856</v>
      </c>
      <c r="I1692" s="228" t="s">
        <v>20</v>
      </c>
      <c r="J1692" s="64">
        <v>410.03</v>
      </c>
      <c r="K1692" s="65"/>
      <c r="L1692" s="224"/>
      <c r="M1692" s="231">
        <v>820000</v>
      </c>
      <c r="N1692" s="231"/>
      <c r="O1692" s="61"/>
      <c r="P1692" s="69" t="str">
        <f t="shared" si="124"/>
        <v>Penjualan Exam</v>
      </c>
      <c r="Q1692" s="61"/>
    </row>
    <row r="1693" spans="1:17" hidden="1" x14ac:dyDescent="0.25">
      <c r="A1693" s="60" t="str">
        <f t="shared" si="122"/>
        <v>113410,01</v>
      </c>
      <c r="B1693" s="60">
        <f>COUNTIF($J$7:J1693,J1693)</f>
        <v>113</v>
      </c>
      <c r="C1693" s="60" t="str">
        <f t="shared" si="123"/>
        <v>0</v>
      </c>
      <c r="D1693" s="60">
        <f>COUNTIF($K$7:K1693,K1693)</f>
        <v>0</v>
      </c>
      <c r="E1693" s="61"/>
      <c r="F1693" s="227">
        <v>44599</v>
      </c>
      <c r="G1693" s="228"/>
      <c r="H1693" s="228" t="s">
        <v>857</v>
      </c>
      <c r="I1693" s="228" t="s">
        <v>20</v>
      </c>
      <c r="J1693" s="64">
        <v>410.01</v>
      </c>
      <c r="K1693" s="65"/>
      <c r="L1693" s="224"/>
      <c r="M1693" s="231">
        <v>5310000</v>
      </c>
      <c r="N1693" s="231"/>
      <c r="O1693" s="61"/>
      <c r="P1693" s="69" t="str">
        <f t="shared" si="124"/>
        <v>Penjualan Intouch</v>
      </c>
      <c r="Q1693" s="61"/>
    </row>
    <row r="1694" spans="1:17" hidden="1" x14ac:dyDescent="0.25">
      <c r="A1694" s="60" t="str">
        <f t="shared" si="122"/>
        <v>114410,01</v>
      </c>
      <c r="B1694" s="60">
        <f>COUNTIF($J$7:J1694,J1694)</f>
        <v>114</v>
      </c>
      <c r="C1694" s="60" t="str">
        <f t="shared" si="123"/>
        <v>0</v>
      </c>
      <c r="D1694" s="60">
        <f>COUNTIF($K$7:K1694,K1694)</f>
        <v>0</v>
      </c>
      <c r="E1694" s="61"/>
      <c r="F1694" s="227">
        <v>44599</v>
      </c>
      <c r="G1694" s="228"/>
      <c r="H1694" s="228" t="s">
        <v>857</v>
      </c>
      <c r="I1694" s="228" t="s">
        <v>20</v>
      </c>
      <c r="J1694" s="64">
        <v>410.01</v>
      </c>
      <c r="K1694" s="65"/>
      <c r="L1694" s="224"/>
      <c r="M1694" s="231">
        <v>1770000</v>
      </c>
      <c r="N1694" s="231"/>
      <c r="O1694" s="61"/>
      <c r="P1694" s="69" t="str">
        <f t="shared" si="124"/>
        <v>Penjualan Intouch</v>
      </c>
      <c r="Q1694" s="61"/>
    </row>
    <row r="1695" spans="1:17" hidden="1" x14ac:dyDescent="0.25">
      <c r="A1695" s="60" t="str">
        <f t="shared" si="122"/>
        <v>115410,01</v>
      </c>
      <c r="B1695" s="60">
        <f>COUNTIF($J$7:J1695,J1695)</f>
        <v>115</v>
      </c>
      <c r="C1695" s="60" t="str">
        <f t="shared" si="123"/>
        <v>0</v>
      </c>
      <c r="D1695" s="60">
        <f>COUNTIF($K$7:K1695,K1695)</f>
        <v>0</v>
      </c>
      <c r="E1695" s="61"/>
      <c r="F1695" s="227">
        <v>44599</v>
      </c>
      <c r="G1695" s="228"/>
      <c r="H1695" s="228" t="s">
        <v>857</v>
      </c>
      <c r="I1695" s="228" t="s">
        <v>20</v>
      </c>
      <c r="J1695" s="64">
        <v>410.01</v>
      </c>
      <c r="K1695" s="65"/>
      <c r="L1695" s="224"/>
      <c r="M1695" s="231">
        <v>1770000</v>
      </c>
      <c r="N1695" s="231"/>
      <c r="O1695" s="61"/>
      <c r="P1695" s="69" t="str">
        <f t="shared" si="124"/>
        <v>Penjualan Intouch</v>
      </c>
      <c r="Q1695" s="61"/>
    </row>
    <row r="1696" spans="1:17" hidden="1" x14ac:dyDescent="0.25">
      <c r="A1696" s="60" t="str">
        <f t="shared" si="122"/>
        <v>116410,01</v>
      </c>
      <c r="B1696" s="60">
        <f>COUNTIF($J$7:J1696,J1696)</f>
        <v>116</v>
      </c>
      <c r="C1696" s="60" t="str">
        <f t="shared" si="123"/>
        <v>0</v>
      </c>
      <c r="D1696" s="60">
        <f>COUNTIF($K$7:K1696,K1696)</f>
        <v>0</v>
      </c>
      <c r="E1696" s="61"/>
      <c r="F1696" s="227">
        <v>44599</v>
      </c>
      <c r="G1696" s="228"/>
      <c r="H1696" s="228" t="s">
        <v>857</v>
      </c>
      <c r="I1696" s="228" t="s">
        <v>20</v>
      </c>
      <c r="J1696" s="64">
        <v>410.01</v>
      </c>
      <c r="K1696" s="65"/>
      <c r="L1696" s="224"/>
      <c r="M1696" s="231">
        <v>6277500</v>
      </c>
      <c r="N1696" s="231"/>
      <c r="O1696" s="61"/>
      <c r="P1696" s="69" t="str">
        <f t="shared" si="124"/>
        <v>Penjualan Intouch</v>
      </c>
      <c r="Q1696" s="61"/>
    </row>
    <row r="1697" spans="1:17" hidden="1" x14ac:dyDescent="0.25">
      <c r="A1697" s="60" t="str">
        <f t="shared" si="122"/>
        <v>117410,01</v>
      </c>
      <c r="B1697" s="60">
        <f>COUNTIF($J$7:J1697,J1697)</f>
        <v>117</v>
      </c>
      <c r="C1697" s="60" t="str">
        <f t="shared" si="123"/>
        <v>0</v>
      </c>
      <c r="D1697" s="60">
        <f>COUNTIF($K$7:K1697,K1697)</f>
        <v>0</v>
      </c>
      <c r="E1697" s="61"/>
      <c r="F1697" s="227">
        <v>44599</v>
      </c>
      <c r="G1697" s="228"/>
      <c r="H1697" s="228" t="s">
        <v>857</v>
      </c>
      <c r="I1697" s="228" t="s">
        <v>20</v>
      </c>
      <c r="J1697" s="64">
        <v>410.01</v>
      </c>
      <c r="K1697" s="65"/>
      <c r="L1697" s="224"/>
      <c r="M1697" s="231">
        <v>6277500</v>
      </c>
      <c r="N1697" s="231"/>
      <c r="O1697" s="61"/>
      <c r="P1697" s="69" t="str">
        <f t="shared" si="124"/>
        <v>Penjualan Intouch</v>
      </c>
      <c r="Q1697" s="61"/>
    </row>
    <row r="1698" spans="1:17" hidden="1" x14ac:dyDescent="0.25">
      <c r="A1698" s="60" t="str">
        <f t="shared" si="122"/>
        <v>118410,01</v>
      </c>
      <c r="B1698" s="60">
        <f>COUNTIF($J$7:J1698,J1698)</f>
        <v>118</v>
      </c>
      <c r="C1698" s="60" t="str">
        <f t="shared" si="123"/>
        <v>0</v>
      </c>
      <c r="D1698" s="60">
        <f>COUNTIF($K$7:K1698,K1698)</f>
        <v>0</v>
      </c>
      <c r="E1698" s="61"/>
      <c r="F1698" s="227">
        <v>44599</v>
      </c>
      <c r="G1698" s="228"/>
      <c r="H1698" s="228" t="s">
        <v>857</v>
      </c>
      <c r="I1698" s="228" t="s">
        <v>20</v>
      </c>
      <c r="J1698" s="64">
        <v>410.01</v>
      </c>
      <c r="K1698" s="65"/>
      <c r="L1698" s="224"/>
      <c r="M1698" s="231">
        <v>2092500</v>
      </c>
      <c r="N1698" s="231"/>
      <c r="O1698" s="61"/>
      <c r="P1698" s="69" t="str">
        <f t="shared" si="124"/>
        <v>Penjualan Intouch</v>
      </c>
      <c r="Q1698" s="61"/>
    </row>
    <row r="1699" spans="1:17" hidden="1" x14ac:dyDescent="0.25">
      <c r="A1699" s="60" t="str">
        <f t="shared" si="122"/>
        <v>119410,01</v>
      </c>
      <c r="B1699" s="60">
        <f>COUNTIF($J$7:J1699,J1699)</f>
        <v>119</v>
      </c>
      <c r="C1699" s="60" t="str">
        <f t="shared" si="123"/>
        <v>0</v>
      </c>
      <c r="D1699" s="60">
        <f>COUNTIF($K$7:K1699,K1699)</f>
        <v>0</v>
      </c>
      <c r="E1699" s="61"/>
      <c r="F1699" s="227">
        <v>44601</v>
      </c>
      <c r="G1699" s="228"/>
      <c r="H1699" s="228" t="s">
        <v>858</v>
      </c>
      <c r="I1699" s="228" t="s">
        <v>20</v>
      </c>
      <c r="J1699" s="64">
        <v>410.01</v>
      </c>
      <c r="K1699" s="65"/>
      <c r="L1699" s="224"/>
      <c r="M1699" s="231">
        <v>5310000</v>
      </c>
      <c r="N1699" s="231"/>
      <c r="O1699" s="61"/>
      <c r="P1699" s="69" t="str">
        <f t="shared" si="124"/>
        <v>Penjualan Intouch</v>
      </c>
      <c r="Q1699" s="61"/>
    </row>
    <row r="1700" spans="1:17" hidden="1" x14ac:dyDescent="0.25">
      <c r="A1700" s="60" t="str">
        <f t="shared" si="122"/>
        <v>120410,01</v>
      </c>
      <c r="B1700" s="60">
        <f>COUNTIF($J$7:J1700,J1700)</f>
        <v>120</v>
      </c>
      <c r="C1700" s="60" t="str">
        <f t="shared" si="123"/>
        <v>0</v>
      </c>
      <c r="D1700" s="60">
        <f>COUNTIF($K$7:K1700,K1700)</f>
        <v>0</v>
      </c>
      <c r="E1700" s="61"/>
      <c r="F1700" s="227">
        <v>44601</v>
      </c>
      <c r="G1700" s="228"/>
      <c r="H1700" s="228" t="s">
        <v>858</v>
      </c>
      <c r="I1700" s="228" t="s">
        <v>20</v>
      </c>
      <c r="J1700" s="64">
        <v>410.01</v>
      </c>
      <c r="K1700" s="65"/>
      <c r="L1700" s="224"/>
      <c r="M1700" s="231">
        <v>4185000</v>
      </c>
      <c r="N1700" s="231"/>
      <c r="O1700" s="61"/>
      <c r="P1700" s="69" t="str">
        <f t="shared" si="124"/>
        <v>Penjualan Intouch</v>
      </c>
      <c r="Q1700" s="61"/>
    </row>
    <row r="1701" spans="1:17" hidden="1" x14ac:dyDescent="0.25">
      <c r="A1701" s="60" t="str">
        <f t="shared" si="122"/>
        <v>121410,01</v>
      </c>
      <c r="B1701" s="60">
        <f>COUNTIF($J$7:J1701,J1701)</f>
        <v>121</v>
      </c>
      <c r="C1701" s="60" t="str">
        <f t="shared" si="123"/>
        <v>0</v>
      </c>
      <c r="D1701" s="60">
        <f>COUNTIF($K$7:K1701,K1701)</f>
        <v>0</v>
      </c>
      <c r="E1701" s="61"/>
      <c r="F1701" s="227">
        <v>44601</v>
      </c>
      <c r="G1701" s="228"/>
      <c r="H1701" s="228" t="s">
        <v>858</v>
      </c>
      <c r="I1701" s="228" t="s">
        <v>20</v>
      </c>
      <c r="J1701" s="64">
        <v>410.01</v>
      </c>
      <c r="K1701" s="65"/>
      <c r="L1701" s="224"/>
      <c r="M1701" s="231">
        <v>4185000</v>
      </c>
      <c r="N1701" s="231"/>
      <c r="O1701" s="61"/>
      <c r="P1701" s="69" t="str">
        <f t="shared" si="124"/>
        <v>Penjualan Intouch</v>
      </c>
      <c r="Q1701" s="61"/>
    </row>
    <row r="1702" spans="1:17" hidden="1" x14ac:dyDescent="0.25">
      <c r="A1702" s="60" t="str">
        <f t="shared" si="122"/>
        <v>122410,01</v>
      </c>
      <c r="B1702" s="60">
        <f>COUNTIF($J$7:J1702,J1702)</f>
        <v>122</v>
      </c>
      <c r="C1702" s="60" t="str">
        <f t="shared" si="123"/>
        <v>0</v>
      </c>
      <c r="D1702" s="60">
        <f>COUNTIF($K$7:K1702,K1702)</f>
        <v>0</v>
      </c>
      <c r="E1702" s="61"/>
      <c r="F1702" s="227">
        <v>44601</v>
      </c>
      <c r="G1702" s="228"/>
      <c r="H1702" s="228" t="s">
        <v>858</v>
      </c>
      <c r="I1702" s="228" t="s">
        <v>20</v>
      </c>
      <c r="J1702" s="64">
        <v>410.01</v>
      </c>
      <c r="K1702" s="65"/>
      <c r="L1702" s="224"/>
      <c r="M1702" s="231">
        <v>4185000</v>
      </c>
      <c r="N1702" s="231"/>
      <c r="O1702" s="61"/>
      <c r="P1702" s="69" t="str">
        <f t="shared" si="124"/>
        <v>Penjualan Intouch</v>
      </c>
      <c r="Q1702" s="61"/>
    </row>
    <row r="1703" spans="1:17" hidden="1" x14ac:dyDescent="0.25">
      <c r="A1703" s="60" t="str">
        <f t="shared" si="122"/>
        <v>123410,01</v>
      </c>
      <c r="B1703" s="60">
        <f>COUNTIF($J$7:J1703,J1703)</f>
        <v>123</v>
      </c>
      <c r="C1703" s="60" t="str">
        <f t="shared" si="123"/>
        <v>0</v>
      </c>
      <c r="D1703" s="60">
        <f>COUNTIF($K$7:K1703,K1703)</f>
        <v>0</v>
      </c>
      <c r="E1703" s="61"/>
      <c r="F1703" s="227">
        <v>44601</v>
      </c>
      <c r="G1703" s="228"/>
      <c r="H1703" s="228" t="s">
        <v>859</v>
      </c>
      <c r="I1703" s="228" t="s">
        <v>20</v>
      </c>
      <c r="J1703" s="64">
        <v>410.01</v>
      </c>
      <c r="K1703" s="65"/>
      <c r="L1703" s="224"/>
      <c r="M1703" s="231">
        <v>10462500</v>
      </c>
      <c r="N1703" s="231"/>
      <c r="O1703" s="61"/>
      <c r="P1703" s="69" t="str">
        <f t="shared" si="124"/>
        <v>Penjualan Intouch</v>
      </c>
      <c r="Q1703" s="61"/>
    </row>
    <row r="1704" spans="1:17" hidden="1" x14ac:dyDescent="0.25">
      <c r="A1704" s="60" t="str">
        <f t="shared" si="122"/>
        <v>124410,01</v>
      </c>
      <c r="B1704" s="60">
        <f>COUNTIF($J$7:J1704,J1704)</f>
        <v>124</v>
      </c>
      <c r="C1704" s="60" t="str">
        <f t="shared" si="123"/>
        <v>0</v>
      </c>
      <c r="D1704" s="60">
        <f>COUNTIF($K$7:K1704,K1704)</f>
        <v>0</v>
      </c>
      <c r="E1704" s="61"/>
      <c r="F1704" s="227">
        <v>44601</v>
      </c>
      <c r="G1704" s="228"/>
      <c r="H1704" s="228" t="s">
        <v>859</v>
      </c>
      <c r="I1704" s="228" t="s">
        <v>20</v>
      </c>
      <c r="J1704" s="64">
        <v>410.01</v>
      </c>
      <c r="K1704" s="65"/>
      <c r="L1704" s="224"/>
      <c r="M1704" s="231">
        <v>10462500</v>
      </c>
      <c r="N1704" s="231"/>
      <c r="O1704" s="61"/>
      <c r="P1704" s="69" t="str">
        <f t="shared" si="124"/>
        <v>Penjualan Intouch</v>
      </c>
      <c r="Q1704" s="61"/>
    </row>
    <row r="1705" spans="1:17" hidden="1" x14ac:dyDescent="0.25">
      <c r="A1705" s="60" t="str">
        <f t="shared" si="122"/>
        <v>125410,01</v>
      </c>
      <c r="B1705" s="60">
        <f>COUNTIF($J$7:J1705,J1705)</f>
        <v>125</v>
      </c>
      <c r="C1705" s="60" t="str">
        <f t="shared" si="123"/>
        <v>0</v>
      </c>
      <c r="D1705" s="60">
        <f>COUNTIF($K$7:K1705,K1705)</f>
        <v>0</v>
      </c>
      <c r="E1705" s="61"/>
      <c r="F1705" s="227">
        <v>44601</v>
      </c>
      <c r="G1705" s="228"/>
      <c r="H1705" s="228" t="s">
        <v>859</v>
      </c>
      <c r="I1705" s="228" t="s">
        <v>20</v>
      </c>
      <c r="J1705" s="64">
        <v>410.01</v>
      </c>
      <c r="K1705" s="65"/>
      <c r="L1705" s="224"/>
      <c r="M1705" s="231">
        <v>2092500</v>
      </c>
      <c r="N1705" s="231"/>
      <c r="O1705" s="61"/>
      <c r="P1705" s="69" t="str">
        <f t="shared" si="124"/>
        <v>Penjualan Intouch</v>
      </c>
      <c r="Q1705" s="61"/>
    </row>
    <row r="1706" spans="1:17" hidden="1" x14ac:dyDescent="0.25">
      <c r="A1706" s="60" t="str">
        <f t="shared" si="122"/>
        <v>126410,01</v>
      </c>
      <c r="B1706" s="60">
        <f>COUNTIF($J$7:J1706,J1706)</f>
        <v>126</v>
      </c>
      <c r="C1706" s="60" t="str">
        <f t="shared" si="123"/>
        <v>0</v>
      </c>
      <c r="D1706" s="60">
        <f>COUNTIF($K$7:K1706,K1706)</f>
        <v>0</v>
      </c>
      <c r="E1706" s="61"/>
      <c r="F1706" s="227">
        <v>44610</v>
      </c>
      <c r="G1706" s="228"/>
      <c r="H1706" s="228" t="s">
        <v>860</v>
      </c>
      <c r="I1706" s="228" t="s">
        <v>20</v>
      </c>
      <c r="J1706" s="64">
        <v>410.01</v>
      </c>
      <c r="K1706" s="65"/>
      <c r="L1706" s="224"/>
      <c r="M1706" s="231">
        <v>4185000</v>
      </c>
      <c r="N1706" s="231"/>
      <c r="O1706" s="61"/>
      <c r="P1706" s="69" t="str">
        <f t="shared" si="124"/>
        <v>Penjualan Intouch</v>
      </c>
      <c r="Q1706" s="61"/>
    </row>
    <row r="1707" spans="1:17" hidden="1" x14ac:dyDescent="0.25">
      <c r="A1707" s="60" t="str">
        <f t="shared" si="122"/>
        <v>127410,01</v>
      </c>
      <c r="B1707" s="60">
        <f>COUNTIF($J$7:J1707,J1707)</f>
        <v>127</v>
      </c>
      <c r="C1707" s="60" t="str">
        <f t="shared" si="123"/>
        <v>0</v>
      </c>
      <c r="D1707" s="60">
        <f>COUNTIF($K$7:K1707,K1707)</f>
        <v>0</v>
      </c>
      <c r="E1707" s="61"/>
      <c r="F1707" s="227">
        <v>44610</v>
      </c>
      <c r="G1707" s="228"/>
      <c r="H1707" s="228" t="s">
        <v>860</v>
      </c>
      <c r="I1707" s="228" t="s">
        <v>20</v>
      </c>
      <c r="J1707" s="64">
        <v>410.01</v>
      </c>
      <c r="K1707" s="65"/>
      <c r="L1707" s="224"/>
      <c r="M1707" s="231">
        <v>6277500</v>
      </c>
      <c r="N1707" s="231"/>
      <c r="O1707" s="61"/>
      <c r="P1707" s="69" t="str">
        <f t="shared" si="124"/>
        <v>Penjualan Intouch</v>
      </c>
      <c r="Q1707" s="61"/>
    </row>
    <row r="1708" spans="1:17" hidden="1" x14ac:dyDescent="0.25">
      <c r="A1708" s="60" t="str">
        <f t="shared" si="122"/>
        <v>128410,01</v>
      </c>
      <c r="B1708" s="60">
        <f>COUNTIF($J$7:J1708,J1708)</f>
        <v>128</v>
      </c>
      <c r="C1708" s="60" t="str">
        <f t="shared" si="123"/>
        <v>0</v>
      </c>
      <c r="D1708" s="60">
        <f>COUNTIF($K$7:K1708,K1708)</f>
        <v>0</v>
      </c>
      <c r="E1708" s="61"/>
      <c r="F1708" s="227">
        <v>44610</v>
      </c>
      <c r="G1708" s="228"/>
      <c r="H1708" s="228" t="s">
        <v>860</v>
      </c>
      <c r="I1708" s="228" t="s">
        <v>20</v>
      </c>
      <c r="J1708" s="64">
        <v>410.01</v>
      </c>
      <c r="K1708" s="65"/>
      <c r="L1708" s="224"/>
      <c r="M1708" s="231">
        <v>6277500</v>
      </c>
      <c r="N1708" s="231"/>
      <c r="O1708" s="61"/>
      <c r="P1708" s="69" t="str">
        <f t="shared" si="124"/>
        <v>Penjualan Intouch</v>
      </c>
      <c r="Q1708" s="61"/>
    </row>
    <row r="1709" spans="1:17" hidden="1" x14ac:dyDescent="0.25">
      <c r="A1709" s="60" t="str">
        <f t="shared" si="122"/>
        <v>129410,01</v>
      </c>
      <c r="B1709" s="60">
        <f>COUNTIF($J$7:J1709,J1709)</f>
        <v>129</v>
      </c>
      <c r="C1709" s="60" t="str">
        <f t="shared" si="123"/>
        <v>0</v>
      </c>
      <c r="D1709" s="60">
        <f>COUNTIF($K$7:K1709,K1709)</f>
        <v>0</v>
      </c>
      <c r="E1709" s="61"/>
      <c r="F1709" s="227">
        <v>44610</v>
      </c>
      <c r="G1709" s="228"/>
      <c r="H1709" s="228" t="s">
        <v>860</v>
      </c>
      <c r="I1709" s="228" t="s">
        <v>20</v>
      </c>
      <c r="J1709" s="64">
        <v>410.01</v>
      </c>
      <c r="K1709" s="65"/>
      <c r="L1709" s="224"/>
      <c r="M1709" s="231">
        <v>2092500</v>
      </c>
      <c r="N1709" s="231"/>
      <c r="O1709" s="61"/>
      <c r="P1709" s="69" t="str">
        <f t="shared" si="124"/>
        <v>Penjualan Intouch</v>
      </c>
      <c r="Q1709" s="61"/>
    </row>
    <row r="1710" spans="1:17" hidden="1" x14ac:dyDescent="0.25">
      <c r="A1710" s="60" t="str">
        <f t="shared" si="122"/>
        <v>130410,01</v>
      </c>
      <c r="B1710" s="60">
        <f>COUNTIF($J$7:J1710,J1710)</f>
        <v>130</v>
      </c>
      <c r="C1710" s="60" t="str">
        <f t="shared" si="123"/>
        <v>0</v>
      </c>
      <c r="D1710" s="60">
        <f>COUNTIF($K$7:K1710,K1710)</f>
        <v>0</v>
      </c>
      <c r="E1710" s="61"/>
      <c r="F1710" s="227">
        <v>44610</v>
      </c>
      <c r="G1710" s="228"/>
      <c r="H1710" s="228" t="s">
        <v>860</v>
      </c>
      <c r="I1710" s="228" t="s">
        <v>20</v>
      </c>
      <c r="J1710" s="64">
        <v>410.01</v>
      </c>
      <c r="K1710" s="65"/>
      <c r="L1710" s="224"/>
      <c r="M1710" s="231">
        <v>3540000</v>
      </c>
      <c r="N1710" s="231"/>
      <c r="O1710" s="61"/>
      <c r="P1710" s="69" t="str">
        <f t="shared" si="124"/>
        <v>Penjualan Intouch</v>
      </c>
      <c r="Q1710" s="61"/>
    </row>
    <row r="1711" spans="1:17" hidden="1" x14ac:dyDescent="0.25">
      <c r="A1711" s="60" t="str">
        <f t="shared" si="122"/>
        <v>69410,03</v>
      </c>
      <c r="B1711" s="60">
        <f>COUNTIF($J$7:J1711,J1711)</f>
        <v>69</v>
      </c>
      <c r="C1711" s="60" t="str">
        <f t="shared" si="123"/>
        <v>0</v>
      </c>
      <c r="D1711" s="60">
        <f>COUNTIF($K$7:K1711,K1711)</f>
        <v>0</v>
      </c>
      <c r="E1711" s="61"/>
      <c r="F1711" s="227">
        <v>44610</v>
      </c>
      <c r="G1711" s="228"/>
      <c r="H1711" s="228" t="s">
        <v>861</v>
      </c>
      <c r="I1711" s="228" t="s">
        <v>20</v>
      </c>
      <c r="J1711" s="64">
        <v>410.03</v>
      </c>
      <c r="K1711" s="65"/>
      <c r="L1711" s="224"/>
      <c r="M1711" s="231">
        <v>3280000</v>
      </c>
      <c r="N1711" s="231"/>
      <c r="O1711" s="61"/>
      <c r="P1711" s="69" t="str">
        <f t="shared" si="124"/>
        <v>Penjualan Exam</v>
      </c>
      <c r="Q1711" s="61"/>
    </row>
    <row r="1712" spans="1:17" hidden="1" x14ac:dyDescent="0.25">
      <c r="A1712" s="60" t="str">
        <f t="shared" si="122"/>
        <v>70410,03</v>
      </c>
      <c r="B1712" s="60">
        <f>COUNTIF($J$7:J1712,J1712)</f>
        <v>70</v>
      </c>
      <c r="C1712" s="60" t="str">
        <f t="shared" si="123"/>
        <v>0</v>
      </c>
      <c r="D1712" s="60">
        <f>COUNTIF($K$7:K1712,K1712)</f>
        <v>0</v>
      </c>
      <c r="E1712" s="61"/>
      <c r="F1712" s="227">
        <v>44610</v>
      </c>
      <c r="G1712" s="228"/>
      <c r="H1712" s="228" t="s">
        <v>861</v>
      </c>
      <c r="I1712" s="228" t="s">
        <v>20</v>
      </c>
      <c r="J1712" s="64">
        <v>410.03</v>
      </c>
      <c r="K1712" s="65"/>
      <c r="L1712" s="224"/>
      <c r="M1712" s="231">
        <v>820000</v>
      </c>
      <c r="N1712" s="231"/>
      <c r="O1712" s="61"/>
      <c r="P1712" s="69" t="str">
        <f t="shared" si="124"/>
        <v>Penjualan Exam</v>
      </c>
      <c r="Q1712" s="61"/>
    </row>
    <row r="1713" spans="1:17" hidden="1" x14ac:dyDescent="0.25">
      <c r="A1713" s="60" t="str">
        <f t="shared" si="122"/>
        <v>131410,01</v>
      </c>
      <c r="B1713" s="60">
        <f>COUNTIF($J$7:J1713,J1713)</f>
        <v>131</v>
      </c>
      <c r="C1713" s="60" t="str">
        <f t="shared" si="123"/>
        <v>0</v>
      </c>
      <c r="D1713" s="60">
        <f>COUNTIF($K$7:K1713,K1713)</f>
        <v>0</v>
      </c>
      <c r="E1713" s="61"/>
      <c r="F1713" s="227">
        <v>44600</v>
      </c>
      <c r="G1713" s="228"/>
      <c r="H1713" s="228" t="s">
        <v>862</v>
      </c>
      <c r="I1713" s="228" t="s">
        <v>863</v>
      </c>
      <c r="J1713" s="64">
        <v>410.01</v>
      </c>
      <c r="K1713" s="65"/>
      <c r="L1713" s="224"/>
      <c r="M1713" s="231">
        <v>21900000</v>
      </c>
      <c r="N1713" s="231"/>
      <c r="O1713" s="61"/>
      <c r="P1713" s="69" t="str">
        <f t="shared" si="124"/>
        <v>Penjualan Intouch</v>
      </c>
      <c r="Q1713" s="61"/>
    </row>
    <row r="1714" spans="1:17" hidden="1" x14ac:dyDescent="0.25">
      <c r="A1714" s="60" t="str">
        <f t="shared" si="122"/>
        <v>132410,01</v>
      </c>
      <c r="B1714" s="60">
        <f>COUNTIF($J$7:J1714,J1714)</f>
        <v>132</v>
      </c>
      <c r="C1714" s="60" t="str">
        <f t="shared" si="123"/>
        <v>0</v>
      </c>
      <c r="D1714" s="60">
        <f>COUNTIF($K$7:K1714,K1714)</f>
        <v>0</v>
      </c>
      <c r="E1714" s="61"/>
      <c r="F1714" s="227">
        <v>44600</v>
      </c>
      <c r="G1714" s="228"/>
      <c r="H1714" s="228" t="s">
        <v>862</v>
      </c>
      <c r="I1714" s="228" t="s">
        <v>863</v>
      </c>
      <c r="J1714" s="64">
        <v>410.01</v>
      </c>
      <c r="K1714" s="65"/>
      <c r="L1714" s="224"/>
      <c r="M1714" s="231">
        <v>10950000</v>
      </c>
      <c r="N1714" s="231"/>
      <c r="O1714" s="61"/>
      <c r="P1714" s="69" t="str">
        <f t="shared" si="124"/>
        <v>Penjualan Intouch</v>
      </c>
      <c r="Q1714" s="61"/>
    </row>
    <row r="1715" spans="1:17" hidden="1" x14ac:dyDescent="0.25">
      <c r="A1715" s="60" t="str">
        <f t="shared" si="122"/>
        <v>133410,01</v>
      </c>
      <c r="B1715" s="60">
        <f>COUNTIF($J$7:J1715,J1715)</f>
        <v>133</v>
      </c>
      <c r="C1715" s="60" t="str">
        <f t="shared" si="123"/>
        <v>0</v>
      </c>
      <c r="D1715" s="60">
        <f>COUNTIF($K$7:K1715,K1715)</f>
        <v>0</v>
      </c>
      <c r="E1715" s="61"/>
      <c r="F1715" s="227">
        <v>44600</v>
      </c>
      <c r="G1715" s="228"/>
      <c r="H1715" s="228" t="s">
        <v>862</v>
      </c>
      <c r="I1715" s="228" t="s">
        <v>863</v>
      </c>
      <c r="J1715" s="64">
        <v>410.01</v>
      </c>
      <c r="K1715" s="65"/>
      <c r="L1715" s="224"/>
      <c r="M1715" s="231">
        <v>6570000</v>
      </c>
      <c r="N1715" s="231"/>
      <c r="O1715" s="61"/>
      <c r="P1715" s="69" t="str">
        <f t="shared" si="124"/>
        <v>Penjualan Intouch</v>
      </c>
      <c r="Q1715" s="61"/>
    </row>
    <row r="1716" spans="1:17" hidden="1" x14ac:dyDescent="0.25">
      <c r="A1716" s="60" t="str">
        <f t="shared" si="122"/>
        <v>134410,01</v>
      </c>
      <c r="B1716" s="60">
        <f>COUNTIF($J$7:J1716,J1716)</f>
        <v>134</v>
      </c>
      <c r="C1716" s="60" t="str">
        <f t="shared" si="123"/>
        <v>0</v>
      </c>
      <c r="D1716" s="60">
        <f>COUNTIF($K$7:K1716,K1716)</f>
        <v>0</v>
      </c>
      <c r="E1716" s="61"/>
      <c r="F1716" s="227">
        <v>44600</v>
      </c>
      <c r="G1716" s="228"/>
      <c r="H1716" s="228" t="s">
        <v>862</v>
      </c>
      <c r="I1716" s="228" t="s">
        <v>863</v>
      </c>
      <c r="J1716" s="64">
        <v>410.01</v>
      </c>
      <c r="K1716" s="65"/>
      <c r="L1716" s="224"/>
      <c r="M1716" s="231">
        <v>18150000</v>
      </c>
      <c r="N1716" s="231"/>
      <c r="O1716" s="61"/>
      <c r="P1716" s="69" t="str">
        <f t="shared" si="124"/>
        <v>Penjualan Intouch</v>
      </c>
      <c r="Q1716" s="61"/>
    </row>
    <row r="1717" spans="1:17" hidden="1" x14ac:dyDescent="0.25">
      <c r="A1717" s="60" t="str">
        <f t="shared" si="122"/>
        <v>135410,01</v>
      </c>
      <c r="B1717" s="60">
        <f>COUNTIF($J$7:J1717,J1717)</f>
        <v>135</v>
      </c>
      <c r="C1717" s="60" t="str">
        <f t="shared" si="123"/>
        <v>0</v>
      </c>
      <c r="D1717" s="60">
        <f>COUNTIF($K$7:K1717,K1717)</f>
        <v>0</v>
      </c>
      <c r="E1717" s="61"/>
      <c r="F1717" s="227">
        <v>44600</v>
      </c>
      <c r="G1717" s="228"/>
      <c r="H1717" s="228" t="s">
        <v>862</v>
      </c>
      <c r="I1717" s="228" t="s">
        <v>863</v>
      </c>
      <c r="J1717" s="64">
        <v>410.01</v>
      </c>
      <c r="K1717" s="65"/>
      <c r="L1717" s="224"/>
      <c r="M1717" s="231">
        <v>9075000</v>
      </c>
      <c r="N1717" s="231"/>
      <c r="O1717" s="61"/>
      <c r="P1717" s="69" t="str">
        <f t="shared" si="124"/>
        <v>Penjualan Intouch</v>
      </c>
      <c r="Q1717" s="61"/>
    </row>
    <row r="1718" spans="1:17" hidden="1" x14ac:dyDescent="0.25">
      <c r="A1718" s="60" t="str">
        <f t="shared" si="122"/>
        <v>136410,01</v>
      </c>
      <c r="B1718" s="60">
        <f>COUNTIF($J$7:J1718,J1718)</f>
        <v>136</v>
      </c>
      <c r="C1718" s="60" t="str">
        <f t="shared" si="123"/>
        <v>0</v>
      </c>
      <c r="D1718" s="60">
        <f>COUNTIF($K$7:K1718,K1718)</f>
        <v>0</v>
      </c>
      <c r="E1718" s="61"/>
      <c r="F1718" s="227">
        <v>44600</v>
      </c>
      <c r="G1718" s="228"/>
      <c r="H1718" s="228" t="s">
        <v>862</v>
      </c>
      <c r="I1718" s="228" t="s">
        <v>863</v>
      </c>
      <c r="J1718" s="64">
        <v>410.01</v>
      </c>
      <c r="K1718" s="65"/>
      <c r="L1718" s="224"/>
      <c r="M1718" s="231">
        <v>39420000</v>
      </c>
      <c r="N1718" s="231"/>
      <c r="O1718" s="61"/>
      <c r="P1718" s="69" t="str">
        <f t="shared" si="124"/>
        <v>Penjualan Intouch</v>
      </c>
      <c r="Q1718" s="61"/>
    </row>
    <row r="1719" spans="1:17" hidden="1" x14ac:dyDescent="0.25">
      <c r="A1719" s="60" t="str">
        <f t="shared" si="122"/>
        <v>137410,01</v>
      </c>
      <c r="B1719" s="60">
        <f>COUNTIF($J$7:J1719,J1719)</f>
        <v>137</v>
      </c>
      <c r="C1719" s="60" t="str">
        <f t="shared" si="123"/>
        <v>0</v>
      </c>
      <c r="D1719" s="60">
        <f>COUNTIF($K$7:K1719,K1719)</f>
        <v>0</v>
      </c>
      <c r="E1719" s="61"/>
      <c r="F1719" s="227">
        <v>44600</v>
      </c>
      <c r="G1719" s="228"/>
      <c r="H1719" s="228" t="s">
        <v>862</v>
      </c>
      <c r="I1719" s="228" t="s">
        <v>863</v>
      </c>
      <c r="J1719" s="64">
        <v>410.01</v>
      </c>
      <c r="K1719" s="65"/>
      <c r="L1719" s="224"/>
      <c r="M1719" s="231">
        <v>4380000</v>
      </c>
      <c r="N1719" s="231"/>
      <c r="O1719" s="61"/>
      <c r="P1719" s="69" t="str">
        <f t="shared" si="124"/>
        <v>Penjualan Intouch</v>
      </c>
      <c r="Q1719" s="61"/>
    </row>
    <row r="1720" spans="1:17" hidden="1" x14ac:dyDescent="0.25">
      <c r="A1720" s="60" t="str">
        <f t="shared" si="122"/>
        <v>71410,03</v>
      </c>
      <c r="B1720" s="60">
        <f>COUNTIF($J$7:J1720,J1720)</f>
        <v>71</v>
      </c>
      <c r="C1720" s="60" t="str">
        <f t="shared" si="123"/>
        <v>0</v>
      </c>
      <c r="D1720" s="60">
        <f>COUNTIF($K$7:K1720,K1720)</f>
        <v>0</v>
      </c>
      <c r="E1720" s="61"/>
      <c r="F1720" s="227">
        <v>44594</v>
      </c>
      <c r="G1720" s="228"/>
      <c r="H1720" s="228" t="s">
        <v>864</v>
      </c>
      <c r="I1720" s="228" t="s">
        <v>26</v>
      </c>
      <c r="J1720" s="64">
        <v>410.03</v>
      </c>
      <c r="K1720" s="65"/>
      <c r="L1720" s="224"/>
      <c r="M1720" s="231">
        <v>1700000</v>
      </c>
      <c r="N1720" s="231"/>
      <c r="O1720" s="61"/>
      <c r="P1720" s="69" t="str">
        <f t="shared" si="124"/>
        <v>Penjualan Exam</v>
      </c>
      <c r="Q1720" s="61"/>
    </row>
    <row r="1721" spans="1:17" hidden="1" x14ac:dyDescent="0.25">
      <c r="A1721" s="60" t="str">
        <f t="shared" si="122"/>
        <v>72410,03</v>
      </c>
      <c r="B1721" s="60">
        <f>COUNTIF($J$7:J1721,J1721)</f>
        <v>72</v>
      </c>
      <c r="C1721" s="60" t="str">
        <f t="shared" si="123"/>
        <v>0</v>
      </c>
      <c r="D1721" s="60">
        <f>COUNTIF($K$7:K1721,K1721)</f>
        <v>0</v>
      </c>
      <c r="E1721" s="61"/>
      <c r="F1721" s="227">
        <v>44601</v>
      </c>
      <c r="G1721" s="228"/>
      <c r="H1721" s="228" t="s">
        <v>865</v>
      </c>
      <c r="I1721" s="228" t="s">
        <v>26</v>
      </c>
      <c r="J1721" s="64">
        <v>410.03</v>
      </c>
      <c r="K1721" s="65"/>
      <c r="L1721" s="224"/>
      <c r="M1721" s="231">
        <v>850000</v>
      </c>
      <c r="N1721" s="231"/>
      <c r="O1721" s="61"/>
      <c r="P1721" s="69" t="str">
        <f t="shared" si="124"/>
        <v>Penjualan Exam</v>
      </c>
      <c r="Q1721" s="61"/>
    </row>
    <row r="1722" spans="1:17" hidden="1" x14ac:dyDescent="0.25">
      <c r="A1722" s="60" t="str">
        <f t="shared" si="122"/>
        <v>73410,03</v>
      </c>
      <c r="B1722" s="60">
        <f>COUNTIF($J$7:J1722,J1722)</f>
        <v>73</v>
      </c>
      <c r="C1722" s="60" t="str">
        <f t="shared" si="123"/>
        <v>0</v>
      </c>
      <c r="D1722" s="60">
        <f>COUNTIF($K$7:K1722,K1722)</f>
        <v>0</v>
      </c>
      <c r="E1722" s="61"/>
      <c r="F1722" s="227">
        <v>44601</v>
      </c>
      <c r="G1722" s="228"/>
      <c r="H1722" s="228" t="s">
        <v>865</v>
      </c>
      <c r="I1722" s="228" t="s">
        <v>26</v>
      </c>
      <c r="J1722" s="64">
        <v>410.03</v>
      </c>
      <c r="K1722" s="65"/>
      <c r="L1722" s="224"/>
      <c r="M1722" s="231">
        <v>850000</v>
      </c>
      <c r="N1722" s="231"/>
      <c r="O1722" s="61"/>
      <c r="P1722" s="69" t="str">
        <f t="shared" si="124"/>
        <v>Penjualan Exam</v>
      </c>
      <c r="Q1722" s="61"/>
    </row>
    <row r="1723" spans="1:17" hidden="1" x14ac:dyDescent="0.25">
      <c r="A1723" s="60" t="str">
        <f t="shared" si="122"/>
        <v>138410,01</v>
      </c>
      <c r="B1723" s="60">
        <f>COUNTIF($J$7:J1723,J1723)</f>
        <v>138</v>
      </c>
      <c r="C1723" s="60" t="str">
        <f t="shared" si="123"/>
        <v>0</v>
      </c>
      <c r="D1723" s="60">
        <f>COUNTIF($K$7:K1723,K1723)</f>
        <v>0</v>
      </c>
      <c r="E1723" s="61"/>
      <c r="F1723" s="227">
        <v>44613</v>
      </c>
      <c r="G1723" s="228"/>
      <c r="H1723" s="228" t="s">
        <v>866</v>
      </c>
      <c r="I1723" s="228" t="s">
        <v>26</v>
      </c>
      <c r="J1723" s="64">
        <v>410.01</v>
      </c>
      <c r="K1723" s="65"/>
      <c r="L1723" s="224"/>
      <c r="M1723" s="231">
        <v>9075000</v>
      </c>
      <c r="N1723" s="231"/>
      <c r="O1723" s="61"/>
      <c r="P1723" s="69" t="str">
        <f t="shared" si="124"/>
        <v>Penjualan Intouch</v>
      </c>
      <c r="Q1723" s="61"/>
    </row>
    <row r="1724" spans="1:17" hidden="1" x14ac:dyDescent="0.25">
      <c r="A1724" s="60" t="str">
        <f t="shared" si="122"/>
        <v>139410,01</v>
      </c>
      <c r="B1724" s="60">
        <f>COUNTIF($J$7:J1724,J1724)</f>
        <v>139</v>
      </c>
      <c r="C1724" s="60" t="str">
        <f t="shared" si="123"/>
        <v>0</v>
      </c>
      <c r="D1724" s="60">
        <f>COUNTIF($K$7:K1724,K1724)</f>
        <v>0</v>
      </c>
      <c r="E1724" s="61"/>
      <c r="F1724" s="227">
        <v>44613</v>
      </c>
      <c r="G1724" s="228"/>
      <c r="H1724" s="228" t="s">
        <v>866</v>
      </c>
      <c r="I1724" s="228" t="s">
        <v>26</v>
      </c>
      <c r="J1724" s="64">
        <v>410.01</v>
      </c>
      <c r="K1724" s="65"/>
      <c r="L1724" s="224"/>
      <c r="M1724" s="231">
        <v>9075000</v>
      </c>
      <c r="N1724" s="231"/>
      <c r="O1724" s="61"/>
      <c r="P1724" s="69" t="str">
        <f t="shared" si="124"/>
        <v>Penjualan Intouch</v>
      </c>
      <c r="Q1724" s="61"/>
    </row>
    <row r="1725" spans="1:17" hidden="1" x14ac:dyDescent="0.25">
      <c r="A1725" s="60" t="str">
        <f t="shared" si="122"/>
        <v>140410,01</v>
      </c>
      <c r="B1725" s="60">
        <f>COUNTIF($J$7:J1725,J1725)</f>
        <v>140</v>
      </c>
      <c r="C1725" s="60" t="str">
        <f t="shared" si="123"/>
        <v>0</v>
      </c>
      <c r="D1725" s="60">
        <f>COUNTIF($K$7:K1725,K1725)</f>
        <v>0</v>
      </c>
      <c r="E1725" s="61"/>
      <c r="F1725" s="227">
        <v>44613</v>
      </c>
      <c r="G1725" s="228"/>
      <c r="H1725" s="228" t="s">
        <v>866</v>
      </c>
      <c r="I1725" s="228" t="s">
        <v>26</v>
      </c>
      <c r="J1725" s="64">
        <v>410.01</v>
      </c>
      <c r="K1725" s="65"/>
      <c r="L1725" s="224"/>
      <c r="M1725" s="231">
        <v>1815000</v>
      </c>
      <c r="N1725" s="231"/>
      <c r="O1725" s="61"/>
      <c r="P1725" s="69" t="str">
        <f t="shared" si="124"/>
        <v>Penjualan Intouch</v>
      </c>
      <c r="Q1725" s="61"/>
    </row>
    <row r="1726" spans="1:17" hidden="1" x14ac:dyDescent="0.25">
      <c r="A1726" s="60" t="str">
        <f t="shared" si="122"/>
        <v>141410,01</v>
      </c>
      <c r="B1726" s="60">
        <f>COUNTIF($J$7:J1726,J1726)</f>
        <v>141</v>
      </c>
      <c r="C1726" s="60" t="str">
        <f t="shared" si="123"/>
        <v>0</v>
      </c>
      <c r="D1726" s="60">
        <f>COUNTIF($K$7:K1726,K1726)</f>
        <v>0</v>
      </c>
      <c r="E1726" s="61"/>
      <c r="F1726" s="227">
        <v>44613</v>
      </c>
      <c r="G1726" s="228"/>
      <c r="H1726" s="228" t="s">
        <v>866</v>
      </c>
      <c r="I1726" s="228" t="s">
        <v>26</v>
      </c>
      <c r="J1726" s="64">
        <v>410.01</v>
      </c>
      <c r="K1726" s="65"/>
      <c r="L1726" s="224"/>
      <c r="M1726" s="231">
        <v>2190000</v>
      </c>
      <c r="N1726" s="231"/>
      <c r="O1726" s="61"/>
      <c r="P1726" s="69" t="str">
        <f t="shared" si="124"/>
        <v>Penjualan Intouch</v>
      </c>
      <c r="Q1726" s="61"/>
    </row>
    <row r="1727" spans="1:17" hidden="1" x14ac:dyDescent="0.25">
      <c r="A1727" s="60" t="str">
        <f t="shared" si="122"/>
        <v>142410,01</v>
      </c>
      <c r="B1727" s="60">
        <f>COUNTIF($J$7:J1727,J1727)</f>
        <v>142</v>
      </c>
      <c r="C1727" s="60" t="str">
        <f t="shared" si="123"/>
        <v>0</v>
      </c>
      <c r="D1727" s="60">
        <f>COUNTIF($K$7:K1727,K1727)</f>
        <v>0</v>
      </c>
      <c r="E1727" s="61"/>
      <c r="F1727" s="227">
        <v>44613</v>
      </c>
      <c r="G1727" s="228"/>
      <c r="H1727" s="228" t="s">
        <v>866</v>
      </c>
      <c r="I1727" s="228" t="s">
        <v>26</v>
      </c>
      <c r="J1727" s="64">
        <v>410.01</v>
      </c>
      <c r="K1727" s="65"/>
      <c r="L1727" s="224"/>
      <c r="M1727" s="231">
        <v>4380000</v>
      </c>
      <c r="N1727" s="231"/>
      <c r="O1727" s="61"/>
      <c r="P1727" s="69" t="str">
        <f t="shared" si="124"/>
        <v>Penjualan Intouch</v>
      </c>
      <c r="Q1727" s="61"/>
    </row>
    <row r="1728" spans="1:17" hidden="1" x14ac:dyDescent="0.25">
      <c r="A1728" s="60" t="str">
        <f t="shared" si="122"/>
        <v>74410,03</v>
      </c>
      <c r="B1728" s="60">
        <f>COUNTIF($J$7:J1728,J1728)</f>
        <v>74</v>
      </c>
      <c r="C1728" s="60" t="str">
        <f t="shared" si="123"/>
        <v>0</v>
      </c>
      <c r="D1728" s="60">
        <f>COUNTIF($K$7:K1728,K1728)</f>
        <v>0</v>
      </c>
      <c r="E1728" s="61"/>
      <c r="F1728" s="227">
        <v>44616</v>
      </c>
      <c r="G1728" s="228"/>
      <c r="H1728" s="228" t="s">
        <v>867</v>
      </c>
      <c r="I1728" s="228" t="s">
        <v>26</v>
      </c>
      <c r="J1728" s="64">
        <v>410.03</v>
      </c>
      <c r="K1728" s="65"/>
      <c r="L1728" s="224"/>
      <c r="M1728" s="231">
        <v>1700000</v>
      </c>
      <c r="N1728" s="231"/>
      <c r="O1728" s="61"/>
      <c r="P1728" s="69" t="str">
        <f t="shared" si="124"/>
        <v>Penjualan Exam</v>
      </c>
      <c r="Q1728" s="61"/>
    </row>
    <row r="1729" spans="1:17" hidden="1" x14ac:dyDescent="0.25">
      <c r="A1729" s="60" t="str">
        <f t="shared" si="122"/>
        <v>75410,03</v>
      </c>
      <c r="B1729" s="60">
        <f>COUNTIF($J$7:J1729,J1729)</f>
        <v>75</v>
      </c>
      <c r="C1729" s="60" t="str">
        <f t="shared" si="123"/>
        <v>0</v>
      </c>
      <c r="D1729" s="60">
        <f>COUNTIF($K$7:K1729,K1729)</f>
        <v>0</v>
      </c>
      <c r="E1729" s="61"/>
      <c r="F1729" s="227">
        <v>44594</v>
      </c>
      <c r="G1729" s="228"/>
      <c r="H1729" s="228" t="s">
        <v>868</v>
      </c>
      <c r="I1729" s="228" t="s">
        <v>32</v>
      </c>
      <c r="J1729" s="64">
        <v>410.03</v>
      </c>
      <c r="K1729" s="65"/>
      <c r="L1729" s="224"/>
      <c r="M1729" s="231">
        <v>8400000</v>
      </c>
      <c r="N1729" s="231"/>
      <c r="O1729" s="61"/>
      <c r="P1729" s="69" t="str">
        <f t="shared" si="124"/>
        <v>Penjualan Exam</v>
      </c>
      <c r="Q1729" s="61"/>
    </row>
    <row r="1730" spans="1:17" hidden="1" x14ac:dyDescent="0.25">
      <c r="A1730" s="60" t="str">
        <f t="shared" si="122"/>
        <v>76410,03</v>
      </c>
      <c r="B1730" s="60">
        <f>COUNTIF($J$7:J1730,J1730)</f>
        <v>76</v>
      </c>
      <c r="C1730" s="60" t="str">
        <f t="shared" si="123"/>
        <v>0</v>
      </c>
      <c r="D1730" s="60">
        <f>COUNTIF($K$7:K1730,K1730)</f>
        <v>0</v>
      </c>
      <c r="E1730" s="61"/>
      <c r="F1730" s="227">
        <v>44594</v>
      </c>
      <c r="G1730" s="228"/>
      <c r="H1730" s="228" t="s">
        <v>868</v>
      </c>
      <c r="I1730" s="228" t="s">
        <v>32</v>
      </c>
      <c r="J1730" s="64">
        <v>410.03</v>
      </c>
      <c r="K1730" s="65"/>
      <c r="L1730" s="224"/>
      <c r="M1730" s="231">
        <v>6000000</v>
      </c>
      <c r="N1730" s="231"/>
      <c r="O1730" s="61"/>
      <c r="P1730" s="69" t="str">
        <f t="shared" si="124"/>
        <v>Penjualan Exam</v>
      </c>
      <c r="Q1730" s="61"/>
    </row>
    <row r="1731" spans="1:17" hidden="1" x14ac:dyDescent="0.25">
      <c r="A1731" s="60" t="str">
        <f t="shared" si="122"/>
        <v>143410,01</v>
      </c>
      <c r="B1731" s="60">
        <f>COUNTIF($J$7:J1731,J1731)</f>
        <v>143</v>
      </c>
      <c r="C1731" s="60" t="str">
        <f t="shared" si="123"/>
        <v>0</v>
      </c>
      <c r="D1731" s="60">
        <f>COUNTIF($K$7:K1731,K1731)</f>
        <v>0</v>
      </c>
      <c r="E1731" s="61"/>
      <c r="F1731" s="227">
        <v>44599</v>
      </c>
      <c r="G1731" s="228"/>
      <c r="H1731" s="228" t="s">
        <v>869</v>
      </c>
      <c r="I1731" s="228" t="s">
        <v>32</v>
      </c>
      <c r="J1731" s="64">
        <v>410.01</v>
      </c>
      <c r="K1731" s="65"/>
      <c r="L1731" s="224"/>
      <c r="M1731" s="231">
        <v>1649992.5</v>
      </c>
      <c r="N1731" s="231"/>
      <c r="O1731" s="61"/>
      <c r="P1731" s="69" t="str">
        <f t="shared" si="124"/>
        <v>Penjualan Intouch</v>
      </c>
      <c r="Q1731" s="61"/>
    </row>
    <row r="1732" spans="1:17" hidden="1" x14ac:dyDescent="0.25">
      <c r="A1732" s="60" t="str">
        <f t="shared" si="122"/>
        <v>144410,01</v>
      </c>
      <c r="B1732" s="60">
        <f>COUNTIF($J$7:J1732,J1732)</f>
        <v>144</v>
      </c>
      <c r="C1732" s="60" t="str">
        <f t="shared" si="123"/>
        <v>0</v>
      </c>
      <c r="D1732" s="60">
        <f>COUNTIF($K$7:K1732,K1732)</f>
        <v>0</v>
      </c>
      <c r="E1732" s="61"/>
      <c r="F1732" s="227">
        <v>44599</v>
      </c>
      <c r="G1732" s="228"/>
      <c r="H1732" s="228" t="s">
        <v>869</v>
      </c>
      <c r="I1732" s="228" t="s">
        <v>32</v>
      </c>
      <c r="J1732" s="64">
        <v>410.01</v>
      </c>
      <c r="K1732" s="65"/>
      <c r="L1732" s="224"/>
      <c r="M1732" s="231">
        <v>2749987.5</v>
      </c>
      <c r="N1732" s="231"/>
      <c r="O1732" s="61"/>
      <c r="P1732" s="69" t="str">
        <f t="shared" si="124"/>
        <v>Penjualan Intouch</v>
      </c>
      <c r="Q1732" s="61"/>
    </row>
    <row r="1733" spans="1:17" hidden="1" x14ac:dyDescent="0.25">
      <c r="A1733" s="60" t="str">
        <f t="shared" si="122"/>
        <v>145410,01</v>
      </c>
      <c r="B1733" s="60">
        <f>COUNTIF($J$7:J1733,J1733)</f>
        <v>145</v>
      </c>
      <c r="C1733" s="60" t="str">
        <f t="shared" si="123"/>
        <v>0</v>
      </c>
      <c r="D1733" s="60">
        <f>COUNTIF($K$7:K1733,K1733)</f>
        <v>0</v>
      </c>
      <c r="E1733" s="61"/>
      <c r="F1733" s="227">
        <v>44600</v>
      </c>
      <c r="G1733" s="228"/>
      <c r="H1733" s="228" t="s">
        <v>870</v>
      </c>
      <c r="I1733" s="228" t="s">
        <v>32</v>
      </c>
      <c r="J1733" s="64">
        <v>410.01</v>
      </c>
      <c r="K1733" s="65"/>
      <c r="L1733" s="224"/>
      <c r="M1733" s="231">
        <v>549997</v>
      </c>
      <c r="N1733" s="231"/>
      <c r="O1733" s="61"/>
      <c r="P1733" s="69" t="str">
        <f t="shared" si="124"/>
        <v>Penjualan Intouch</v>
      </c>
      <c r="Q1733" s="61"/>
    </row>
    <row r="1734" spans="1:17" hidden="1" x14ac:dyDescent="0.25">
      <c r="A1734" s="60" t="str">
        <f t="shared" si="122"/>
        <v>146410,01</v>
      </c>
      <c r="B1734" s="60">
        <f>COUNTIF($J$7:J1734,J1734)</f>
        <v>146</v>
      </c>
      <c r="C1734" s="60" t="str">
        <f t="shared" si="123"/>
        <v>0</v>
      </c>
      <c r="D1734" s="60">
        <f>COUNTIF($K$7:K1734,K1734)</f>
        <v>0</v>
      </c>
      <c r="E1734" s="61"/>
      <c r="F1734" s="227">
        <v>44613</v>
      </c>
      <c r="G1734" s="228"/>
      <c r="H1734" s="228" t="s">
        <v>871</v>
      </c>
      <c r="I1734" s="228" t="s">
        <v>32</v>
      </c>
      <c r="J1734" s="64">
        <v>410.01</v>
      </c>
      <c r="K1734" s="65"/>
      <c r="L1734" s="224"/>
      <c r="M1734" s="231">
        <v>2749987.5</v>
      </c>
      <c r="N1734" s="231"/>
      <c r="O1734" s="61"/>
      <c r="P1734" s="69" t="str">
        <f t="shared" si="124"/>
        <v>Penjualan Intouch</v>
      </c>
      <c r="Q1734" s="61"/>
    </row>
    <row r="1735" spans="1:17" hidden="1" x14ac:dyDescent="0.25">
      <c r="A1735" s="60" t="str">
        <f t="shared" ref="A1735:A1798" si="125">B1735&amp;J1735</f>
        <v>147410,01</v>
      </c>
      <c r="B1735" s="60">
        <f>COUNTIF($J$7:J1735,J1735)</f>
        <v>147</v>
      </c>
      <c r="C1735" s="60" t="str">
        <f t="shared" ref="C1735:C1798" si="126">D1735&amp;K1735</f>
        <v>0</v>
      </c>
      <c r="D1735" s="60">
        <f>COUNTIF($K$7:K1735,K1735)</f>
        <v>0</v>
      </c>
      <c r="E1735" s="61"/>
      <c r="F1735" s="227">
        <v>44613</v>
      </c>
      <c r="G1735" s="228"/>
      <c r="H1735" s="228" t="s">
        <v>871</v>
      </c>
      <c r="I1735" s="228" t="s">
        <v>32</v>
      </c>
      <c r="J1735" s="64">
        <v>410.01</v>
      </c>
      <c r="K1735" s="65"/>
      <c r="L1735" s="224"/>
      <c r="M1735" s="231">
        <v>1649992.5</v>
      </c>
      <c r="N1735" s="231"/>
      <c r="O1735" s="61"/>
      <c r="P1735" s="69" t="str">
        <f t="shared" ref="P1735:P1798" si="127">IF(J1735=0,"-",+VLOOKUP(J1735,DAF_AKUN,2,FALSE))</f>
        <v>Penjualan Intouch</v>
      </c>
      <c r="Q1735" s="61"/>
    </row>
    <row r="1736" spans="1:17" hidden="1" x14ac:dyDescent="0.25">
      <c r="A1736" s="60" t="str">
        <f t="shared" si="125"/>
        <v>148410,01</v>
      </c>
      <c r="B1736" s="60">
        <f>COUNTIF($J$7:J1736,J1736)</f>
        <v>148</v>
      </c>
      <c r="C1736" s="60" t="str">
        <f t="shared" si="126"/>
        <v>0</v>
      </c>
      <c r="D1736" s="60">
        <f>COUNTIF($K$7:K1736,K1736)</f>
        <v>0</v>
      </c>
      <c r="E1736" s="61"/>
      <c r="F1736" s="227">
        <v>44613</v>
      </c>
      <c r="G1736" s="228"/>
      <c r="H1736" s="228" t="s">
        <v>871</v>
      </c>
      <c r="I1736" s="228" t="s">
        <v>32</v>
      </c>
      <c r="J1736" s="64">
        <v>410.01</v>
      </c>
      <c r="K1736" s="65"/>
      <c r="L1736" s="224"/>
      <c r="M1736" s="231">
        <v>549997</v>
      </c>
      <c r="N1736" s="231"/>
      <c r="O1736" s="61"/>
      <c r="P1736" s="69" t="str">
        <f t="shared" si="127"/>
        <v>Penjualan Intouch</v>
      </c>
      <c r="Q1736" s="61"/>
    </row>
    <row r="1737" spans="1:17" hidden="1" x14ac:dyDescent="0.25">
      <c r="A1737" s="60" t="str">
        <f t="shared" si="125"/>
        <v>149410,01</v>
      </c>
      <c r="B1737" s="60">
        <f>COUNTIF($J$7:J1737,J1737)</f>
        <v>149</v>
      </c>
      <c r="C1737" s="60" t="str">
        <f t="shared" si="126"/>
        <v>0</v>
      </c>
      <c r="D1737" s="60">
        <f>COUNTIF($K$7:K1737,K1737)</f>
        <v>0</v>
      </c>
      <c r="E1737" s="61"/>
      <c r="F1737" s="227">
        <v>44613</v>
      </c>
      <c r="G1737" s="228"/>
      <c r="H1737" s="228" t="s">
        <v>871</v>
      </c>
      <c r="I1737" s="228" t="s">
        <v>32</v>
      </c>
      <c r="J1737" s="64">
        <v>410.01</v>
      </c>
      <c r="K1737" s="65"/>
      <c r="L1737" s="224"/>
      <c r="M1737" s="231">
        <v>2199990</v>
      </c>
      <c r="N1737" s="231"/>
      <c r="O1737" s="61"/>
      <c r="P1737" s="69" t="str">
        <f t="shared" si="127"/>
        <v>Penjualan Intouch</v>
      </c>
      <c r="Q1737" s="61"/>
    </row>
    <row r="1738" spans="1:17" hidden="1" x14ac:dyDescent="0.25">
      <c r="A1738" s="60" t="str">
        <f t="shared" si="125"/>
        <v>150410,01</v>
      </c>
      <c r="B1738" s="60">
        <f>COUNTIF($J$7:J1738,J1738)</f>
        <v>150</v>
      </c>
      <c r="C1738" s="60" t="str">
        <f t="shared" si="126"/>
        <v>0</v>
      </c>
      <c r="D1738" s="60">
        <f>COUNTIF($K$7:K1738,K1738)</f>
        <v>0</v>
      </c>
      <c r="E1738" s="61"/>
      <c r="F1738" s="227">
        <v>44614</v>
      </c>
      <c r="G1738" s="228"/>
      <c r="H1738" s="228" t="s">
        <v>872</v>
      </c>
      <c r="I1738" s="228" t="s">
        <v>32</v>
      </c>
      <c r="J1738" s="64">
        <v>410.01</v>
      </c>
      <c r="K1738" s="65"/>
      <c r="L1738" s="224"/>
      <c r="M1738" s="231">
        <v>1099995</v>
      </c>
      <c r="N1738" s="231"/>
      <c r="O1738" s="61"/>
      <c r="P1738" s="69" t="str">
        <f t="shared" si="127"/>
        <v>Penjualan Intouch</v>
      </c>
      <c r="Q1738" s="61"/>
    </row>
    <row r="1739" spans="1:17" hidden="1" x14ac:dyDescent="0.25">
      <c r="A1739" s="60" t="str">
        <f t="shared" si="125"/>
        <v>151410,01</v>
      </c>
      <c r="B1739" s="60">
        <f>COUNTIF($J$7:J1739,J1739)</f>
        <v>151</v>
      </c>
      <c r="C1739" s="60" t="str">
        <f t="shared" si="126"/>
        <v>0</v>
      </c>
      <c r="D1739" s="60">
        <f>COUNTIF($K$7:K1739,K1739)</f>
        <v>0</v>
      </c>
      <c r="E1739" s="61"/>
      <c r="F1739" s="227">
        <v>44595</v>
      </c>
      <c r="G1739" s="228"/>
      <c r="H1739" s="228" t="s">
        <v>873</v>
      </c>
      <c r="I1739" s="228" t="s">
        <v>41</v>
      </c>
      <c r="J1739" s="64">
        <v>410.01</v>
      </c>
      <c r="K1739" s="65"/>
      <c r="L1739" s="224"/>
      <c r="M1739" s="231">
        <v>1875000</v>
      </c>
      <c r="N1739" s="231"/>
      <c r="O1739" s="61"/>
      <c r="P1739" s="69" t="str">
        <f t="shared" si="127"/>
        <v>Penjualan Intouch</v>
      </c>
      <c r="Q1739" s="61"/>
    </row>
    <row r="1740" spans="1:17" hidden="1" x14ac:dyDescent="0.25">
      <c r="A1740" s="60" t="str">
        <f t="shared" si="125"/>
        <v>152410,01</v>
      </c>
      <c r="B1740" s="60">
        <f>COUNTIF($J$7:J1740,J1740)</f>
        <v>152</v>
      </c>
      <c r="C1740" s="60" t="str">
        <f t="shared" si="126"/>
        <v>0</v>
      </c>
      <c r="D1740" s="60">
        <f>COUNTIF($K$7:K1740,K1740)</f>
        <v>0</v>
      </c>
      <c r="E1740" s="61"/>
      <c r="F1740" s="227">
        <v>44595</v>
      </c>
      <c r="G1740" s="228"/>
      <c r="H1740" s="228" t="s">
        <v>873</v>
      </c>
      <c r="I1740" s="228" t="s">
        <v>41</v>
      </c>
      <c r="J1740" s="64">
        <v>410.01</v>
      </c>
      <c r="K1740" s="65"/>
      <c r="L1740" s="224"/>
      <c r="M1740" s="231">
        <v>625000</v>
      </c>
      <c r="N1740" s="231"/>
      <c r="O1740" s="61"/>
      <c r="P1740" s="69" t="str">
        <f t="shared" si="127"/>
        <v>Penjualan Intouch</v>
      </c>
      <c r="Q1740" s="61"/>
    </row>
    <row r="1741" spans="1:17" hidden="1" x14ac:dyDescent="0.25">
      <c r="A1741" s="60" t="str">
        <f t="shared" si="125"/>
        <v>153410,01</v>
      </c>
      <c r="B1741" s="60">
        <f>COUNTIF($J$7:J1741,J1741)</f>
        <v>153</v>
      </c>
      <c r="C1741" s="60" t="str">
        <f t="shared" si="126"/>
        <v>0</v>
      </c>
      <c r="D1741" s="60">
        <f>COUNTIF($K$7:K1741,K1741)</f>
        <v>0</v>
      </c>
      <c r="E1741" s="61"/>
      <c r="F1741" s="227">
        <v>44595</v>
      </c>
      <c r="G1741" s="228"/>
      <c r="H1741" s="228" t="s">
        <v>873</v>
      </c>
      <c r="I1741" s="228" t="s">
        <v>41</v>
      </c>
      <c r="J1741" s="64">
        <v>410.01</v>
      </c>
      <c r="K1741" s="65"/>
      <c r="L1741" s="224"/>
      <c r="M1741" s="231">
        <v>1250000</v>
      </c>
      <c r="N1741" s="231"/>
      <c r="O1741" s="61"/>
      <c r="P1741" s="69" t="str">
        <f t="shared" si="127"/>
        <v>Penjualan Intouch</v>
      </c>
      <c r="Q1741" s="61"/>
    </row>
    <row r="1742" spans="1:17" hidden="1" x14ac:dyDescent="0.25">
      <c r="A1742" s="60" t="str">
        <f t="shared" si="125"/>
        <v>154410,01</v>
      </c>
      <c r="B1742" s="60">
        <f>COUNTIF($J$7:J1742,J1742)</f>
        <v>154</v>
      </c>
      <c r="C1742" s="60" t="str">
        <f t="shared" si="126"/>
        <v>0</v>
      </c>
      <c r="D1742" s="60">
        <f>COUNTIF($K$7:K1742,K1742)</f>
        <v>0</v>
      </c>
      <c r="E1742" s="61"/>
      <c r="F1742" s="227">
        <v>44599</v>
      </c>
      <c r="G1742" s="228"/>
      <c r="H1742" s="228" t="s">
        <v>874</v>
      </c>
      <c r="I1742" s="228" t="s">
        <v>41</v>
      </c>
      <c r="J1742" s="64">
        <v>410.01</v>
      </c>
      <c r="K1742" s="65"/>
      <c r="L1742" s="224"/>
      <c r="M1742" s="231">
        <v>4080000</v>
      </c>
      <c r="N1742" s="231"/>
      <c r="O1742" s="61"/>
      <c r="P1742" s="69" t="str">
        <f t="shared" si="127"/>
        <v>Penjualan Intouch</v>
      </c>
      <c r="Q1742" s="61"/>
    </row>
    <row r="1743" spans="1:17" hidden="1" x14ac:dyDescent="0.25">
      <c r="A1743" s="60" t="str">
        <f t="shared" si="125"/>
        <v>155410,01</v>
      </c>
      <c r="B1743" s="60">
        <f>COUNTIF($J$7:J1743,J1743)</f>
        <v>155</v>
      </c>
      <c r="C1743" s="60" t="str">
        <f t="shared" si="126"/>
        <v>0</v>
      </c>
      <c r="D1743" s="60">
        <f>COUNTIF($K$7:K1743,K1743)</f>
        <v>0</v>
      </c>
      <c r="E1743" s="61"/>
      <c r="F1743" s="227">
        <v>44599</v>
      </c>
      <c r="G1743" s="228"/>
      <c r="H1743" s="228" t="s">
        <v>874</v>
      </c>
      <c r="I1743" s="228" t="s">
        <v>41</v>
      </c>
      <c r="J1743" s="64">
        <v>410.01</v>
      </c>
      <c r="K1743" s="65"/>
      <c r="L1743" s="224"/>
      <c r="M1743" s="231">
        <v>12240000</v>
      </c>
      <c r="N1743" s="231"/>
      <c r="O1743" s="61"/>
      <c r="P1743" s="69" t="str">
        <f t="shared" si="127"/>
        <v>Penjualan Intouch</v>
      </c>
      <c r="Q1743" s="61"/>
    </row>
    <row r="1744" spans="1:17" hidden="1" x14ac:dyDescent="0.25">
      <c r="A1744" s="60" t="str">
        <f t="shared" si="125"/>
        <v>156410,01</v>
      </c>
      <c r="B1744" s="60">
        <f>COUNTIF($J$7:J1744,J1744)</f>
        <v>156</v>
      </c>
      <c r="C1744" s="60" t="str">
        <f t="shared" si="126"/>
        <v>0</v>
      </c>
      <c r="D1744" s="60">
        <f>COUNTIF($K$7:K1744,K1744)</f>
        <v>0</v>
      </c>
      <c r="E1744" s="61"/>
      <c r="F1744" s="227">
        <v>44599</v>
      </c>
      <c r="G1744" s="228"/>
      <c r="H1744" s="228" t="s">
        <v>874</v>
      </c>
      <c r="I1744" s="228" t="s">
        <v>41</v>
      </c>
      <c r="J1744" s="64">
        <v>410.01</v>
      </c>
      <c r="K1744" s="65"/>
      <c r="L1744" s="224"/>
      <c r="M1744" s="231">
        <v>16320000</v>
      </c>
      <c r="N1744" s="231"/>
      <c r="O1744" s="61"/>
      <c r="P1744" s="69" t="str">
        <f t="shared" si="127"/>
        <v>Penjualan Intouch</v>
      </c>
      <c r="Q1744" s="61"/>
    </row>
    <row r="1745" spans="1:17" hidden="1" x14ac:dyDescent="0.25">
      <c r="A1745" s="60" t="str">
        <f t="shared" si="125"/>
        <v>157410,01</v>
      </c>
      <c r="B1745" s="60">
        <f>COUNTIF($J$7:J1745,J1745)</f>
        <v>157</v>
      </c>
      <c r="C1745" s="60" t="str">
        <f t="shared" si="126"/>
        <v>0</v>
      </c>
      <c r="D1745" s="60">
        <f>COUNTIF($K$7:K1745,K1745)</f>
        <v>0</v>
      </c>
      <c r="E1745" s="61"/>
      <c r="F1745" s="227">
        <v>44599</v>
      </c>
      <c r="G1745" s="228"/>
      <c r="H1745" s="228" t="s">
        <v>874</v>
      </c>
      <c r="I1745" s="228" t="s">
        <v>41</v>
      </c>
      <c r="J1745" s="64">
        <v>410.01</v>
      </c>
      <c r="K1745" s="65"/>
      <c r="L1745" s="224"/>
      <c r="M1745" s="231">
        <v>2550000</v>
      </c>
      <c r="N1745" s="231"/>
      <c r="O1745" s="61"/>
      <c r="P1745" s="69" t="str">
        <f t="shared" si="127"/>
        <v>Penjualan Intouch</v>
      </c>
      <c r="Q1745" s="61"/>
    </row>
    <row r="1746" spans="1:17" hidden="1" x14ac:dyDescent="0.25">
      <c r="A1746" s="60" t="str">
        <f t="shared" si="125"/>
        <v>158410,01</v>
      </c>
      <c r="B1746" s="60">
        <f>COUNTIF($J$7:J1746,J1746)</f>
        <v>158</v>
      </c>
      <c r="C1746" s="60" t="str">
        <f t="shared" si="126"/>
        <v>0</v>
      </c>
      <c r="D1746" s="60">
        <f>COUNTIF($K$7:K1746,K1746)</f>
        <v>0</v>
      </c>
      <c r="E1746" s="61"/>
      <c r="F1746" s="227">
        <v>44599</v>
      </c>
      <c r="G1746" s="228"/>
      <c r="H1746" s="228" t="s">
        <v>874</v>
      </c>
      <c r="I1746" s="228" t="s">
        <v>41</v>
      </c>
      <c r="J1746" s="64">
        <v>410.01</v>
      </c>
      <c r="K1746" s="65"/>
      <c r="L1746" s="224"/>
      <c r="M1746" s="231">
        <v>17850000</v>
      </c>
      <c r="N1746" s="231"/>
      <c r="O1746" s="61"/>
      <c r="P1746" s="69" t="str">
        <f t="shared" si="127"/>
        <v>Penjualan Intouch</v>
      </c>
      <c r="Q1746" s="61"/>
    </row>
    <row r="1747" spans="1:17" hidden="1" x14ac:dyDescent="0.25">
      <c r="A1747" s="60" t="str">
        <f t="shared" si="125"/>
        <v>159410,01</v>
      </c>
      <c r="B1747" s="60">
        <f>COUNTIF($J$7:J1747,J1747)</f>
        <v>159</v>
      </c>
      <c r="C1747" s="60" t="str">
        <f t="shared" si="126"/>
        <v>0</v>
      </c>
      <c r="D1747" s="60">
        <f>COUNTIF($K$7:K1747,K1747)</f>
        <v>0</v>
      </c>
      <c r="E1747" s="61"/>
      <c r="F1747" s="227">
        <v>44599</v>
      </c>
      <c r="G1747" s="228"/>
      <c r="H1747" s="228" t="s">
        <v>874</v>
      </c>
      <c r="I1747" s="228" t="s">
        <v>41</v>
      </c>
      <c r="J1747" s="64">
        <v>410.01</v>
      </c>
      <c r="K1747" s="65"/>
      <c r="L1747" s="224"/>
      <c r="M1747" s="231">
        <v>17850000</v>
      </c>
      <c r="N1747" s="231"/>
      <c r="O1747" s="61"/>
      <c r="P1747" s="69" t="str">
        <f t="shared" si="127"/>
        <v>Penjualan Intouch</v>
      </c>
      <c r="Q1747" s="61"/>
    </row>
    <row r="1748" spans="1:17" hidden="1" x14ac:dyDescent="0.25">
      <c r="A1748" s="60" t="str">
        <f t="shared" si="125"/>
        <v>160410,01</v>
      </c>
      <c r="B1748" s="60">
        <f>COUNTIF($J$7:J1748,J1748)</f>
        <v>160</v>
      </c>
      <c r="C1748" s="60" t="str">
        <f t="shared" si="126"/>
        <v>0</v>
      </c>
      <c r="D1748" s="60">
        <f>COUNTIF($K$7:K1748,K1748)</f>
        <v>0</v>
      </c>
      <c r="E1748" s="61"/>
      <c r="F1748" s="227">
        <v>44599</v>
      </c>
      <c r="G1748" s="228"/>
      <c r="H1748" s="228" t="s">
        <v>874</v>
      </c>
      <c r="I1748" s="228" t="s">
        <v>41</v>
      </c>
      <c r="J1748" s="64">
        <v>410.01</v>
      </c>
      <c r="K1748" s="65"/>
      <c r="L1748" s="224"/>
      <c r="M1748" s="231">
        <v>15300000</v>
      </c>
      <c r="N1748" s="231"/>
      <c r="O1748" s="61"/>
      <c r="P1748" s="69" t="str">
        <f t="shared" si="127"/>
        <v>Penjualan Intouch</v>
      </c>
      <c r="Q1748" s="61"/>
    </row>
    <row r="1749" spans="1:17" hidden="1" x14ac:dyDescent="0.25">
      <c r="A1749" s="60" t="str">
        <f t="shared" si="125"/>
        <v>161410,01</v>
      </c>
      <c r="B1749" s="60">
        <f>COUNTIF($J$7:J1749,J1749)</f>
        <v>161</v>
      </c>
      <c r="C1749" s="60" t="str">
        <f t="shared" si="126"/>
        <v>0</v>
      </c>
      <c r="D1749" s="60">
        <f>COUNTIF($K$7:K1749,K1749)</f>
        <v>0</v>
      </c>
      <c r="E1749" s="61"/>
      <c r="F1749" s="227">
        <v>44599</v>
      </c>
      <c r="G1749" s="228"/>
      <c r="H1749" s="228" t="s">
        <v>874</v>
      </c>
      <c r="I1749" s="228" t="s">
        <v>41</v>
      </c>
      <c r="J1749" s="64">
        <v>410.01</v>
      </c>
      <c r="K1749" s="65"/>
      <c r="L1749" s="224"/>
      <c r="M1749" s="231">
        <v>2550000</v>
      </c>
      <c r="N1749" s="231"/>
      <c r="O1749" s="61"/>
      <c r="P1749" s="69" t="str">
        <f t="shared" si="127"/>
        <v>Penjualan Intouch</v>
      </c>
      <c r="Q1749" s="61"/>
    </row>
    <row r="1750" spans="1:17" hidden="1" x14ac:dyDescent="0.25">
      <c r="A1750" s="60" t="str">
        <f t="shared" si="125"/>
        <v>162410,01</v>
      </c>
      <c r="B1750" s="60">
        <f>COUNTIF($J$7:J1750,J1750)</f>
        <v>162</v>
      </c>
      <c r="C1750" s="60" t="str">
        <f t="shared" si="126"/>
        <v>0</v>
      </c>
      <c r="D1750" s="60">
        <f>COUNTIF($K$7:K1750,K1750)</f>
        <v>0</v>
      </c>
      <c r="E1750" s="61"/>
      <c r="F1750" s="227">
        <v>44606</v>
      </c>
      <c r="G1750" s="228"/>
      <c r="H1750" s="228" t="s">
        <v>875</v>
      </c>
      <c r="I1750" s="228" t="s">
        <v>41</v>
      </c>
      <c r="J1750" s="64">
        <v>410.01</v>
      </c>
      <c r="K1750" s="65"/>
      <c r="L1750" s="224"/>
      <c r="M1750" s="231">
        <v>12240000</v>
      </c>
      <c r="N1750" s="231"/>
      <c r="O1750" s="61"/>
      <c r="P1750" s="69" t="str">
        <f t="shared" si="127"/>
        <v>Penjualan Intouch</v>
      </c>
      <c r="Q1750" s="61"/>
    </row>
    <row r="1751" spans="1:17" hidden="1" x14ac:dyDescent="0.25">
      <c r="A1751" s="60" t="str">
        <f t="shared" si="125"/>
        <v>163410,01</v>
      </c>
      <c r="B1751" s="60">
        <f>COUNTIF($J$7:J1751,J1751)</f>
        <v>163</v>
      </c>
      <c r="C1751" s="60" t="str">
        <f t="shared" si="126"/>
        <v>0</v>
      </c>
      <c r="D1751" s="60">
        <f>COUNTIF($K$7:K1751,K1751)</f>
        <v>0</v>
      </c>
      <c r="E1751" s="61"/>
      <c r="F1751" s="227">
        <v>44609</v>
      </c>
      <c r="G1751" s="228"/>
      <c r="H1751" s="228" t="s">
        <v>876</v>
      </c>
      <c r="I1751" s="228" t="s">
        <v>41</v>
      </c>
      <c r="J1751" s="64">
        <v>410.01</v>
      </c>
      <c r="K1751" s="65"/>
      <c r="L1751" s="224"/>
      <c r="M1751" s="231">
        <v>5100000</v>
      </c>
      <c r="N1751" s="231"/>
      <c r="O1751" s="61"/>
      <c r="P1751" s="69" t="str">
        <f t="shared" si="127"/>
        <v>Penjualan Intouch</v>
      </c>
      <c r="Q1751" s="61"/>
    </row>
    <row r="1752" spans="1:17" hidden="1" x14ac:dyDescent="0.25">
      <c r="A1752" s="60" t="str">
        <f t="shared" si="125"/>
        <v>164410,01</v>
      </c>
      <c r="B1752" s="60">
        <f>COUNTIF($J$7:J1752,J1752)</f>
        <v>164</v>
      </c>
      <c r="C1752" s="60" t="str">
        <f t="shared" si="126"/>
        <v>0</v>
      </c>
      <c r="D1752" s="60">
        <f>COUNTIF($K$7:K1752,K1752)</f>
        <v>0</v>
      </c>
      <c r="E1752" s="61"/>
      <c r="F1752" s="227">
        <v>44609</v>
      </c>
      <c r="G1752" s="228"/>
      <c r="H1752" s="228" t="s">
        <v>876</v>
      </c>
      <c r="I1752" s="228" t="s">
        <v>41</v>
      </c>
      <c r="J1752" s="64">
        <v>410.01</v>
      </c>
      <c r="K1752" s="65"/>
      <c r="L1752" s="224"/>
      <c r="M1752" s="231">
        <v>7650000</v>
      </c>
      <c r="N1752" s="231"/>
      <c r="O1752" s="61"/>
      <c r="P1752" s="69" t="str">
        <f t="shared" si="127"/>
        <v>Penjualan Intouch</v>
      </c>
      <c r="Q1752" s="61"/>
    </row>
    <row r="1753" spans="1:17" hidden="1" x14ac:dyDescent="0.25">
      <c r="A1753" s="60" t="str">
        <f t="shared" si="125"/>
        <v>165410,01</v>
      </c>
      <c r="B1753" s="60">
        <f>COUNTIF($J$7:J1753,J1753)</f>
        <v>165</v>
      </c>
      <c r="C1753" s="60" t="str">
        <f t="shared" si="126"/>
        <v>0</v>
      </c>
      <c r="D1753" s="60">
        <f>COUNTIF($K$7:K1753,K1753)</f>
        <v>0</v>
      </c>
      <c r="E1753" s="61"/>
      <c r="F1753" s="227">
        <v>44609</v>
      </c>
      <c r="G1753" s="228"/>
      <c r="H1753" s="228" t="s">
        <v>876</v>
      </c>
      <c r="I1753" s="228" t="s">
        <v>41</v>
      </c>
      <c r="J1753" s="64">
        <v>410.01</v>
      </c>
      <c r="K1753" s="65"/>
      <c r="L1753" s="224"/>
      <c r="M1753" s="231">
        <v>7650000</v>
      </c>
      <c r="N1753" s="231"/>
      <c r="O1753" s="61"/>
      <c r="P1753" s="69" t="str">
        <f t="shared" si="127"/>
        <v>Penjualan Intouch</v>
      </c>
      <c r="Q1753" s="61"/>
    </row>
    <row r="1754" spans="1:17" hidden="1" x14ac:dyDescent="0.25">
      <c r="A1754" s="60" t="str">
        <f t="shared" si="125"/>
        <v>166410,01</v>
      </c>
      <c r="B1754" s="60">
        <f>COUNTIF($J$7:J1754,J1754)</f>
        <v>166</v>
      </c>
      <c r="C1754" s="60" t="str">
        <f t="shared" si="126"/>
        <v>0</v>
      </c>
      <c r="D1754" s="60">
        <f>COUNTIF($K$7:K1754,K1754)</f>
        <v>0</v>
      </c>
      <c r="E1754" s="61"/>
      <c r="F1754" s="227">
        <v>44609</v>
      </c>
      <c r="G1754" s="228"/>
      <c r="H1754" s="228" t="s">
        <v>876</v>
      </c>
      <c r="I1754" s="228" t="s">
        <v>41</v>
      </c>
      <c r="J1754" s="64">
        <v>410.01</v>
      </c>
      <c r="K1754" s="65"/>
      <c r="L1754" s="224"/>
      <c r="M1754" s="231">
        <v>2550000</v>
      </c>
      <c r="N1754" s="231"/>
      <c r="O1754" s="61"/>
      <c r="P1754" s="69" t="str">
        <f t="shared" si="127"/>
        <v>Penjualan Intouch</v>
      </c>
      <c r="Q1754" s="61"/>
    </row>
    <row r="1755" spans="1:17" hidden="1" x14ac:dyDescent="0.25">
      <c r="A1755" s="60" t="str">
        <f t="shared" si="125"/>
        <v>167410,01</v>
      </c>
      <c r="B1755" s="60">
        <f>COUNTIF($J$7:J1755,J1755)</f>
        <v>167</v>
      </c>
      <c r="C1755" s="60" t="str">
        <f t="shared" si="126"/>
        <v>0</v>
      </c>
      <c r="D1755" s="60">
        <f>COUNTIF($K$7:K1755,K1755)</f>
        <v>0</v>
      </c>
      <c r="E1755" s="61"/>
      <c r="F1755" s="227">
        <v>44609</v>
      </c>
      <c r="G1755" s="228"/>
      <c r="H1755" s="228" t="s">
        <v>877</v>
      </c>
      <c r="I1755" s="228" t="s">
        <v>41</v>
      </c>
      <c r="J1755" s="64">
        <v>410.01</v>
      </c>
      <c r="K1755" s="65"/>
      <c r="L1755" s="224"/>
      <c r="M1755" s="231">
        <v>7500000</v>
      </c>
      <c r="N1755" s="231"/>
      <c r="O1755" s="61"/>
      <c r="P1755" s="69" t="str">
        <f t="shared" si="127"/>
        <v>Penjualan Intouch</v>
      </c>
      <c r="Q1755" s="61"/>
    </row>
    <row r="1756" spans="1:17" hidden="1" x14ac:dyDescent="0.25">
      <c r="A1756" s="60" t="str">
        <f t="shared" si="125"/>
        <v>168410,01</v>
      </c>
      <c r="B1756" s="60">
        <f>COUNTIF($J$7:J1756,J1756)</f>
        <v>168</v>
      </c>
      <c r="C1756" s="60" t="str">
        <f t="shared" si="126"/>
        <v>0</v>
      </c>
      <c r="D1756" s="60">
        <f>COUNTIF($K$7:K1756,K1756)</f>
        <v>0</v>
      </c>
      <c r="E1756" s="61"/>
      <c r="F1756" s="227">
        <v>44609</v>
      </c>
      <c r="G1756" s="228"/>
      <c r="H1756" s="228" t="s">
        <v>877</v>
      </c>
      <c r="I1756" s="228" t="s">
        <v>41</v>
      </c>
      <c r="J1756" s="64">
        <v>410.01</v>
      </c>
      <c r="K1756" s="65"/>
      <c r="L1756" s="224"/>
      <c r="M1756" s="231">
        <v>7500000</v>
      </c>
      <c r="N1756" s="231"/>
      <c r="O1756" s="61"/>
      <c r="P1756" s="69" t="str">
        <f t="shared" si="127"/>
        <v>Penjualan Intouch</v>
      </c>
      <c r="Q1756" s="61"/>
    </row>
    <row r="1757" spans="1:17" hidden="1" x14ac:dyDescent="0.25">
      <c r="A1757" s="60" t="str">
        <f t="shared" si="125"/>
        <v>169410,01</v>
      </c>
      <c r="B1757" s="60">
        <f>COUNTIF($J$7:J1757,J1757)</f>
        <v>169</v>
      </c>
      <c r="C1757" s="60" t="str">
        <f t="shared" si="126"/>
        <v>0</v>
      </c>
      <c r="D1757" s="60">
        <f>COUNTIF($K$7:K1757,K1757)</f>
        <v>0</v>
      </c>
      <c r="E1757" s="61"/>
      <c r="F1757" s="227">
        <v>44613</v>
      </c>
      <c r="G1757" s="228"/>
      <c r="H1757" s="228" t="s">
        <v>878</v>
      </c>
      <c r="I1757" s="228" t="s">
        <v>41</v>
      </c>
      <c r="J1757" s="64">
        <v>410.01</v>
      </c>
      <c r="K1757" s="65"/>
      <c r="L1757" s="224"/>
      <c r="M1757" s="231">
        <v>1050000</v>
      </c>
      <c r="N1757" s="231"/>
      <c r="O1757" s="61"/>
      <c r="P1757" s="69" t="str">
        <f t="shared" si="127"/>
        <v>Penjualan Intouch</v>
      </c>
      <c r="Q1757" s="61"/>
    </row>
    <row r="1758" spans="1:17" hidden="1" x14ac:dyDescent="0.25">
      <c r="A1758" s="60" t="str">
        <f t="shared" si="125"/>
        <v>170410,01</v>
      </c>
      <c r="B1758" s="60">
        <f>COUNTIF($J$7:J1758,J1758)</f>
        <v>170</v>
      </c>
      <c r="C1758" s="60" t="str">
        <f t="shared" si="126"/>
        <v>0</v>
      </c>
      <c r="D1758" s="60">
        <f>COUNTIF($K$7:K1758,K1758)</f>
        <v>0</v>
      </c>
      <c r="E1758" s="61"/>
      <c r="F1758" s="227">
        <v>44613</v>
      </c>
      <c r="G1758" s="228"/>
      <c r="H1758" s="228" t="s">
        <v>878</v>
      </c>
      <c r="I1758" s="228" t="s">
        <v>41</v>
      </c>
      <c r="J1758" s="64">
        <v>410.01</v>
      </c>
      <c r="K1758" s="65"/>
      <c r="L1758" s="224"/>
      <c r="M1758" s="231">
        <v>525000</v>
      </c>
      <c r="N1758" s="231"/>
      <c r="O1758" s="61"/>
      <c r="P1758" s="69" t="str">
        <f t="shared" si="127"/>
        <v>Penjualan Intouch</v>
      </c>
      <c r="Q1758" s="61"/>
    </row>
    <row r="1759" spans="1:17" hidden="1" x14ac:dyDescent="0.25">
      <c r="A1759" s="60" t="str">
        <f t="shared" si="125"/>
        <v>77410,03</v>
      </c>
      <c r="B1759" s="60">
        <f>COUNTIF($J$7:J1759,J1759)</f>
        <v>77</v>
      </c>
      <c r="C1759" s="60" t="str">
        <f t="shared" si="126"/>
        <v>0</v>
      </c>
      <c r="D1759" s="60">
        <f>COUNTIF($K$7:K1759,K1759)</f>
        <v>0</v>
      </c>
      <c r="E1759" s="61"/>
      <c r="F1759" s="227">
        <v>44594</v>
      </c>
      <c r="G1759" s="228"/>
      <c r="H1759" s="228" t="s">
        <v>879</v>
      </c>
      <c r="I1759" s="228" t="s">
        <v>37</v>
      </c>
      <c r="J1759" s="64">
        <v>410.03</v>
      </c>
      <c r="K1759" s="65"/>
      <c r="L1759" s="224"/>
      <c r="M1759" s="231">
        <v>2625000</v>
      </c>
      <c r="N1759" s="231"/>
      <c r="O1759" s="61"/>
      <c r="P1759" s="69" t="str">
        <f t="shared" si="127"/>
        <v>Penjualan Exam</v>
      </c>
      <c r="Q1759" s="61"/>
    </row>
    <row r="1760" spans="1:17" hidden="1" x14ac:dyDescent="0.25">
      <c r="A1760" s="60" t="str">
        <f t="shared" si="125"/>
        <v>78410,03</v>
      </c>
      <c r="B1760" s="60">
        <f>COUNTIF($J$7:J1760,J1760)</f>
        <v>78</v>
      </c>
      <c r="C1760" s="60" t="str">
        <f t="shared" si="126"/>
        <v>0</v>
      </c>
      <c r="D1760" s="60">
        <f>COUNTIF($K$7:K1760,K1760)</f>
        <v>0</v>
      </c>
      <c r="E1760" s="61"/>
      <c r="F1760" s="227">
        <v>44594</v>
      </c>
      <c r="G1760" s="228"/>
      <c r="H1760" s="228" t="s">
        <v>879</v>
      </c>
      <c r="I1760" s="228" t="s">
        <v>37</v>
      </c>
      <c r="J1760" s="64">
        <v>410.03</v>
      </c>
      <c r="K1760" s="65"/>
      <c r="L1760" s="224"/>
      <c r="M1760" s="231">
        <v>1750000</v>
      </c>
      <c r="N1760" s="231"/>
      <c r="O1760" s="61"/>
      <c r="P1760" s="69" t="str">
        <f t="shared" si="127"/>
        <v>Penjualan Exam</v>
      </c>
      <c r="Q1760" s="61"/>
    </row>
    <row r="1761" spans="1:17" hidden="1" x14ac:dyDescent="0.25">
      <c r="A1761" s="60" t="str">
        <f t="shared" si="125"/>
        <v>171410,01</v>
      </c>
      <c r="B1761" s="60">
        <f>COUNTIF($J$7:J1761,J1761)</f>
        <v>171</v>
      </c>
      <c r="C1761" s="60" t="str">
        <f t="shared" si="126"/>
        <v>0</v>
      </c>
      <c r="D1761" s="60">
        <f>COUNTIF($K$7:K1761,K1761)</f>
        <v>0</v>
      </c>
      <c r="E1761" s="61"/>
      <c r="F1761" s="227">
        <v>44599</v>
      </c>
      <c r="G1761" s="228"/>
      <c r="H1761" s="228" t="s">
        <v>880</v>
      </c>
      <c r="I1761" s="228" t="s">
        <v>37</v>
      </c>
      <c r="J1761" s="64">
        <v>410.01</v>
      </c>
      <c r="K1761" s="65"/>
      <c r="L1761" s="224"/>
      <c r="M1761" s="231">
        <v>1815000</v>
      </c>
      <c r="N1761" s="231"/>
      <c r="O1761" s="61"/>
      <c r="P1761" s="69" t="str">
        <f t="shared" si="127"/>
        <v>Penjualan Intouch</v>
      </c>
      <c r="Q1761" s="61"/>
    </row>
    <row r="1762" spans="1:17" hidden="1" x14ac:dyDescent="0.25">
      <c r="A1762" s="60" t="str">
        <f t="shared" si="125"/>
        <v>172410,01</v>
      </c>
      <c r="B1762" s="60">
        <f>COUNTIF($J$7:J1762,J1762)</f>
        <v>172</v>
      </c>
      <c r="C1762" s="60" t="str">
        <f t="shared" si="126"/>
        <v>0</v>
      </c>
      <c r="D1762" s="60">
        <f>COUNTIF($K$7:K1762,K1762)</f>
        <v>0</v>
      </c>
      <c r="E1762" s="61"/>
      <c r="F1762" s="227">
        <v>44599</v>
      </c>
      <c r="G1762" s="228"/>
      <c r="H1762" s="228" t="s">
        <v>880</v>
      </c>
      <c r="I1762" s="228" t="s">
        <v>37</v>
      </c>
      <c r="J1762" s="64">
        <v>410.01</v>
      </c>
      <c r="K1762" s="65"/>
      <c r="L1762" s="224"/>
      <c r="M1762" s="231">
        <v>1815000</v>
      </c>
      <c r="N1762" s="231"/>
      <c r="O1762" s="61"/>
      <c r="P1762" s="69" t="str">
        <f t="shared" si="127"/>
        <v>Penjualan Intouch</v>
      </c>
      <c r="Q1762" s="61"/>
    </row>
    <row r="1763" spans="1:17" hidden="1" x14ac:dyDescent="0.25">
      <c r="A1763" s="60" t="str">
        <f t="shared" si="125"/>
        <v>173410,01</v>
      </c>
      <c r="B1763" s="60">
        <f>COUNTIF($J$7:J1763,J1763)</f>
        <v>173</v>
      </c>
      <c r="C1763" s="60" t="str">
        <f t="shared" si="126"/>
        <v>0</v>
      </c>
      <c r="D1763" s="60">
        <f>COUNTIF($K$7:K1763,K1763)</f>
        <v>0</v>
      </c>
      <c r="E1763" s="61"/>
      <c r="F1763" s="227">
        <v>44599</v>
      </c>
      <c r="G1763" s="228"/>
      <c r="H1763" s="228" t="s">
        <v>880</v>
      </c>
      <c r="I1763" s="228" t="s">
        <v>37</v>
      </c>
      <c r="J1763" s="64">
        <v>410.01</v>
      </c>
      <c r="K1763" s="65"/>
      <c r="L1763" s="224"/>
      <c r="M1763" s="231">
        <v>1815000</v>
      </c>
      <c r="N1763" s="231"/>
      <c r="O1763" s="61"/>
      <c r="P1763" s="69" t="str">
        <f t="shared" si="127"/>
        <v>Penjualan Intouch</v>
      </c>
      <c r="Q1763" s="61"/>
    </row>
    <row r="1764" spans="1:17" hidden="1" x14ac:dyDescent="0.25">
      <c r="A1764" s="60" t="str">
        <f t="shared" si="125"/>
        <v>174410,01</v>
      </c>
      <c r="B1764" s="60">
        <f>COUNTIF($J$7:J1764,J1764)</f>
        <v>174</v>
      </c>
      <c r="C1764" s="60" t="str">
        <f t="shared" si="126"/>
        <v>0</v>
      </c>
      <c r="D1764" s="60">
        <f>COUNTIF($K$7:K1764,K1764)</f>
        <v>0</v>
      </c>
      <c r="E1764" s="61"/>
      <c r="F1764" s="227">
        <v>44599</v>
      </c>
      <c r="G1764" s="228"/>
      <c r="H1764" s="228" t="s">
        <v>880</v>
      </c>
      <c r="I1764" s="228" t="s">
        <v>37</v>
      </c>
      <c r="J1764" s="64">
        <v>410.01</v>
      </c>
      <c r="K1764" s="65"/>
      <c r="L1764" s="224"/>
      <c r="M1764" s="231">
        <v>4380000</v>
      </c>
      <c r="N1764" s="231"/>
      <c r="O1764" s="61"/>
      <c r="P1764" s="69" t="str">
        <f t="shared" si="127"/>
        <v>Penjualan Intouch</v>
      </c>
      <c r="Q1764" s="61"/>
    </row>
    <row r="1765" spans="1:17" hidden="1" x14ac:dyDescent="0.25">
      <c r="A1765" s="60" t="str">
        <f t="shared" si="125"/>
        <v>175410,01</v>
      </c>
      <c r="B1765" s="60">
        <f>COUNTIF($J$7:J1765,J1765)</f>
        <v>175</v>
      </c>
      <c r="C1765" s="60" t="str">
        <f t="shared" si="126"/>
        <v>0</v>
      </c>
      <c r="D1765" s="60">
        <f>COUNTIF($K$7:K1765,K1765)</f>
        <v>0</v>
      </c>
      <c r="E1765" s="61"/>
      <c r="F1765" s="227">
        <v>44599</v>
      </c>
      <c r="G1765" s="228"/>
      <c r="H1765" s="228" t="s">
        <v>881</v>
      </c>
      <c r="I1765" s="228" t="s">
        <v>37</v>
      </c>
      <c r="J1765" s="64">
        <v>410.01</v>
      </c>
      <c r="K1765" s="65"/>
      <c r="L1765" s="224"/>
      <c r="M1765" s="231">
        <v>1815000</v>
      </c>
      <c r="N1765" s="231"/>
      <c r="O1765" s="61"/>
      <c r="P1765" s="69" t="str">
        <f t="shared" si="127"/>
        <v>Penjualan Intouch</v>
      </c>
      <c r="Q1765" s="61"/>
    </row>
    <row r="1766" spans="1:17" hidden="1" x14ac:dyDescent="0.25">
      <c r="A1766" s="60" t="str">
        <f t="shared" si="125"/>
        <v>176410,01</v>
      </c>
      <c r="B1766" s="60">
        <f>COUNTIF($J$7:J1766,J1766)</f>
        <v>176</v>
      </c>
      <c r="C1766" s="60" t="str">
        <f t="shared" si="126"/>
        <v>0</v>
      </c>
      <c r="D1766" s="60">
        <f>COUNTIF($K$7:K1766,K1766)</f>
        <v>0</v>
      </c>
      <c r="E1766" s="61"/>
      <c r="F1766" s="227">
        <v>44599</v>
      </c>
      <c r="G1766" s="228"/>
      <c r="H1766" s="228" t="s">
        <v>881</v>
      </c>
      <c r="I1766" s="228" t="s">
        <v>37</v>
      </c>
      <c r="J1766" s="64">
        <v>410.01</v>
      </c>
      <c r="K1766" s="65"/>
      <c r="L1766" s="224"/>
      <c r="M1766" s="231">
        <v>3630000</v>
      </c>
      <c r="N1766" s="231"/>
      <c r="O1766" s="61"/>
      <c r="P1766" s="69" t="str">
        <f t="shared" si="127"/>
        <v>Penjualan Intouch</v>
      </c>
      <c r="Q1766" s="61"/>
    </row>
    <row r="1767" spans="1:17" hidden="1" x14ac:dyDescent="0.25">
      <c r="A1767" s="60" t="str">
        <f t="shared" si="125"/>
        <v>177410,01</v>
      </c>
      <c r="B1767" s="60">
        <f>COUNTIF($J$7:J1767,J1767)</f>
        <v>177</v>
      </c>
      <c r="C1767" s="60" t="str">
        <f t="shared" si="126"/>
        <v>0</v>
      </c>
      <c r="D1767" s="60">
        <f>COUNTIF($K$7:K1767,K1767)</f>
        <v>0</v>
      </c>
      <c r="E1767" s="61"/>
      <c r="F1767" s="227">
        <v>44599</v>
      </c>
      <c r="G1767" s="228"/>
      <c r="H1767" s="228" t="s">
        <v>881</v>
      </c>
      <c r="I1767" s="228" t="s">
        <v>37</v>
      </c>
      <c r="J1767" s="64">
        <v>410.01</v>
      </c>
      <c r="K1767" s="65"/>
      <c r="L1767" s="224"/>
      <c r="M1767" s="231">
        <v>3630000</v>
      </c>
      <c r="N1767" s="231"/>
      <c r="O1767" s="61"/>
      <c r="P1767" s="69" t="str">
        <f t="shared" si="127"/>
        <v>Penjualan Intouch</v>
      </c>
      <c r="Q1767" s="61"/>
    </row>
    <row r="1768" spans="1:17" hidden="1" x14ac:dyDescent="0.25">
      <c r="A1768" s="60" t="str">
        <f t="shared" si="125"/>
        <v>178410,01</v>
      </c>
      <c r="B1768" s="60">
        <f>COUNTIF($J$7:J1768,J1768)</f>
        <v>178</v>
      </c>
      <c r="C1768" s="60" t="str">
        <f t="shared" si="126"/>
        <v>0</v>
      </c>
      <c r="D1768" s="60">
        <f>COUNTIF($K$7:K1768,K1768)</f>
        <v>0</v>
      </c>
      <c r="E1768" s="61"/>
      <c r="F1768" s="227">
        <v>44599</v>
      </c>
      <c r="G1768" s="228"/>
      <c r="H1768" s="228" t="s">
        <v>881</v>
      </c>
      <c r="I1768" s="228" t="s">
        <v>37</v>
      </c>
      <c r="J1768" s="64">
        <v>410.01</v>
      </c>
      <c r="K1768" s="65"/>
      <c r="L1768" s="224"/>
      <c r="M1768" s="231">
        <v>1815000</v>
      </c>
      <c r="N1768" s="231"/>
      <c r="O1768" s="61"/>
      <c r="P1768" s="69" t="str">
        <f t="shared" si="127"/>
        <v>Penjualan Intouch</v>
      </c>
      <c r="Q1768" s="61"/>
    </row>
    <row r="1769" spans="1:17" hidden="1" x14ac:dyDescent="0.25">
      <c r="A1769" s="60" t="str">
        <f t="shared" si="125"/>
        <v>79410,03</v>
      </c>
      <c r="B1769" s="60">
        <f>COUNTIF($J$7:J1769,J1769)</f>
        <v>79</v>
      </c>
      <c r="C1769" s="60" t="str">
        <f t="shared" si="126"/>
        <v>0</v>
      </c>
      <c r="D1769" s="60">
        <f>COUNTIF($K$7:K1769,K1769)</f>
        <v>0</v>
      </c>
      <c r="E1769" s="61"/>
      <c r="F1769" s="227">
        <v>44599</v>
      </c>
      <c r="G1769" s="228"/>
      <c r="H1769" s="228" t="s">
        <v>882</v>
      </c>
      <c r="I1769" s="228" t="s">
        <v>37</v>
      </c>
      <c r="J1769" s="64">
        <v>410.03</v>
      </c>
      <c r="K1769" s="65"/>
      <c r="L1769" s="224"/>
      <c r="M1769" s="231">
        <v>13125000</v>
      </c>
      <c r="N1769" s="231"/>
      <c r="O1769" s="61"/>
      <c r="P1769" s="69" t="str">
        <f t="shared" si="127"/>
        <v>Penjualan Exam</v>
      </c>
      <c r="Q1769" s="61"/>
    </row>
    <row r="1770" spans="1:17" hidden="1" x14ac:dyDescent="0.25">
      <c r="A1770" s="60" t="str">
        <f t="shared" si="125"/>
        <v>80410,03</v>
      </c>
      <c r="B1770" s="60">
        <f>COUNTIF($J$7:J1770,J1770)</f>
        <v>80</v>
      </c>
      <c r="C1770" s="60" t="str">
        <f t="shared" si="126"/>
        <v>0</v>
      </c>
      <c r="D1770" s="60">
        <f>COUNTIF($K$7:K1770,K1770)</f>
        <v>0</v>
      </c>
      <c r="E1770" s="61"/>
      <c r="F1770" s="227">
        <v>44599</v>
      </c>
      <c r="G1770" s="228"/>
      <c r="H1770" s="228" t="s">
        <v>882</v>
      </c>
      <c r="I1770" s="228" t="s">
        <v>37</v>
      </c>
      <c r="J1770" s="64">
        <v>410.03</v>
      </c>
      <c r="K1770" s="65"/>
      <c r="L1770" s="224"/>
      <c r="M1770" s="231">
        <v>4375000</v>
      </c>
      <c r="N1770" s="231"/>
      <c r="O1770" s="61"/>
      <c r="P1770" s="69" t="str">
        <f t="shared" si="127"/>
        <v>Penjualan Exam</v>
      </c>
      <c r="Q1770" s="61"/>
    </row>
    <row r="1771" spans="1:17" hidden="1" x14ac:dyDescent="0.25">
      <c r="A1771" s="60" t="str">
        <f t="shared" si="125"/>
        <v>81410,03</v>
      </c>
      <c r="B1771" s="60">
        <f>COUNTIF($J$7:J1771,J1771)</f>
        <v>81</v>
      </c>
      <c r="C1771" s="60" t="str">
        <f t="shared" si="126"/>
        <v>0</v>
      </c>
      <c r="D1771" s="60">
        <f>COUNTIF($K$7:K1771,K1771)</f>
        <v>0</v>
      </c>
      <c r="E1771" s="61"/>
      <c r="F1771" s="227">
        <v>44599</v>
      </c>
      <c r="G1771" s="228"/>
      <c r="H1771" s="228" t="s">
        <v>882</v>
      </c>
      <c r="I1771" s="228" t="s">
        <v>37</v>
      </c>
      <c r="J1771" s="64">
        <v>410.03</v>
      </c>
      <c r="K1771" s="65"/>
      <c r="L1771" s="224"/>
      <c r="M1771" s="231">
        <v>1750000</v>
      </c>
      <c r="N1771" s="231"/>
      <c r="O1771" s="61"/>
      <c r="P1771" s="69" t="str">
        <f t="shared" si="127"/>
        <v>Penjualan Exam</v>
      </c>
      <c r="Q1771" s="61"/>
    </row>
    <row r="1772" spans="1:17" hidden="1" x14ac:dyDescent="0.25">
      <c r="A1772" s="60" t="str">
        <f t="shared" si="125"/>
        <v>179410,01</v>
      </c>
      <c r="B1772" s="60">
        <f>COUNTIF($J$7:J1772,J1772)</f>
        <v>179</v>
      </c>
      <c r="C1772" s="60" t="str">
        <f t="shared" si="126"/>
        <v>0</v>
      </c>
      <c r="D1772" s="60">
        <f>COUNTIF($K$7:K1772,K1772)</f>
        <v>0</v>
      </c>
      <c r="E1772" s="61"/>
      <c r="F1772" s="227">
        <v>44601</v>
      </c>
      <c r="G1772" s="228"/>
      <c r="H1772" s="228" t="s">
        <v>883</v>
      </c>
      <c r="I1772" s="228" t="s">
        <v>37</v>
      </c>
      <c r="J1772" s="64">
        <v>410.01</v>
      </c>
      <c r="K1772" s="65"/>
      <c r="L1772" s="224"/>
      <c r="M1772" s="231">
        <v>1815000</v>
      </c>
      <c r="N1772" s="231"/>
      <c r="O1772" s="61"/>
      <c r="P1772" s="69" t="str">
        <f t="shared" si="127"/>
        <v>Penjualan Intouch</v>
      </c>
      <c r="Q1772" s="61"/>
    </row>
    <row r="1773" spans="1:17" hidden="1" x14ac:dyDescent="0.25">
      <c r="A1773" s="60" t="str">
        <f t="shared" si="125"/>
        <v>180410,01</v>
      </c>
      <c r="B1773" s="60">
        <f>COUNTIF($J$7:J1773,J1773)</f>
        <v>180</v>
      </c>
      <c r="C1773" s="60" t="str">
        <f t="shared" si="126"/>
        <v>0</v>
      </c>
      <c r="D1773" s="60">
        <f>COUNTIF($K$7:K1773,K1773)</f>
        <v>0</v>
      </c>
      <c r="E1773" s="61"/>
      <c r="F1773" s="227">
        <v>44601</v>
      </c>
      <c r="G1773" s="228"/>
      <c r="H1773" s="228" t="s">
        <v>883</v>
      </c>
      <c r="I1773" s="228" t="s">
        <v>37</v>
      </c>
      <c r="J1773" s="64">
        <v>410.01</v>
      </c>
      <c r="K1773" s="65"/>
      <c r="L1773" s="224"/>
      <c r="M1773" s="231">
        <v>2190000</v>
      </c>
      <c r="N1773" s="231"/>
      <c r="O1773" s="61"/>
      <c r="P1773" s="69" t="str">
        <f t="shared" si="127"/>
        <v>Penjualan Intouch</v>
      </c>
      <c r="Q1773" s="61"/>
    </row>
    <row r="1774" spans="1:17" hidden="1" x14ac:dyDescent="0.25">
      <c r="A1774" s="60" t="str">
        <f t="shared" si="125"/>
        <v>181410,01</v>
      </c>
      <c r="B1774" s="60">
        <f>COUNTIF($J$7:J1774,J1774)</f>
        <v>181</v>
      </c>
      <c r="C1774" s="60" t="str">
        <f t="shared" si="126"/>
        <v>0</v>
      </c>
      <c r="D1774" s="60">
        <f>COUNTIF($K$7:K1774,K1774)</f>
        <v>0</v>
      </c>
      <c r="E1774" s="61"/>
      <c r="F1774" s="227">
        <v>44601</v>
      </c>
      <c r="G1774" s="228"/>
      <c r="H1774" s="228" t="s">
        <v>883</v>
      </c>
      <c r="I1774" s="228" t="s">
        <v>37</v>
      </c>
      <c r="J1774" s="64">
        <v>410.01</v>
      </c>
      <c r="K1774" s="65"/>
      <c r="L1774" s="224"/>
      <c r="M1774" s="231">
        <v>2190000</v>
      </c>
      <c r="N1774" s="231"/>
      <c r="O1774" s="61"/>
      <c r="P1774" s="69" t="str">
        <f t="shared" si="127"/>
        <v>Penjualan Intouch</v>
      </c>
      <c r="Q1774" s="61"/>
    </row>
    <row r="1775" spans="1:17" hidden="1" x14ac:dyDescent="0.25">
      <c r="A1775" s="60" t="str">
        <f t="shared" si="125"/>
        <v>182410,01</v>
      </c>
      <c r="B1775" s="60">
        <f>COUNTIF($J$7:J1775,J1775)</f>
        <v>182</v>
      </c>
      <c r="C1775" s="60" t="str">
        <f t="shared" si="126"/>
        <v>0</v>
      </c>
      <c r="D1775" s="60">
        <f>COUNTIF($K$7:K1775,K1775)</f>
        <v>0</v>
      </c>
      <c r="E1775" s="61"/>
      <c r="F1775" s="227">
        <v>44601</v>
      </c>
      <c r="G1775" s="228"/>
      <c r="H1775" s="228" t="s">
        <v>883</v>
      </c>
      <c r="I1775" s="228" t="s">
        <v>37</v>
      </c>
      <c r="J1775" s="64">
        <v>410.01</v>
      </c>
      <c r="K1775" s="65"/>
      <c r="L1775" s="224"/>
      <c r="M1775" s="231">
        <v>4380000</v>
      </c>
      <c r="N1775" s="231"/>
      <c r="O1775" s="61"/>
      <c r="P1775" s="69" t="str">
        <f t="shared" si="127"/>
        <v>Penjualan Intouch</v>
      </c>
      <c r="Q1775" s="61"/>
    </row>
    <row r="1776" spans="1:17" hidden="1" x14ac:dyDescent="0.25">
      <c r="A1776" s="60" t="str">
        <f t="shared" si="125"/>
        <v>183410,01</v>
      </c>
      <c r="B1776" s="60">
        <f>COUNTIF($J$7:J1776,J1776)</f>
        <v>183</v>
      </c>
      <c r="C1776" s="60" t="str">
        <f t="shared" si="126"/>
        <v>0</v>
      </c>
      <c r="D1776" s="60">
        <f>COUNTIF($K$7:K1776,K1776)</f>
        <v>0</v>
      </c>
      <c r="E1776" s="61"/>
      <c r="F1776" s="227">
        <v>44601</v>
      </c>
      <c r="G1776" s="228"/>
      <c r="H1776" s="228" t="s">
        <v>883</v>
      </c>
      <c r="I1776" s="228" t="s">
        <v>37</v>
      </c>
      <c r="J1776" s="64">
        <v>410.01</v>
      </c>
      <c r="K1776" s="65"/>
      <c r="L1776" s="224"/>
      <c r="M1776" s="231">
        <v>4380000</v>
      </c>
      <c r="N1776" s="231"/>
      <c r="O1776" s="61"/>
      <c r="P1776" s="69" t="str">
        <f t="shared" si="127"/>
        <v>Penjualan Intouch</v>
      </c>
      <c r="Q1776" s="61"/>
    </row>
    <row r="1777" spans="1:17" hidden="1" x14ac:dyDescent="0.25">
      <c r="A1777" s="60" t="str">
        <f t="shared" si="125"/>
        <v>184410,01</v>
      </c>
      <c r="B1777" s="60">
        <f>COUNTIF($J$7:J1777,J1777)</f>
        <v>184</v>
      </c>
      <c r="C1777" s="60" t="str">
        <f t="shared" si="126"/>
        <v>0</v>
      </c>
      <c r="D1777" s="60">
        <f>COUNTIF($K$7:K1777,K1777)</f>
        <v>0</v>
      </c>
      <c r="E1777" s="61"/>
      <c r="F1777" s="227">
        <v>44601</v>
      </c>
      <c r="G1777" s="228"/>
      <c r="H1777" s="228" t="s">
        <v>883</v>
      </c>
      <c r="I1777" s="228" t="s">
        <v>37</v>
      </c>
      <c r="J1777" s="64">
        <v>410.01</v>
      </c>
      <c r="K1777" s="65"/>
      <c r="L1777" s="224"/>
      <c r="M1777" s="231">
        <v>2190000</v>
      </c>
      <c r="N1777" s="231"/>
      <c r="O1777" s="61"/>
      <c r="P1777" s="69" t="str">
        <f t="shared" si="127"/>
        <v>Penjualan Intouch</v>
      </c>
      <c r="Q1777" s="61"/>
    </row>
    <row r="1778" spans="1:17" hidden="1" x14ac:dyDescent="0.25">
      <c r="A1778" s="60" t="str">
        <f t="shared" si="125"/>
        <v>82410,03</v>
      </c>
      <c r="B1778" s="60">
        <f>COUNTIF($J$7:J1778,J1778)</f>
        <v>82</v>
      </c>
      <c r="C1778" s="60" t="str">
        <f t="shared" si="126"/>
        <v>0</v>
      </c>
      <c r="D1778" s="60">
        <f>COUNTIF($K$7:K1778,K1778)</f>
        <v>0</v>
      </c>
      <c r="E1778" s="61"/>
      <c r="F1778" s="227">
        <v>44606</v>
      </c>
      <c r="G1778" s="228"/>
      <c r="H1778" s="228" t="s">
        <v>884</v>
      </c>
      <c r="I1778" s="228" t="s">
        <v>37</v>
      </c>
      <c r="J1778" s="64">
        <v>410.03</v>
      </c>
      <c r="K1778" s="65"/>
      <c r="L1778" s="224"/>
      <c r="M1778" s="231">
        <v>8750000</v>
      </c>
      <c r="N1778" s="231"/>
      <c r="O1778" s="61"/>
      <c r="P1778" s="69" t="str">
        <f t="shared" si="127"/>
        <v>Penjualan Exam</v>
      </c>
      <c r="Q1778" s="61"/>
    </row>
    <row r="1779" spans="1:17" hidden="1" x14ac:dyDescent="0.25">
      <c r="A1779" s="60" t="str">
        <f t="shared" si="125"/>
        <v>83410,03</v>
      </c>
      <c r="B1779" s="60">
        <f>COUNTIF($J$7:J1779,J1779)</f>
        <v>83</v>
      </c>
      <c r="C1779" s="60" t="str">
        <f t="shared" si="126"/>
        <v>0</v>
      </c>
      <c r="D1779" s="60">
        <f>COUNTIF($K$7:K1779,K1779)</f>
        <v>0</v>
      </c>
      <c r="E1779" s="61"/>
      <c r="F1779" s="227">
        <v>44606</v>
      </c>
      <c r="G1779" s="228"/>
      <c r="H1779" s="228" t="s">
        <v>884</v>
      </c>
      <c r="I1779" s="228" t="s">
        <v>37</v>
      </c>
      <c r="J1779" s="64">
        <v>410.03</v>
      </c>
      <c r="K1779" s="65"/>
      <c r="L1779" s="224"/>
      <c r="M1779" s="231">
        <v>3500000</v>
      </c>
      <c r="N1779" s="231"/>
      <c r="O1779" s="61"/>
      <c r="P1779" s="69" t="str">
        <f t="shared" si="127"/>
        <v>Penjualan Exam</v>
      </c>
      <c r="Q1779" s="61"/>
    </row>
    <row r="1780" spans="1:17" hidden="1" x14ac:dyDescent="0.25">
      <c r="A1780" s="60" t="str">
        <f t="shared" si="125"/>
        <v>185410,01</v>
      </c>
      <c r="B1780" s="60">
        <f>COUNTIF($J$7:J1780,J1780)</f>
        <v>185</v>
      </c>
      <c r="C1780" s="60" t="str">
        <f t="shared" si="126"/>
        <v>0</v>
      </c>
      <c r="D1780" s="60">
        <f>COUNTIF($K$7:K1780,K1780)</f>
        <v>0</v>
      </c>
      <c r="E1780" s="61"/>
      <c r="F1780" s="227">
        <v>44607</v>
      </c>
      <c r="G1780" s="228"/>
      <c r="H1780" s="228" t="s">
        <v>885</v>
      </c>
      <c r="I1780" s="228" t="s">
        <v>37</v>
      </c>
      <c r="J1780" s="64">
        <v>410.01</v>
      </c>
      <c r="K1780" s="65"/>
      <c r="L1780" s="224"/>
      <c r="M1780" s="231">
        <v>3630000</v>
      </c>
      <c r="N1780" s="231"/>
      <c r="O1780" s="61"/>
      <c r="P1780" s="69" t="str">
        <f t="shared" si="127"/>
        <v>Penjualan Intouch</v>
      </c>
      <c r="Q1780" s="61"/>
    </row>
    <row r="1781" spans="1:17" hidden="1" x14ac:dyDescent="0.25">
      <c r="A1781" s="60" t="str">
        <f t="shared" si="125"/>
        <v>186410,01</v>
      </c>
      <c r="B1781" s="60">
        <f>COUNTIF($J$7:J1781,J1781)</f>
        <v>186</v>
      </c>
      <c r="C1781" s="60" t="str">
        <f t="shared" si="126"/>
        <v>0</v>
      </c>
      <c r="D1781" s="60">
        <f>COUNTIF($K$7:K1781,K1781)</f>
        <v>0</v>
      </c>
      <c r="E1781" s="61"/>
      <c r="F1781" s="227">
        <v>44607</v>
      </c>
      <c r="G1781" s="228"/>
      <c r="H1781" s="228" t="s">
        <v>885</v>
      </c>
      <c r="I1781" s="228" t="s">
        <v>37</v>
      </c>
      <c r="J1781" s="64">
        <v>410.01</v>
      </c>
      <c r="K1781" s="65"/>
      <c r="L1781" s="224"/>
      <c r="M1781" s="231">
        <v>3630000</v>
      </c>
      <c r="N1781" s="231"/>
      <c r="O1781" s="61"/>
      <c r="P1781" s="69" t="str">
        <f t="shared" si="127"/>
        <v>Penjualan Intouch</v>
      </c>
      <c r="Q1781" s="61"/>
    </row>
    <row r="1782" spans="1:17" hidden="1" x14ac:dyDescent="0.25">
      <c r="A1782" s="60" t="str">
        <f t="shared" si="125"/>
        <v>187410,01</v>
      </c>
      <c r="B1782" s="60">
        <f>COUNTIF($J$7:J1782,J1782)</f>
        <v>187</v>
      </c>
      <c r="C1782" s="60" t="str">
        <f t="shared" si="126"/>
        <v>0</v>
      </c>
      <c r="D1782" s="60">
        <f>COUNTIF($K$7:K1782,K1782)</f>
        <v>0</v>
      </c>
      <c r="E1782" s="61"/>
      <c r="F1782" s="227">
        <v>44607</v>
      </c>
      <c r="G1782" s="228"/>
      <c r="H1782" s="228" t="s">
        <v>885</v>
      </c>
      <c r="I1782" s="228" t="s">
        <v>37</v>
      </c>
      <c r="J1782" s="64">
        <v>410.01</v>
      </c>
      <c r="K1782" s="65"/>
      <c r="L1782" s="224"/>
      <c r="M1782" s="231">
        <v>4380000</v>
      </c>
      <c r="N1782" s="231"/>
      <c r="O1782" s="61"/>
      <c r="P1782" s="69" t="str">
        <f t="shared" si="127"/>
        <v>Penjualan Intouch</v>
      </c>
      <c r="Q1782" s="61"/>
    </row>
    <row r="1783" spans="1:17" hidden="1" x14ac:dyDescent="0.25">
      <c r="A1783" s="60" t="str">
        <f t="shared" si="125"/>
        <v>188410,01</v>
      </c>
      <c r="B1783" s="60">
        <f>COUNTIF($J$7:J1783,J1783)</f>
        <v>188</v>
      </c>
      <c r="C1783" s="60" t="str">
        <f t="shared" si="126"/>
        <v>0</v>
      </c>
      <c r="D1783" s="60">
        <f>COUNTIF($K$7:K1783,K1783)</f>
        <v>0</v>
      </c>
      <c r="E1783" s="61"/>
      <c r="F1783" s="227">
        <v>44607</v>
      </c>
      <c r="G1783" s="228"/>
      <c r="H1783" s="228" t="s">
        <v>885</v>
      </c>
      <c r="I1783" s="228" t="s">
        <v>37</v>
      </c>
      <c r="J1783" s="64">
        <v>410.01</v>
      </c>
      <c r="K1783" s="65"/>
      <c r="L1783" s="224"/>
      <c r="M1783" s="231">
        <v>2190000</v>
      </c>
      <c r="N1783" s="231"/>
      <c r="O1783" s="61"/>
      <c r="P1783" s="69" t="str">
        <f t="shared" si="127"/>
        <v>Penjualan Intouch</v>
      </c>
      <c r="Q1783" s="61"/>
    </row>
    <row r="1784" spans="1:17" hidden="1" x14ac:dyDescent="0.25">
      <c r="A1784" s="60" t="str">
        <f t="shared" si="125"/>
        <v>189410,01</v>
      </c>
      <c r="B1784" s="60">
        <f>COUNTIF($J$7:J1784,J1784)</f>
        <v>189</v>
      </c>
      <c r="C1784" s="60" t="str">
        <f t="shared" si="126"/>
        <v>0</v>
      </c>
      <c r="D1784" s="60">
        <f>COUNTIF($K$7:K1784,K1784)</f>
        <v>0</v>
      </c>
      <c r="E1784" s="61"/>
      <c r="F1784" s="227">
        <v>44607</v>
      </c>
      <c r="G1784" s="228"/>
      <c r="H1784" s="228" t="s">
        <v>885</v>
      </c>
      <c r="I1784" s="228" t="s">
        <v>37</v>
      </c>
      <c r="J1784" s="64">
        <v>410.01</v>
      </c>
      <c r="K1784" s="65"/>
      <c r="L1784" s="224"/>
      <c r="M1784" s="231">
        <v>2190000</v>
      </c>
      <c r="N1784" s="231"/>
      <c r="O1784" s="61"/>
      <c r="P1784" s="69" t="str">
        <f t="shared" si="127"/>
        <v>Penjualan Intouch</v>
      </c>
      <c r="Q1784" s="61"/>
    </row>
    <row r="1785" spans="1:17" hidden="1" x14ac:dyDescent="0.25">
      <c r="A1785" s="60" t="str">
        <f t="shared" si="125"/>
        <v>84410,03</v>
      </c>
      <c r="B1785" s="60">
        <f>COUNTIF($J$7:J1785,J1785)</f>
        <v>84</v>
      </c>
      <c r="C1785" s="60" t="str">
        <f t="shared" si="126"/>
        <v>0</v>
      </c>
      <c r="D1785" s="60">
        <f>COUNTIF($K$7:K1785,K1785)</f>
        <v>0</v>
      </c>
      <c r="E1785" s="61"/>
      <c r="F1785" s="227">
        <v>44609</v>
      </c>
      <c r="G1785" s="228"/>
      <c r="H1785" s="228" t="s">
        <v>886</v>
      </c>
      <c r="I1785" s="228" t="s">
        <v>37</v>
      </c>
      <c r="J1785" s="64">
        <v>410.03</v>
      </c>
      <c r="K1785" s="65"/>
      <c r="L1785" s="224"/>
      <c r="M1785" s="231">
        <v>3500000</v>
      </c>
      <c r="N1785" s="231"/>
      <c r="O1785" s="61"/>
      <c r="P1785" s="69" t="str">
        <f t="shared" si="127"/>
        <v>Penjualan Exam</v>
      </c>
      <c r="Q1785" s="61"/>
    </row>
    <row r="1786" spans="1:17" hidden="1" x14ac:dyDescent="0.25">
      <c r="A1786" s="60" t="str">
        <f t="shared" si="125"/>
        <v>85410,03</v>
      </c>
      <c r="B1786" s="60">
        <f>COUNTIF($J$7:J1786,J1786)</f>
        <v>85</v>
      </c>
      <c r="C1786" s="60" t="str">
        <f t="shared" si="126"/>
        <v>0</v>
      </c>
      <c r="D1786" s="60">
        <f>COUNTIF($K$7:K1786,K1786)</f>
        <v>0</v>
      </c>
      <c r="E1786" s="61"/>
      <c r="F1786" s="227">
        <v>44609</v>
      </c>
      <c r="G1786" s="228"/>
      <c r="H1786" s="228" t="s">
        <v>886</v>
      </c>
      <c r="I1786" s="228" t="s">
        <v>37</v>
      </c>
      <c r="J1786" s="64">
        <v>410.03</v>
      </c>
      <c r="K1786" s="65"/>
      <c r="L1786" s="224"/>
      <c r="M1786" s="231">
        <v>5250000</v>
      </c>
      <c r="N1786" s="231"/>
      <c r="O1786" s="61"/>
      <c r="P1786" s="69" t="str">
        <f t="shared" si="127"/>
        <v>Penjualan Exam</v>
      </c>
      <c r="Q1786" s="61"/>
    </row>
    <row r="1787" spans="1:17" hidden="1" x14ac:dyDescent="0.25">
      <c r="A1787" s="60" t="str">
        <f t="shared" si="125"/>
        <v>86410,03</v>
      </c>
      <c r="B1787" s="60">
        <f>COUNTIF($J$7:J1787,J1787)</f>
        <v>86</v>
      </c>
      <c r="C1787" s="60" t="str">
        <f t="shared" si="126"/>
        <v>0</v>
      </c>
      <c r="D1787" s="60">
        <f>COUNTIF($K$7:K1787,K1787)</f>
        <v>0</v>
      </c>
      <c r="E1787" s="61"/>
      <c r="F1787" s="227">
        <v>44609</v>
      </c>
      <c r="G1787" s="228"/>
      <c r="H1787" s="228" t="s">
        <v>886</v>
      </c>
      <c r="I1787" s="228" t="s">
        <v>37</v>
      </c>
      <c r="J1787" s="64">
        <v>410.03</v>
      </c>
      <c r="K1787" s="65"/>
      <c r="L1787" s="224"/>
      <c r="M1787" s="231">
        <v>1750000</v>
      </c>
      <c r="N1787" s="231"/>
      <c r="O1787" s="61"/>
      <c r="P1787" s="69" t="str">
        <f t="shared" si="127"/>
        <v>Penjualan Exam</v>
      </c>
      <c r="Q1787" s="61"/>
    </row>
    <row r="1788" spans="1:17" hidden="1" x14ac:dyDescent="0.25">
      <c r="A1788" s="60" t="str">
        <f t="shared" si="125"/>
        <v>190410,01</v>
      </c>
      <c r="B1788" s="60">
        <f>COUNTIF($J$7:J1788,J1788)</f>
        <v>190</v>
      </c>
      <c r="C1788" s="60" t="str">
        <f t="shared" si="126"/>
        <v>0</v>
      </c>
      <c r="D1788" s="60">
        <f>COUNTIF($K$7:K1788,K1788)</f>
        <v>0</v>
      </c>
      <c r="E1788" s="61"/>
      <c r="F1788" s="227">
        <v>44609</v>
      </c>
      <c r="G1788" s="228"/>
      <c r="H1788" s="228" t="s">
        <v>887</v>
      </c>
      <c r="I1788" s="228" t="s">
        <v>37</v>
      </c>
      <c r="J1788" s="64">
        <v>410.01</v>
      </c>
      <c r="K1788" s="65"/>
      <c r="L1788" s="224"/>
      <c r="M1788" s="231">
        <v>1815000</v>
      </c>
      <c r="N1788" s="231"/>
      <c r="O1788" s="61"/>
      <c r="P1788" s="69" t="str">
        <f t="shared" si="127"/>
        <v>Penjualan Intouch</v>
      </c>
      <c r="Q1788" s="61"/>
    </row>
    <row r="1789" spans="1:17" hidden="1" x14ac:dyDescent="0.25">
      <c r="A1789" s="60" t="str">
        <f t="shared" si="125"/>
        <v>191410,01</v>
      </c>
      <c r="B1789" s="60">
        <f>COUNTIF($J$7:J1789,J1789)</f>
        <v>191</v>
      </c>
      <c r="C1789" s="60" t="str">
        <f t="shared" si="126"/>
        <v>0</v>
      </c>
      <c r="D1789" s="60">
        <f>COUNTIF($K$7:K1789,K1789)</f>
        <v>0</v>
      </c>
      <c r="E1789" s="61"/>
      <c r="F1789" s="227">
        <v>44609</v>
      </c>
      <c r="G1789" s="228"/>
      <c r="H1789" s="228" t="s">
        <v>887</v>
      </c>
      <c r="I1789" s="228" t="s">
        <v>37</v>
      </c>
      <c r="J1789" s="64">
        <v>410.01</v>
      </c>
      <c r="K1789" s="65"/>
      <c r="L1789" s="224"/>
      <c r="M1789" s="231">
        <v>1815000</v>
      </c>
      <c r="N1789" s="231"/>
      <c r="O1789" s="61"/>
      <c r="P1789" s="69" t="str">
        <f t="shared" si="127"/>
        <v>Penjualan Intouch</v>
      </c>
      <c r="Q1789" s="61"/>
    </row>
    <row r="1790" spans="1:17" hidden="1" x14ac:dyDescent="0.25">
      <c r="A1790" s="60" t="str">
        <f t="shared" si="125"/>
        <v>192410,01</v>
      </c>
      <c r="B1790" s="60">
        <f>COUNTIF($J$7:J1790,J1790)</f>
        <v>192</v>
      </c>
      <c r="C1790" s="60" t="str">
        <f t="shared" si="126"/>
        <v>0</v>
      </c>
      <c r="D1790" s="60">
        <f>COUNTIF($K$7:K1790,K1790)</f>
        <v>0</v>
      </c>
      <c r="E1790" s="61"/>
      <c r="F1790" s="227">
        <v>44609</v>
      </c>
      <c r="G1790" s="228"/>
      <c r="H1790" s="228" t="s">
        <v>887</v>
      </c>
      <c r="I1790" s="228" t="s">
        <v>37</v>
      </c>
      <c r="J1790" s="64">
        <v>410.01</v>
      </c>
      <c r="K1790" s="65"/>
      <c r="L1790" s="224"/>
      <c r="M1790" s="231">
        <v>1815000</v>
      </c>
      <c r="N1790" s="231"/>
      <c r="O1790" s="61"/>
      <c r="P1790" s="69" t="str">
        <f t="shared" si="127"/>
        <v>Penjualan Intouch</v>
      </c>
      <c r="Q1790" s="61"/>
    </row>
    <row r="1791" spans="1:17" hidden="1" x14ac:dyDescent="0.25">
      <c r="A1791" s="60" t="str">
        <f t="shared" si="125"/>
        <v>193410,01</v>
      </c>
      <c r="B1791" s="60">
        <f>COUNTIF($J$7:J1791,J1791)</f>
        <v>193</v>
      </c>
      <c r="C1791" s="60" t="str">
        <f t="shared" si="126"/>
        <v>0</v>
      </c>
      <c r="D1791" s="60">
        <f>COUNTIF($K$7:K1791,K1791)</f>
        <v>0</v>
      </c>
      <c r="E1791" s="61"/>
      <c r="F1791" s="227">
        <v>44609</v>
      </c>
      <c r="G1791" s="228"/>
      <c r="H1791" s="228" t="s">
        <v>887</v>
      </c>
      <c r="I1791" s="228" t="s">
        <v>37</v>
      </c>
      <c r="J1791" s="64">
        <v>410.01</v>
      </c>
      <c r="K1791" s="65"/>
      <c r="L1791" s="224"/>
      <c r="M1791" s="231">
        <v>2190000</v>
      </c>
      <c r="N1791" s="231"/>
      <c r="O1791" s="61"/>
      <c r="P1791" s="69" t="str">
        <f t="shared" si="127"/>
        <v>Penjualan Intouch</v>
      </c>
      <c r="Q1791" s="61"/>
    </row>
    <row r="1792" spans="1:17" hidden="1" x14ac:dyDescent="0.25">
      <c r="A1792" s="60" t="str">
        <f t="shared" si="125"/>
        <v>194410,01</v>
      </c>
      <c r="B1792" s="60">
        <f>COUNTIF($J$7:J1792,J1792)</f>
        <v>194</v>
      </c>
      <c r="C1792" s="60" t="str">
        <f t="shared" si="126"/>
        <v>0</v>
      </c>
      <c r="D1792" s="60">
        <f>COUNTIF($K$7:K1792,K1792)</f>
        <v>0</v>
      </c>
      <c r="E1792" s="61"/>
      <c r="F1792" s="227">
        <v>44609</v>
      </c>
      <c r="G1792" s="228"/>
      <c r="H1792" s="228" t="s">
        <v>887</v>
      </c>
      <c r="I1792" s="228" t="s">
        <v>37</v>
      </c>
      <c r="J1792" s="64">
        <v>410.01</v>
      </c>
      <c r="K1792" s="65"/>
      <c r="L1792" s="224"/>
      <c r="M1792" s="231">
        <v>2190000</v>
      </c>
      <c r="N1792" s="231"/>
      <c r="O1792" s="61"/>
      <c r="P1792" s="69" t="str">
        <f t="shared" si="127"/>
        <v>Penjualan Intouch</v>
      </c>
      <c r="Q1792" s="61"/>
    </row>
    <row r="1793" spans="1:17" hidden="1" x14ac:dyDescent="0.25">
      <c r="A1793" s="60" t="str">
        <f t="shared" si="125"/>
        <v>195410,01</v>
      </c>
      <c r="B1793" s="60">
        <f>COUNTIF($J$7:J1793,J1793)</f>
        <v>195</v>
      </c>
      <c r="C1793" s="60" t="str">
        <f t="shared" si="126"/>
        <v>0</v>
      </c>
      <c r="D1793" s="60">
        <f>COUNTIF($K$7:K1793,K1793)</f>
        <v>0</v>
      </c>
      <c r="E1793" s="61"/>
      <c r="F1793" s="227">
        <v>44615</v>
      </c>
      <c r="G1793" s="228"/>
      <c r="H1793" s="228" t="s">
        <v>888</v>
      </c>
      <c r="I1793" s="228" t="s">
        <v>37</v>
      </c>
      <c r="J1793" s="64">
        <v>410.01</v>
      </c>
      <c r="K1793" s="65"/>
      <c r="L1793" s="224"/>
      <c r="M1793" s="231">
        <v>3630000</v>
      </c>
      <c r="N1793" s="231"/>
      <c r="O1793" s="61"/>
      <c r="P1793" s="69" t="str">
        <f t="shared" si="127"/>
        <v>Penjualan Intouch</v>
      </c>
      <c r="Q1793" s="61"/>
    </row>
    <row r="1794" spans="1:17" hidden="1" x14ac:dyDescent="0.25">
      <c r="A1794" s="60" t="str">
        <f t="shared" si="125"/>
        <v>196410,01</v>
      </c>
      <c r="B1794" s="60">
        <f>COUNTIF($J$7:J1794,J1794)</f>
        <v>196</v>
      </c>
      <c r="C1794" s="60" t="str">
        <f t="shared" si="126"/>
        <v>0</v>
      </c>
      <c r="D1794" s="60">
        <f>COUNTIF($K$7:K1794,K1794)</f>
        <v>0</v>
      </c>
      <c r="E1794" s="61"/>
      <c r="F1794" s="227">
        <v>44615</v>
      </c>
      <c r="G1794" s="228"/>
      <c r="H1794" s="228" t="s">
        <v>888</v>
      </c>
      <c r="I1794" s="228" t="s">
        <v>37</v>
      </c>
      <c r="J1794" s="64">
        <v>410.01</v>
      </c>
      <c r="K1794" s="65"/>
      <c r="L1794" s="224"/>
      <c r="M1794" s="231">
        <v>3630000</v>
      </c>
      <c r="N1794" s="231"/>
      <c r="O1794" s="61"/>
      <c r="P1794" s="69" t="str">
        <f t="shared" si="127"/>
        <v>Penjualan Intouch</v>
      </c>
      <c r="Q1794" s="61"/>
    </row>
    <row r="1795" spans="1:17" hidden="1" x14ac:dyDescent="0.25">
      <c r="A1795" s="60" t="str">
        <f t="shared" si="125"/>
        <v>197410,01</v>
      </c>
      <c r="B1795" s="60">
        <f>COUNTIF($J$7:J1795,J1795)</f>
        <v>197</v>
      </c>
      <c r="C1795" s="60" t="str">
        <f t="shared" si="126"/>
        <v>0</v>
      </c>
      <c r="D1795" s="60">
        <f>COUNTIF($K$7:K1795,K1795)</f>
        <v>0</v>
      </c>
      <c r="E1795" s="61"/>
      <c r="F1795" s="227">
        <v>44615</v>
      </c>
      <c r="G1795" s="228"/>
      <c r="H1795" s="228" t="s">
        <v>888</v>
      </c>
      <c r="I1795" s="228" t="s">
        <v>37</v>
      </c>
      <c r="J1795" s="64">
        <v>410.01</v>
      </c>
      <c r="K1795" s="65"/>
      <c r="L1795" s="224"/>
      <c r="M1795" s="231">
        <v>1815000</v>
      </c>
      <c r="N1795" s="231"/>
      <c r="O1795" s="61"/>
      <c r="P1795" s="69" t="str">
        <f t="shared" si="127"/>
        <v>Penjualan Intouch</v>
      </c>
      <c r="Q1795" s="61"/>
    </row>
    <row r="1796" spans="1:17" hidden="1" x14ac:dyDescent="0.25">
      <c r="A1796" s="60" t="str">
        <f t="shared" si="125"/>
        <v>198410,01</v>
      </c>
      <c r="B1796" s="60">
        <f>COUNTIF($J$7:J1796,J1796)</f>
        <v>198</v>
      </c>
      <c r="C1796" s="60" t="str">
        <f t="shared" si="126"/>
        <v>0</v>
      </c>
      <c r="D1796" s="60">
        <f>COUNTIF($K$7:K1796,K1796)</f>
        <v>0</v>
      </c>
      <c r="E1796" s="61"/>
      <c r="F1796" s="227">
        <v>44615</v>
      </c>
      <c r="G1796" s="228"/>
      <c r="H1796" s="228" t="s">
        <v>888</v>
      </c>
      <c r="I1796" s="228" t="s">
        <v>37</v>
      </c>
      <c r="J1796" s="64">
        <v>410.01</v>
      </c>
      <c r="K1796" s="65"/>
      <c r="L1796" s="224"/>
      <c r="M1796" s="231">
        <v>3630000</v>
      </c>
      <c r="N1796" s="231"/>
      <c r="O1796" s="61"/>
      <c r="P1796" s="69" t="str">
        <f t="shared" si="127"/>
        <v>Penjualan Intouch</v>
      </c>
      <c r="Q1796" s="61"/>
    </row>
    <row r="1797" spans="1:17" hidden="1" x14ac:dyDescent="0.25">
      <c r="A1797" s="60" t="str">
        <f t="shared" si="125"/>
        <v>199410,01</v>
      </c>
      <c r="B1797" s="60">
        <f>COUNTIF($J$7:J1797,J1797)</f>
        <v>199</v>
      </c>
      <c r="C1797" s="60" t="str">
        <f t="shared" si="126"/>
        <v>0</v>
      </c>
      <c r="D1797" s="60">
        <f>COUNTIF($K$7:K1797,K1797)</f>
        <v>0</v>
      </c>
      <c r="E1797" s="61"/>
      <c r="F1797" s="227">
        <v>44615</v>
      </c>
      <c r="G1797" s="228"/>
      <c r="H1797" s="228" t="s">
        <v>888</v>
      </c>
      <c r="I1797" s="228" t="s">
        <v>37</v>
      </c>
      <c r="J1797" s="64">
        <v>410.01</v>
      </c>
      <c r="K1797" s="65"/>
      <c r="L1797" s="224"/>
      <c r="M1797" s="231">
        <v>2190000</v>
      </c>
      <c r="N1797" s="231"/>
      <c r="O1797" s="61"/>
      <c r="P1797" s="69" t="str">
        <f t="shared" si="127"/>
        <v>Penjualan Intouch</v>
      </c>
      <c r="Q1797" s="61"/>
    </row>
    <row r="1798" spans="1:17" hidden="1" x14ac:dyDescent="0.25">
      <c r="A1798" s="60" t="str">
        <f t="shared" si="125"/>
        <v>200410,01</v>
      </c>
      <c r="B1798" s="60">
        <f>COUNTIF($J$7:J1798,J1798)</f>
        <v>200</v>
      </c>
      <c r="C1798" s="60" t="str">
        <f t="shared" si="126"/>
        <v>0</v>
      </c>
      <c r="D1798" s="60">
        <f>COUNTIF($K$7:K1798,K1798)</f>
        <v>0</v>
      </c>
      <c r="E1798" s="61"/>
      <c r="F1798" s="227">
        <v>44615</v>
      </c>
      <c r="G1798" s="228"/>
      <c r="H1798" s="228" t="s">
        <v>888</v>
      </c>
      <c r="I1798" s="228" t="s">
        <v>37</v>
      </c>
      <c r="J1798" s="64">
        <v>410.01</v>
      </c>
      <c r="K1798" s="65"/>
      <c r="L1798" s="224"/>
      <c r="M1798" s="231">
        <v>2190000</v>
      </c>
      <c r="N1798" s="231"/>
      <c r="O1798" s="61"/>
      <c r="P1798" s="69" t="str">
        <f t="shared" si="127"/>
        <v>Penjualan Intouch</v>
      </c>
      <c r="Q1798" s="61"/>
    </row>
    <row r="1799" spans="1:17" hidden="1" x14ac:dyDescent="0.25">
      <c r="A1799" s="60" t="str">
        <f t="shared" ref="A1799:A1862" si="128">B1799&amp;J1799</f>
        <v>87410,03</v>
      </c>
      <c r="B1799" s="60">
        <f>COUNTIF($J$7:J1799,J1799)</f>
        <v>87</v>
      </c>
      <c r="C1799" s="60" t="str">
        <f t="shared" ref="C1799:C1862" si="129">D1799&amp;K1799</f>
        <v>0</v>
      </c>
      <c r="D1799" s="60">
        <f>COUNTIF($K$7:K1799,K1799)</f>
        <v>0</v>
      </c>
      <c r="E1799" s="61"/>
      <c r="F1799" s="227">
        <v>44613</v>
      </c>
      <c r="G1799" s="228"/>
      <c r="H1799" s="228" t="s">
        <v>889</v>
      </c>
      <c r="I1799" s="228" t="s">
        <v>107</v>
      </c>
      <c r="J1799" s="64">
        <v>410.03</v>
      </c>
      <c r="K1799" s="65"/>
      <c r="L1799" s="224"/>
      <c r="M1799" s="231">
        <v>8181818.0999999996</v>
      </c>
      <c r="N1799" s="231"/>
      <c r="O1799" s="61"/>
      <c r="P1799" s="69" t="str">
        <f t="shared" ref="P1799:P1862" si="130">IF(J1799=0,"-",+VLOOKUP(J1799,DAF_AKUN,2,FALSE))</f>
        <v>Penjualan Exam</v>
      </c>
      <c r="Q1799" s="61"/>
    </row>
    <row r="1800" spans="1:17" hidden="1" x14ac:dyDescent="0.25">
      <c r="A1800" s="60" t="str">
        <f t="shared" si="128"/>
        <v>88410,03</v>
      </c>
      <c r="B1800" s="60">
        <f>COUNTIF($J$7:J1800,J1800)</f>
        <v>88</v>
      </c>
      <c r="C1800" s="60" t="str">
        <f t="shared" si="129"/>
        <v>0</v>
      </c>
      <c r="D1800" s="60">
        <f>COUNTIF($K$7:K1800,K1800)</f>
        <v>0</v>
      </c>
      <c r="E1800" s="61"/>
      <c r="F1800" s="227">
        <v>44613</v>
      </c>
      <c r="G1800" s="228"/>
      <c r="H1800" s="228" t="s">
        <v>889</v>
      </c>
      <c r="I1800" s="228" t="s">
        <v>107</v>
      </c>
      <c r="J1800" s="64">
        <v>410.03</v>
      </c>
      <c r="K1800" s="65"/>
      <c r="L1800" s="224"/>
      <c r="M1800" s="231">
        <v>19090908.899999999</v>
      </c>
      <c r="N1800" s="231"/>
      <c r="O1800" s="61"/>
      <c r="P1800" s="69" t="str">
        <f t="shared" si="130"/>
        <v>Penjualan Exam</v>
      </c>
      <c r="Q1800" s="61"/>
    </row>
    <row r="1801" spans="1:17" hidden="1" x14ac:dyDescent="0.25">
      <c r="A1801" s="60" t="str">
        <f t="shared" si="128"/>
        <v>201410,01</v>
      </c>
      <c r="B1801" s="60">
        <f>COUNTIF($J$7:J1801,J1801)</f>
        <v>201</v>
      </c>
      <c r="C1801" s="60" t="str">
        <f t="shared" si="129"/>
        <v>0</v>
      </c>
      <c r="D1801" s="60">
        <f>COUNTIF($K$7:K1801,K1801)</f>
        <v>0</v>
      </c>
      <c r="E1801" s="61"/>
      <c r="F1801" s="227">
        <v>44596</v>
      </c>
      <c r="G1801" s="228"/>
      <c r="H1801" s="228" t="s">
        <v>890</v>
      </c>
      <c r="I1801" s="228" t="s">
        <v>62</v>
      </c>
      <c r="J1801" s="64">
        <v>410.01</v>
      </c>
      <c r="K1801" s="65"/>
      <c r="L1801" s="224"/>
      <c r="M1801" s="231">
        <v>872727</v>
      </c>
      <c r="N1801" s="231"/>
      <c r="O1801" s="61"/>
      <c r="P1801" s="69" t="str">
        <f t="shared" si="130"/>
        <v>Penjualan Intouch</v>
      </c>
      <c r="Q1801" s="61"/>
    </row>
    <row r="1802" spans="1:17" hidden="1" x14ac:dyDescent="0.25">
      <c r="A1802" s="60" t="str">
        <f t="shared" si="128"/>
        <v>202410,01</v>
      </c>
      <c r="B1802" s="60">
        <f>COUNTIF($J$7:J1802,J1802)</f>
        <v>202</v>
      </c>
      <c r="C1802" s="60" t="str">
        <f t="shared" si="129"/>
        <v>0</v>
      </c>
      <c r="D1802" s="60">
        <f>COUNTIF($K$7:K1802,K1802)</f>
        <v>0</v>
      </c>
      <c r="E1802" s="61"/>
      <c r="F1802" s="227">
        <v>44596</v>
      </c>
      <c r="G1802" s="228"/>
      <c r="H1802" s="228" t="s">
        <v>890</v>
      </c>
      <c r="I1802" s="228" t="s">
        <v>62</v>
      </c>
      <c r="J1802" s="64">
        <v>410.01</v>
      </c>
      <c r="K1802" s="65"/>
      <c r="L1802" s="224"/>
      <c r="M1802" s="231">
        <v>3054545</v>
      </c>
      <c r="N1802" s="231"/>
      <c r="O1802" s="61"/>
      <c r="P1802" s="69" t="str">
        <f t="shared" si="130"/>
        <v>Penjualan Intouch</v>
      </c>
      <c r="Q1802" s="61"/>
    </row>
    <row r="1803" spans="1:17" hidden="1" x14ac:dyDescent="0.25">
      <c r="A1803" s="60" t="str">
        <f t="shared" si="128"/>
        <v>203410,01</v>
      </c>
      <c r="B1803" s="60">
        <f>COUNTIF($J$7:J1803,J1803)</f>
        <v>203</v>
      </c>
      <c r="C1803" s="60" t="str">
        <f t="shared" si="129"/>
        <v>0</v>
      </c>
      <c r="D1803" s="60">
        <f>COUNTIF($K$7:K1803,K1803)</f>
        <v>0</v>
      </c>
      <c r="E1803" s="61"/>
      <c r="F1803" s="227">
        <v>44596</v>
      </c>
      <c r="G1803" s="228"/>
      <c r="H1803" s="228" t="s">
        <v>890</v>
      </c>
      <c r="I1803" s="228" t="s">
        <v>62</v>
      </c>
      <c r="J1803" s="64">
        <v>410.01</v>
      </c>
      <c r="K1803" s="65"/>
      <c r="L1803" s="224"/>
      <c r="M1803" s="231">
        <v>436364</v>
      </c>
      <c r="N1803" s="231"/>
      <c r="O1803" s="61"/>
      <c r="P1803" s="69" t="str">
        <f t="shared" si="130"/>
        <v>Penjualan Intouch</v>
      </c>
      <c r="Q1803" s="61"/>
    </row>
    <row r="1804" spans="1:17" hidden="1" x14ac:dyDescent="0.25">
      <c r="A1804" s="60" t="str">
        <f t="shared" si="128"/>
        <v>204410,01</v>
      </c>
      <c r="B1804" s="60">
        <f>COUNTIF($J$7:J1804,J1804)</f>
        <v>204</v>
      </c>
      <c r="C1804" s="60" t="str">
        <f t="shared" si="129"/>
        <v>0</v>
      </c>
      <c r="D1804" s="60">
        <f>COUNTIF($K$7:K1804,K1804)</f>
        <v>0</v>
      </c>
      <c r="E1804" s="61"/>
      <c r="F1804" s="227">
        <v>44600</v>
      </c>
      <c r="G1804" s="228"/>
      <c r="H1804" s="228" t="s">
        <v>891</v>
      </c>
      <c r="I1804" s="228" t="s">
        <v>72</v>
      </c>
      <c r="J1804" s="64">
        <v>410.01</v>
      </c>
      <c r="K1804" s="65"/>
      <c r="L1804" s="224"/>
      <c r="M1804" s="231">
        <v>18000000</v>
      </c>
      <c r="N1804" s="231"/>
      <c r="O1804" s="61"/>
      <c r="P1804" s="69" t="str">
        <f t="shared" si="130"/>
        <v>Penjualan Intouch</v>
      </c>
      <c r="Q1804" s="61"/>
    </row>
    <row r="1805" spans="1:17" hidden="1" x14ac:dyDescent="0.25">
      <c r="A1805" s="60" t="str">
        <f t="shared" si="128"/>
        <v>205410,01</v>
      </c>
      <c r="B1805" s="60">
        <f>COUNTIF($J$7:J1805,J1805)</f>
        <v>205</v>
      </c>
      <c r="C1805" s="60" t="str">
        <f t="shared" si="129"/>
        <v>0</v>
      </c>
      <c r="D1805" s="60">
        <f>COUNTIF($K$7:K1805,K1805)</f>
        <v>0</v>
      </c>
      <c r="E1805" s="61"/>
      <c r="F1805" s="227">
        <v>44600</v>
      </c>
      <c r="G1805" s="228"/>
      <c r="H1805" s="228" t="s">
        <v>891</v>
      </c>
      <c r="I1805" s="228" t="s">
        <v>72</v>
      </c>
      <c r="J1805" s="64">
        <v>410.01</v>
      </c>
      <c r="K1805" s="65"/>
      <c r="L1805" s="224"/>
      <c r="M1805" s="231">
        <v>18000000</v>
      </c>
      <c r="N1805" s="231"/>
      <c r="O1805" s="61"/>
      <c r="P1805" s="69" t="str">
        <f t="shared" si="130"/>
        <v>Penjualan Intouch</v>
      </c>
      <c r="Q1805" s="61"/>
    </row>
    <row r="1806" spans="1:17" hidden="1" x14ac:dyDescent="0.25">
      <c r="A1806" s="60" t="str">
        <f t="shared" si="128"/>
        <v>206410,01</v>
      </c>
      <c r="B1806" s="60">
        <f>COUNTIF($J$7:J1806,J1806)</f>
        <v>206</v>
      </c>
      <c r="C1806" s="60" t="str">
        <f t="shared" si="129"/>
        <v>0</v>
      </c>
      <c r="D1806" s="60">
        <f>COUNTIF($K$7:K1806,K1806)</f>
        <v>0</v>
      </c>
      <c r="E1806" s="61"/>
      <c r="F1806" s="227">
        <v>44600</v>
      </c>
      <c r="G1806" s="228"/>
      <c r="H1806" s="228" t="s">
        <v>891</v>
      </c>
      <c r="I1806" s="228" t="s">
        <v>72</v>
      </c>
      <c r="J1806" s="64">
        <v>410.01</v>
      </c>
      <c r="K1806" s="65"/>
      <c r="L1806" s="224"/>
      <c r="M1806" s="231">
        <v>18000000</v>
      </c>
      <c r="N1806" s="231"/>
      <c r="O1806" s="61"/>
      <c r="P1806" s="69" t="str">
        <f t="shared" si="130"/>
        <v>Penjualan Intouch</v>
      </c>
      <c r="Q1806" s="61"/>
    </row>
    <row r="1807" spans="1:17" hidden="1" x14ac:dyDescent="0.25">
      <c r="A1807" s="60" t="str">
        <f t="shared" si="128"/>
        <v>207410,01</v>
      </c>
      <c r="B1807" s="60">
        <f>COUNTIF($J$7:J1807,J1807)</f>
        <v>207</v>
      </c>
      <c r="C1807" s="60" t="str">
        <f t="shared" si="129"/>
        <v>0</v>
      </c>
      <c r="D1807" s="60">
        <f>COUNTIF($K$7:K1807,K1807)</f>
        <v>0</v>
      </c>
      <c r="E1807" s="61"/>
      <c r="F1807" s="227">
        <v>44594</v>
      </c>
      <c r="G1807" s="228"/>
      <c r="H1807" s="228" t="s">
        <v>892</v>
      </c>
      <c r="I1807" s="228" t="s">
        <v>34</v>
      </c>
      <c r="J1807" s="64">
        <v>410.01</v>
      </c>
      <c r="K1807" s="65"/>
      <c r="L1807" s="224"/>
      <c r="M1807" s="231">
        <v>1649992</v>
      </c>
      <c r="N1807" s="231"/>
      <c r="O1807" s="61"/>
      <c r="P1807" s="69" t="str">
        <f t="shared" si="130"/>
        <v>Penjualan Intouch</v>
      </c>
      <c r="Q1807" s="61"/>
    </row>
    <row r="1808" spans="1:17" hidden="1" x14ac:dyDescent="0.25">
      <c r="A1808" s="60" t="str">
        <f t="shared" si="128"/>
        <v>208410,01</v>
      </c>
      <c r="B1808" s="60">
        <f>COUNTIF($J$7:J1808,J1808)</f>
        <v>208</v>
      </c>
      <c r="C1808" s="60" t="str">
        <f t="shared" si="129"/>
        <v>0</v>
      </c>
      <c r="D1808" s="60">
        <f>COUNTIF($K$7:K1808,K1808)</f>
        <v>0</v>
      </c>
      <c r="E1808" s="61"/>
      <c r="F1808" s="227">
        <v>44594</v>
      </c>
      <c r="G1808" s="228"/>
      <c r="H1808" s="228" t="s">
        <v>892</v>
      </c>
      <c r="I1808" s="228" t="s">
        <v>34</v>
      </c>
      <c r="J1808" s="64">
        <v>410.01</v>
      </c>
      <c r="K1808" s="65"/>
      <c r="L1808" s="224"/>
      <c r="M1808" s="231">
        <v>1099995</v>
      </c>
      <c r="N1808" s="231"/>
      <c r="O1808" s="61"/>
      <c r="P1808" s="69" t="str">
        <f t="shared" si="130"/>
        <v>Penjualan Intouch</v>
      </c>
      <c r="Q1808" s="61"/>
    </row>
    <row r="1809" spans="1:17" hidden="1" x14ac:dyDescent="0.25">
      <c r="A1809" s="60" t="str">
        <f t="shared" si="128"/>
        <v>89410,03</v>
      </c>
      <c r="B1809" s="60">
        <f>COUNTIF($J$7:J1809,J1809)</f>
        <v>89</v>
      </c>
      <c r="C1809" s="60" t="str">
        <f t="shared" si="129"/>
        <v>0</v>
      </c>
      <c r="D1809" s="60">
        <f>COUNTIF($K$7:K1809,K1809)</f>
        <v>0</v>
      </c>
      <c r="E1809" s="61"/>
      <c r="F1809" s="227">
        <v>44594</v>
      </c>
      <c r="G1809" s="228"/>
      <c r="H1809" s="228" t="s">
        <v>893</v>
      </c>
      <c r="I1809" s="228" t="s">
        <v>34</v>
      </c>
      <c r="J1809" s="64">
        <v>410.03</v>
      </c>
      <c r="K1809" s="65"/>
      <c r="L1809" s="224"/>
      <c r="M1809" s="231">
        <v>18000000</v>
      </c>
      <c r="N1809" s="231"/>
      <c r="O1809" s="61"/>
      <c r="P1809" s="69" t="str">
        <f t="shared" si="130"/>
        <v>Penjualan Exam</v>
      </c>
      <c r="Q1809" s="61"/>
    </row>
    <row r="1810" spans="1:17" hidden="1" x14ac:dyDescent="0.25">
      <c r="A1810" s="60" t="str">
        <f t="shared" si="128"/>
        <v>90410,03</v>
      </c>
      <c r="B1810" s="60">
        <f>COUNTIF($J$7:J1810,J1810)</f>
        <v>90</v>
      </c>
      <c r="C1810" s="60" t="str">
        <f t="shared" si="129"/>
        <v>0</v>
      </c>
      <c r="D1810" s="60">
        <f>COUNTIF($K$7:K1810,K1810)</f>
        <v>0</v>
      </c>
      <c r="E1810" s="61"/>
      <c r="F1810" s="227">
        <v>44594</v>
      </c>
      <c r="G1810" s="228"/>
      <c r="H1810" s="228" t="s">
        <v>893</v>
      </c>
      <c r="I1810" s="228" t="s">
        <v>34</v>
      </c>
      <c r="J1810" s="64">
        <v>410.03</v>
      </c>
      <c r="K1810" s="65"/>
      <c r="L1810" s="224"/>
      <c r="M1810" s="231">
        <v>14400000</v>
      </c>
      <c r="N1810" s="231"/>
      <c r="O1810" s="61"/>
      <c r="P1810" s="69" t="str">
        <f t="shared" si="130"/>
        <v>Penjualan Exam</v>
      </c>
      <c r="Q1810" s="61"/>
    </row>
    <row r="1811" spans="1:17" hidden="1" x14ac:dyDescent="0.25">
      <c r="A1811" s="60" t="str">
        <f t="shared" si="128"/>
        <v>91410,03</v>
      </c>
      <c r="B1811" s="60">
        <f>COUNTIF($J$7:J1811,J1811)</f>
        <v>91</v>
      </c>
      <c r="C1811" s="60" t="str">
        <f t="shared" si="129"/>
        <v>0</v>
      </c>
      <c r="D1811" s="60">
        <f>COUNTIF($K$7:K1811,K1811)</f>
        <v>0</v>
      </c>
      <c r="E1811" s="61"/>
      <c r="F1811" s="227">
        <v>44594</v>
      </c>
      <c r="G1811" s="228"/>
      <c r="H1811" s="228" t="s">
        <v>893</v>
      </c>
      <c r="I1811" s="228" t="s">
        <v>34</v>
      </c>
      <c r="J1811" s="64">
        <v>410.03</v>
      </c>
      <c r="K1811" s="65"/>
      <c r="L1811" s="224"/>
      <c r="M1811" s="231">
        <v>840000</v>
      </c>
      <c r="N1811" s="231"/>
      <c r="O1811" s="61"/>
      <c r="P1811" s="69" t="str">
        <f t="shared" si="130"/>
        <v>Penjualan Exam</v>
      </c>
      <c r="Q1811" s="61"/>
    </row>
    <row r="1812" spans="1:17" hidden="1" x14ac:dyDescent="0.25">
      <c r="A1812" s="60" t="str">
        <f t="shared" si="128"/>
        <v>92410,03</v>
      </c>
      <c r="B1812" s="60">
        <f>COUNTIF($J$7:J1812,J1812)</f>
        <v>92</v>
      </c>
      <c r="C1812" s="60" t="str">
        <f t="shared" si="129"/>
        <v>0</v>
      </c>
      <c r="D1812" s="60">
        <f>COUNTIF($K$7:K1812,K1812)</f>
        <v>0</v>
      </c>
      <c r="E1812" s="61"/>
      <c r="F1812" s="227">
        <v>44594</v>
      </c>
      <c r="G1812" s="228"/>
      <c r="H1812" s="228" t="s">
        <v>894</v>
      </c>
      <c r="I1812" s="228" t="s">
        <v>34</v>
      </c>
      <c r="J1812" s="64">
        <v>410.03</v>
      </c>
      <c r="K1812" s="65"/>
      <c r="L1812" s="224"/>
      <c r="M1812" s="231">
        <v>600000</v>
      </c>
      <c r="N1812" s="231"/>
      <c r="O1812" s="61"/>
      <c r="P1812" s="69" t="str">
        <f t="shared" si="130"/>
        <v>Penjualan Exam</v>
      </c>
      <c r="Q1812" s="61"/>
    </row>
    <row r="1813" spans="1:17" hidden="1" x14ac:dyDescent="0.25">
      <c r="A1813" s="60" t="str">
        <f t="shared" si="128"/>
        <v>93410,03</v>
      </c>
      <c r="B1813" s="60">
        <f>COUNTIF($J$7:J1813,J1813)</f>
        <v>93</v>
      </c>
      <c r="C1813" s="60" t="str">
        <f t="shared" si="129"/>
        <v>0</v>
      </c>
      <c r="D1813" s="60">
        <f>COUNTIF($K$7:K1813,K1813)</f>
        <v>0</v>
      </c>
      <c r="E1813" s="61"/>
      <c r="F1813" s="227">
        <v>44594</v>
      </c>
      <c r="G1813" s="228"/>
      <c r="H1813" s="228" t="s">
        <v>894</v>
      </c>
      <c r="I1813" s="228" t="s">
        <v>34</v>
      </c>
      <c r="J1813" s="64">
        <v>410.03</v>
      </c>
      <c r="K1813" s="65"/>
      <c r="L1813" s="224"/>
      <c r="M1813" s="231">
        <v>2760000</v>
      </c>
      <c r="N1813" s="231"/>
      <c r="O1813" s="61"/>
      <c r="P1813" s="69" t="str">
        <f t="shared" si="130"/>
        <v>Penjualan Exam</v>
      </c>
      <c r="Q1813" s="61"/>
    </row>
    <row r="1814" spans="1:17" hidden="1" x14ac:dyDescent="0.25">
      <c r="A1814" s="60" t="str">
        <f t="shared" si="128"/>
        <v>94410,03</v>
      </c>
      <c r="B1814" s="60">
        <f>COUNTIF($J$7:J1814,J1814)</f>
        <v>94</v>
      </c>
      <c r="C1814" s="60" t="str">
        <f t="shared" si="129"/>
        <v>0</v>
      </c>
      <c r="D1814" s="60">
        <f>COUNTIF($K$7:K1814,K1814)</f>
        <v>0</v>
      </c>
      <c r="E1814" s="61"/>
      <c r="F1814" s="227">
        <v>44594</v>
      </c>
      <c r="G1814" s="228"/>
      <c r="H1814" s="228" t="s">
        <v>894</v>
      </c>
      <c r="I1814" s="228" t="s">
        <v>34</v>
      </c>
      <c r="J1814" s="64">
        <v>410.03</v>
      </c>
      <c r="K1814" s="65"/>
      <c r="L1814" s="224"/>
      <c r="M1814" s="231">
        <v>3480000</v>
      </c>
      <c r="N1814" s="231"/>
      <c r="O1814" s="61"/>
      <c r="P1814" s="69" t="str">
        <f t="shared" si="130"/>
        <v>Penjualan Exam</v>
      </c>
      <c r="Q1814" s="61"/>
    </row>
    <row r="1815" spans="1:17" hidden="1" x14ac:dyDescent="0.25">
      <c r="A1815" s="60" t="str">
        <f t="shared" si="128"/>
        <v>95410,03</v>
      </c>
      <c r="B1815" s="60">
        <f>COUNTIF($J$7:J1815,J1815)</f>
        <v>95</v>
      </c>
      <c r="C1815" s="60" t="str">
        <f t="shared" si="129"/>
        <v>0</v>
      </c>
      <c r="D1815" s="60">
        <f>COUNTIF($K$7:K1815,K1815)</f>
        <v>0</v>
      </c>
      <c r="E1815" s="61"/>
      <c r="F1815" s="227">
        <v>44594</v>
      </c>
      <c r="G1815" s="228"/>
      <c r="H1815" s="228" t="s">
        <v>894</v>
      </c>
      <c r="I1815" s="228" t="s">
        <v>34</v>
      </c>
      <c r="J1815" s="64">
        <v>410.03</v>
      </c>
      <c r="K1815" s="65"/>
      <c r="L1815" s="224"/>
      <c r="M1815" s="231">
        <v>480000</v>
      </c>
      <c r="N1815" s="231"/>
      <c r="O1815" s="61"/>
      <c r="P1815" s="69" t="str">
        <f t="shared" si="130"/>
        <v>Penjualan Exam</v>
      </c>
      <c r="Q1815" s="61"/>
    </row>
    <row r="1816" spans="1:17" hidden="1" x14ac:dyDescent="0.25">
      <c r="A1816" s="60" t="str">
        <f t="shared" si="128"/>
        <v>209410,01</v>
      </c>
      <c r="B1816" s="60">
        <f>COUNTIF($J$7:J1816,J1816)</f>
        <v>209</v>
      </c>
      <c r="C1816" s="60" t="str">
        <f t="shared" si="129"/>
        <v>0</v>
      </c>
      <c r="D1816" s="60">
        <f>COUNTIF($K$7:K1816,K1816)</f>
        <v>0</v>
      </c>
      <c r="E1816" s="61"/>
      <c r="F1816" s="227">
        <v>44594</v>
      </c>
      <c r="G1816" s="228"/>
      <c r="H1816" s="228" t="s">
        <v>895</v>
      </c>
      <c r="I1816" s="228" t="s">
        <v>34</v>
      </c>
      <c r="J1816" s="64">
        <v>410.01</v>
      </c>
      <c r="K1816" s="65"/>
      <c r="L1816" s="224"/>
      <c r="M1816" s="231">
        <v>1649992</v>
      </c>
      <c r="N1816" s="231"/>
      <c r="O1816" s="61"/>
      <c r="P1816" s="69" t="str">
        <f t="shared" si="130"/>
        <v>Penjualan Intouch</v>
      </c>
      <c r="Q1816" s="61"/>
    </row>
    <row r="1817" spans="1:17" hidden="1" x14ac:dyDescent="0.25">
      <c r="A1817" s="60" t="str">
        <f t="shared" si="128"/>
        <v>210410,01</v>
      </c>
      <c r="B1817" s="60">
        <f>COUNTIF($J$7:J1817,J1817)</f>
        <v>210</v>
      </c>
      <c r="C1817" s="60" t="str">
        <f t="shared" si="129"/>
        <v>0</v>
      </c>
      <c r="D1817" s="60">
        <f>COUNTIF($K$7:K1817,K1817)</f>
        <v>0</v>
      </c>
      <c r="E1817" s="61"/>
      <c r="F1817" s="227">
        <v>44595</v>
      </c>
      <c r="G1817" s="228"/>
      <c r="H1817" s="228" t="s">
        <v>896</v>
      </c>
      <c r="I1817" s="228" t="s">
        <v>34</v>
      </c>
      <c r="J1817" s="64">
        <v>410.01</v>
      </c>
      <c r="K1817" s="65"/>
      <c r="L1817" s="224"/>
      <c r="M1817" s="231">
        <v>1099995</v>
      </c>
      <c r="N1817" s="231"/>
      <c r="O1817" s="61"/>
      <c r="P1817" s="69" t="str">
        <f t="shared" si="130"/>
        <v>Penjualan Intouch</v>
      </c>
      <c r="Q1817" s="61"/>
    </row>
    <row r="1818" spans="1:17" hidden="1" x14ac:dyDescent="0.25">
      <c r="A1818" s="60" t="str">
        <f t="shared" si="128"/>
        <v>211410,01</v>
      </c>
      <c r="B1818" s="60">
        <f>COUNTIF($J$7:J1818,J1818)</f>
        <v>211</v>
      </c>
      <c r="C1818" s="60" t="str">
        <f t="shared" si="129"/>
        <v>0</v>
      </c>
      <c r="D1818" s="60">
        <f>COUNTIF($K$7:K1818,K1818)</f>
        <v>0</v>
      </c>
      <c r="E1818" s="61"/>
      <c r="F1818" s="227">
        <v>44595</v>
      </c>
      <c r="G1818" s="228"/>
      <c r="H1818" s="228" t="s">
        <v>896</v>
      </c>
      <c r="I1818" s="228" t="s">
        <v>34</v>
      </c>
      <c r="J1818" s="64">
        <v>410.01</v>
      </c>
      <c r="K1818" s="65"/>
      <c r="L1818" s="224"/>
      <c r="M1818" s="231">
        <v>549997</v>
      </c>
      <c r="N1818" s="231"/>
      <c r="O1818" s="61"/>
      <c r="P1818" s="69" t="str">
        <f t="shared" si="130"/>
        <v>Penjualan Intouch</v>
      </c>
      <c r="Q1818" s="61"/>
    </row>
    <row r="1819" spans="1:17" hidden="1" x14ac:dyDescent="0.25">
      <c r="A1819" s="60" t="str">
        <f t="shared" si="128"/>
        <v>212410,01</v>
      </c>
      <c r="B1819" s="60">
        <f>COUNTIF($J$7:J1819,J1819)</f>
        <v>212</v>
      </c>
      <c r="C1819" s="60" t="str">
        <f t="shared" si="129"/>
        <v>0</v>
      </c>
      <c r="D1819" s="60">
        <f>COUNTIF($K$7:K1819,K1819)</f>
        <v>0</v>
      </c>
      <c r="E1819" s="61"/>
      <c r="F1819" s="227">
        <v>44599</v>
      </c>
      <c r="G1819" s="228"/>
      <c r="H1819" s="228" t="s">
        <v>897</v>
      </c>
      <c r="I1819" s="228" t="s">
        <v>34</v>
      </c>
      <c r="J1819" s="64">
        <v>410.01</v>
      </c>
      <c r="K1819" s="65"/>
      <c r="L1819" s="224"/>
      <c r="M1819" s="231">
        <v>2199990</v>
      </c>
      <c r="N1819" s="231"/>
      <c r="O1819" s="61"/>
      <c r="P1819" s="69" t="str">
        <f t="shared" si="130"/>
        <v>Penjualan Intouch</v>
      </c>
      <c r="Q1819" s="61"/>
    </row>
    <row r="1820" spans="1:17" hidden="1" x14ac:dyDescent="0.25">
      <c r="A1820" s="60" t="str">
        <f t="shared" si="128"/>
        <v>213410,01</v>
      </c>
      <c r="B1820" s="60">
        <f>COUNTIF($J$7:J1820,J1820)</f>
        <v>213</v>
      </c>
      <c r="C1820" s="60" t="str">
        <f t="shared" si="129"/>
        <v>0</v>
      </c>
      <c r="D1820" s="60">
        <f>COUNTIF($K$7:K1820,K1820)</f>
        <v>0</v>
      </c>
      <c r="E1820" s="61"/>
      <c r="F1820" s="227">
        <v>44600</v>
      </c>
      <c r="G1820" s="228"/>
      <c r="H1820" s="228" t="s">
        <v>898</v>
      </c>
      <c r="I1820" s="228" t="s">
        <v>34</v>
      </c>
      <c r="J1820" s="64">
        <v>410.01</v>
      </c>
      <c r="K1820" s="65"/>
      <c r="L1820" s="224"/>
      <c r="M1820" s="231">
        <v>1099995</v>
      </c>
      <c r="N1820" s="231"/>
      <c r="O1820" s="61"/>
      <c r="P1820" s="69" t="str">
        <f t="shared" si="130"/>
        <v>Penjualan Intouch</v>
      </c>
      <c r="Q1820" s="61"/>
    </row>
    <row r="1821" spans="1:17" hidden="1" x14ac:dyDescent="0.25">
      <c r="A1821" s="60" t="str">
        <f t="shared" si="128"/>
        <v>214410,01</v>
      </c>
      <c r="B1821" s="60">
        <f>COUNTIF($J$7:J1821,J1821)</f>
        <v>214</v>
      </c>
      <c r="C1821" s="60" t="str">
        <f t="shared" si="129"/>
        <v>0</v>
      </c>
      <c r="D1821" s="60">
        <f>COUNTIF($K$7:K1821,K1821)</f>
        <v>0</v>
      </c>
      <c r="E1821" s="61"/>
      <c r="F1821" s="227">
        <v>44600</v>
      </c>
      <c r="G1821" s="228"/>
      <c r="H1821" s="228" t="s">
        <v>899</v>
      </c>
      <c r="I1821" s="228" t="s">
        <v>34</v>
      </c>
      <c r="J1821" s="64">
        <v>410.01</v>
      </c>
      <c r="K1821" s="65"/>
      <c r="L1821" s="224"/>
      <c r="M1821" s="231">
        <v>2749987</v>
      </c>
      <c r="N1821" s="231"/>
      <c r="O1821" s="61"/>
      <c r="P1821" s="69" t="str">
        <f t="shared" si="130"/>
        <v>Penjualan Intouch</v>
      </c>
      <c r="Q1821" s="61"/>
    </row>
    <row r="1822" spans="1:17" hidden="1" x14ac:dyDescent="0.25">
      <c r="A1822" s="60" t="str">
        <f t="shared" si="128"/>
        <v>215410,01</v>
      </c>
      <c r="B1822" s="60">
        <f>COUNTIF($J$7:J1822,J1822)</f>
        <v>215</v>
      </c>
      <c r="C1822" s="60" t="str">
        <f t="shared" si="129"/>
        <v>0</v>
      </c>
      <c r="D1822" s="60">
        <f>COUNTIF($K$7:K1822,K1822)</f>
        <v>0</v>
      </c>
      <c r="E1822" s="61"/>
      <c r="F1822" s="227">
        <v>44601</v>
      </c>
      <c r="G1822" s="228"/>
      <c r="H1822" s="228" t="s">
        <v>900</v>
      </c>
      <c r="I1822" s="228" t="s">
        <v>34</v>
      </c>
      <c r="J1822" s="64">
        <v>410.01</v>
      </c>
      <c r="K1822" s="65"/>
      <c r="L1822" s="224"/>
      <c r="M1822" s="231">
        <v>1649992</v>
      </c>
      <c r="N1822" s="231"/>
      <c r="O1822" s="61"/>
      <c r="P1822" s="69" t="str">
        <f t="shared" si="130"/>
        <v>Penjualan Intouch</v>
      </c>
      <c r="Q1822" s="61"/>
    </row>
    <row r="1823" spans="1:17" hidden="1" x14ac:dyDescent="0.25">
      <c r="A1823" s="60" t="str">
        <f t="shared" si="128"/>
        <v>216410,01</v>
      </c>
      <c r="B1823" s="60">
        <f>COUNTIF($J$7:J1823,J1823)</f>
        <v>216</v>
      </c>
      <c r="C1823" s="60" t="str">
        <f t="shared" si="129"/>
        <v>0</v>
      </c>
      <c r="D1823" s="60">
        <f>COUNTIF($K$7:K1823,K1823)</f>
        <v>0</v>
      </c>
      <c r="E1823" s="61"/>
      <c r="F1823" s="227">
        <v>44602</v>
      </c>
      <c r="G1823" s="228"/>
      <c r="H1823" s="228" t="s">
        <v>901</v>
      </c>
      <c r="I1823" s="228" t="s">
        <v>34</v>
      </c>
      <c r="J1823" s="64">
        <v>410.01</v>
      </c>
      <c r="K1823" s="65"/>
      <c r="L1823" s="224"/>
      <c r="M1823" s="231">
        <v>549997</v>
      </c>
      <c r="N1823" s="231"/>
      <c r="O1823" s="61"/>
      <c r="P1823" s="69" t="str">
        <f t="shared" si="130"/>
        <v>Penjualan Intouch</v>
      </c>
      <c r="Q1823" s="61"/>
    </row>
    <row r="1824" spans="1:17" hidden="1" x14ac:dyDescent="0.25">
      <c r="A1824" s="60" t="str">
        <f t="shared" si="128"/>
        <v>217410,01</v>
      </c>
      <c r="B1824" s="60">
        <f>COUNTIF($J$7:J1824,J1824)</f>
        <v>217</v>
      </c>
      <c r="C1824" s="60" t="str">
        <f t="shared" si="129"/>
        <v>0</v>
      </c>
      <c r="D1824" s="60">
        <f>COUNTIF($K$7:K1824,K1824)</f>
        <v>0</v>
      </c>
      <c r="E1824" s="61"/>
      <c r="F1824" s="227">
        <v>44606</v>
      </c>
      <c r="G1824" s="228"/>
      <c r="H1824" s="228" t="s">
        <v>902</v>
      </c>
      <c r="I1824" s="228" t="s">
        <v>34</v>
      </c>
      <c r="J1824" s="64">
        <v>410.01</v>
      </c>
      <c r="K1824" s="65"/>
      <c r="L1824" s="224"/>
      <c r="M1824" s="231">
        <v>1649992</v>
      </c>
      <c r="N1824" s="231"/>
      <c r="O1824" s="61"/>
      <c r="P1824" s="69" t="str">
        <f t="shared" si="130"/>
        <v>Penjualan Intouch</v>
      </c>
      <c r="Q1824" s="61"/>
    </row>
    <row r="1825" spans="1:17" hidden="1" x14ac:dyDescent="0.25">
      <c r="A1825" s="60" t="str">
        <f t="shared" si="128"/>
        <v>218410,01</v>
      </c>
      <c r="B1825" s="60">
        <f>COUNTIF($J$7:J1825,J1825)</f>
        <v>218</v>
      </c>
      <c r="C1825" s="60" t="str">
        <f t="shared" si="129"/>
        <v>0</v>
      </c>
      <c r="D1825" s="60">
        <f>COUNTIF($K$7:K1825,K1825)</f>
        <v>0</v>
      </c>
      <c r="E1825" s="61"/>
      <c r="F1825" s="227">
        <v>44606</v>
      </c>
      <c r="G1825" s="228"/>
      <c r="H1825" s="228" t="s">
        <v>902</v>
      </c>
      <c r="I1825" s="228" t="s">
        <v>34</v>
      </c>
      <c r="J1825" s="64">
        <v>410.01</v>
      </c>
      <c r="K1825" s="65"/>
      <c r="L1825" s="224"/>
      <c r="M1825" s="231">
        <v>1099995</v>
      </c>
      <c r="N1825" s="231"/>
      <c r="O1825" s="61"/>
      <c r="P1825" s="69" t="str">
        <f t="shared" si="130"/>
        <v>Penjualan Intouch</v>
      </c>
      <c r="Q1825" s="61"/>
    </row>
    <row r="1826" spans="1:17" hidden="1" x14ac:dyDescent="0.25">
      <c r="A1826" s="60" t="str">
        <f t="shared" si="128"/>
        <v>96410,03</v>
      </c>
      <c r="B1826" s="60">
        <f>COUNTIF($J$7:J1826,J1826)</f>
        <v>96</v>
      </c>
      <c r="C1826" s="60" t="str">
        <f t="shared" si="129"/>
        <v>0</v>
      </c>
      <c r="D1826" s="60">
        <f>COUNTIF($K$7:K1826,K1826)</f>
        <v>0</v>
      </c>
      <c r="E1826" s="61"/>
      <c r="F1826" s="227">
        <v>44606</v>
      </c>
      <c r="G1826" s="228"/>
      <c r="H1826" s="228" t="s">
        <v>903</v>
      </c>
      <c r="I1826" s="228" t="s">
        <v>34</v>
      </c>
      <c r="J1826" s="64">
        <v>410.03</v>
      </c>
      <c r="K1826" s="65"/>
      <c r="L1826" s="224"/>
      <c r="M1826" s="231">
        <v>5750000</v>
      </c>
      <c r="N1826" s="231"/>
      <c r="O1826" s="61"/>
      <c r="P1826" s="69" t="str">
        <f t="shared" si="130"/>
        <v>Penjualan Exam</v>
      </c>
      <c r="Q1826" s="61"/>
    </row>
    <row r="1827" spans="1:17" hidden="1" x14ac:dyDescent="0.25">
      <c r="A1827" s="60" t="str">
        <f t="shared" si="128"/>
        <v>97410,03</v>
      </c>
      <c r="B1827" s="60">
        <f>COUNTIF($J$7:J1827,J1827)</f>
        <v>97</v>
      </c>
      <c r="C1827" s="60" t="str">
        <f t="shared" si="129"/>
        <v>0</v>
      </c>
      <c r="D1827" s="60">
        <f>COUNTIF($K$7:K1827,K1827)</f>
        <v>0</v>
      </c>
      <c r="E1827" s="61"/>
      <c r="F1827" s="227">
        <v>44606</v>
      </c>
      <c r="G1827" s="228"/>
      <c r="H1827" s="228" t="s">
        <v>904</v>
      </c>
      <c r="I1827" s="228" t="s">
        <v>34</v>
      </c>
      <c r="J1827" s="64">
        <v>410.03</v>
      </c>
      <c r="K1827" s="65"/>
      <c r="L1827" s="224"/>
      <c r="M1827" s="231">
        <v>575000</v>
      </c>
      <c r="N1827" s="231"/>
      <c r="O1827" s="61"/>
      <c r="P1827" s="69" t="str">
        <f t="shared" si="130"/>
        <v>Penjualan Exam</v>
      </c>
      <c r="Q1827" s="61"/>
    </row>
    <row r="1828" spans="1:17" hidden="1" x14ac:dyDescent="0.25">
      <c r="A1828" s="60" t="str">
        <f t="shared" si="128"/>
        <v>219410,01</v>
      </c>
      <c r="B1828" s="60">
        <f>COUNTIF($J$7:J1828,J1828)</f>
        <v>219</v>
      </c>
      <c r="C1828" s="60" t="str">
        <f t="shared" si="129"/>
        <v>0</v>
      </c>
      <c r="D1828" s="60">
        <f>COUNTIF($K$7:K1828,K1828)</f>
        <v>0</v>
      </c>
      <c r="E1828" s="61"/>
      <c r="F1828" s="227">
        <v>44608</v>
      </c>
      <c r="G1828" s="228"/>
      <c r="H1828" s="228" t="s">
        <v>905</v>
      </c>
      <c r="I1828" s="228" t="s">
        <v>34</v>
      </c>
      <c r="J1828" s="64">
        <v>410.01</v>
      </c>
      <c r="K1828" s="65"/>
      <c r="L1828" s="224"/>
      <c r="M1828" s="231">
        <v>2199990</v>
      </c>
      <c r="N1828" s="231"/>
      <c r="O1828" s="61"/>
      <c r="P1828" s="69" t="str">
        <f t="shared" si="130"/>
        <v>Penjualan Intouch</v>
      </c>
      <c r="Q1828" s="61"/>
    </row>
    <row r="1829" spans="1:17" hidden="1" x14ac:dyDescent="0.25">
      <c r="A1829" s="60" t="str">
        <f t="shared" si="128"/>
        <v>220410,01</v>
      </c>
      <c r="B1829" s="60">
        <f>COUNTIF($J$7:J1829,J1829)</f>
        <v>220</v>
      </c>
      <c r="C1829" s="60" t="str">
        <f t="shared" si="129"/>
        <v>0</v>
      </c>
      <c r="D1829" s="60">
        <f>COUNTIF($K$7:K1829,K1829)</f>
        <v>0</v>
      </c>
      <c r="E1829" s="61"/>
      <c r="F1829" s="227">
        <v>44608</v>
      </c>
      <c r="G1829" s="228"/>
      <c r="H1829" s="228" t="s">
        <v>905</v>
      </c>
      <c r="I1829" s="228" t="s">
        <v>34</v>
      </c>
      <c r="J1829" s="64">
        <v>410.01</v>
      </c>
      <c r="K1829" s="65"/>
      <c r="L1829" s="224"/>
      <c r="M1829" s="231">
        <v>1649992</v>
      </c>
      <c r="N1829" s="231"/>
      <c r="O1829" s="61"/>
      <c r="P1829" s="69" t="str">
        <f t="shared" si="130"/>
        <v>Penjualan Intouch</v>
      </c>
      <c r="Q1829" s="61"/>
    </row>
    <row r="1830" spans="1:17" hidden="1" x14ac:dyDescent="0.25">
      <c r="A1830" s="60" t="str">
        <f t="shared" si="128"/>
        <v>98410,03</v>
      </c>
      <c r="B1830" s="60">
        <f>COUNTIF($J$7:J1830,J1830)</f>
        <v>98</v>
      </c>
      <c r="C1830" s="60" t="str">
        <f t="shared" si="129"/>
        <v>0</v>
      </c>
      <c r="D1830" s="60">
        <f>COUNTIF($K$7:K1830,K1830)</f>
        <v>0</v>
      </c>
      <c r="E1830" s="61"/>
      <c r="F1830" s="227">
        <v>44610</v>
      </c>
      <c r="G1830" s="228"/>
      <c r="H1830" s="228" t="s">
        <v>906</v>
      </c>
      <c r="I1830" s="228" t="s">
        <v>34</v>
      </c>
      <c r="J1830" s="64">
        <v>410.03</v>
      </c>
      <c r="K1830" s="65"/>
      <c r="L1830" s="224"/>
      <c r="M1830" s="231">
        <v>1380000</v>
      </c>
      <c r="N1830" s="231"/>
      <c r="O1830" s="61"/>
      <c r="P1830" s="69" t="str">
        <f t="shared" si="130"/>
        <v>Penjualan Exam</v>
      </c>
      <c r="Q1830" s="61"/>
    </row>
    <row r="1831" spans="1:17" hidden="1" x14ac:dyDescent="0.25">
      <c r="A1831" s="60" t="str">
        <f t="shared" si="128"/>
        <v>221410,01</v>
      </c>
      <c r="B1831" s="60">
        <f>COUNTIF($J$7:J1831,J1831)</f>
        <v>221</v>
      </c>
      <c r="C1831" s="60" t="str">
        <f t="shared" si="129"/>
        <v>0</v>
      </c>
      <c r="D1831" s="60">
        <f>COUNTIF($K$7:K1831,K1831)</f>
        <v>0</v>
      </c>
      <c r="E1831" s="61"/>
      <c r="F1831" s="227">
        <v>44614</v>
      </c>
      <c r="G1831" s="228"/>
      <c r="H1831" s="228" t="s">
        <v>907</v>
      </c>
      <c r="I1831" s="228" t="s">
        <v>34</v>
      </c>
      <c r="J1831" s="64">
        <v>410.01</v>
      </c>
      <c r="K1831" s="65"/>
      <c r="L1831" s="224"/>
      <c r="M1831" s="231">
        <v>549997.5</v>
      </c>
      <c r="N1831" s="231"/>
      <c r="O1831" s="61"/>
      <c r="P1831" s="69" t="str">
        <f t="shared" si="130"/>
        <v>Penjualan Intouch</v>
      </c>
      <c r="Q1831" s="61"/>
    </row>
    <row r="1832" spans="1:17" hidden="1" x14ac:dyDescent="0.25">
      <c r="A1832" s="60" t="str">
        <f t="shared" si="128"/>
        <v>222410,01</v>
      </c>
      <c r="B1832" s="60">
        <f>COUNTIF($J$7:J1832,J1832)</f>
        <v>222</v>
      </c>
      <c r="C1832" s="60" t="str">
        <f t="shared" si="129"/>
        <v>0</v>
      </c>
      <c r="D1832" s="60">
        <f>COUNTIF($K$7:K1832,K1832)</f>
        <v>0</v>
      </c>
      <c r="E1832" s="61"/>
      <c r="F1832" s="227">
        <v>44614</v>
      </c>
      <c r="G1832" s="228"/>
      <c r="H1832" s="228" t="s">
        <v>907</v>
      </c>
      <c r="I1832" s="228" t="s">
        <v>34</v>
      </c>
      <c r="J1832" s="64">
        <v>410.01</v>
      </c>
      <c r="K1832" s="65"/>
      <c r="L1832" s="224"/>
      <c r="M1832" s="231">
        <v>1099995</v>
      </c>
      <c r="N1832" s="231"/>
      <c r="O1832" s="61"/>
      <c r="P1832" s="69" t="str">
        <f t="shared" si="130"/>
        <v>Penjualan Intouch</v>
      </c>
      <c r="Q1832" s="61"/>
    </row>
    <row r="1833" spans="1:17" hidden="1" x14ac:dyDescent="0.25">
      <c r="A1833" s="60" t="str">
        <f t="shared" si="128"/>
        <v>223410,01</v>
      </c>
      <c r="B1833" s="60">
        <f>COUNTIF($J$7:J1833,J1833)</f>
        <v>223</v>
      </c>
      <c r="C1833" s="60" t="str">
        <f t="shared" si="129"/>
        <v>0</v>
      </c>
      <c r="D1833" s="60">
        <f>COUNTIF($K$7:K1833,K1833)</f>
        <v>0</v>
      </c>
      <c r="E1833" s="61"/>
      <c r="F1833" s="227">
        <v>44614</v>
      </c>
      <c r="G1833" s="228"/>
      <c r="H1833" s="228" t="s">
        <v>907</v>
      </c>
      <c r="I1833" s="228" t="s">
        <v>34</v>
      </c>
      <c r="J1833" s="64">
        <v>410.01</v>
      </c>
      <c r="K1833" s="65"/>
      <c r="L1833" s="224"/>
      <c r="M1833" s="231">
        <v>549997.5</v>
      </c>
      <c r="N1833" s="231"/>
      <c r="O1833" s="61"/>
      <c r="P1833" s="69" t="str">
        <f t="shared" si="130"/>
        <v>Penjualan Intouch</v>
      </c>
      <c r="Q1833" s="61"/>
    </row>
    <row r="1834" spans="1:17" hidden="1" x14ac:dyDescent="0.25">
      <c r="A1834" s="60" t="str">
        <f t="shared" si="128"/>
        <v>224410,01</v>
      </c>
      <c r="B1834" s="60">
        <f>COUNTIF($J$7:J1834,J1834)</f>
        <v>224</v>
      </c>
      <c r="C1834" s="60" t="str">
        <f t="shared" si="129"/>
        <v>0</v>
      </c>
      <c r="D1834" s="60">
        <f>COUNTIF($K$7:K1834,K1834)</f>
        <v>0</v>
      </c>
      <c r="E1834" s="61"/>
      <c r="F1834" s="227">
        <v>44614</v>
      </c>
      <c r="G1834" s="228"/>
      <c r="H1834" s="228" t="s">
        <v>908</v>
      </c>
      <c r="I1834" s="228" t="s">
        <v>34</v>
      </c>
      <c r="J1834" s="64">
        <v>410.01</v>
      </c>
      <c r="K1834" s="65"/>
      <c r="L1834" s="224"/>
      <c r="M1834" s="231">
        <v>1649992</v>
      </c>
      <c r="N1834" s="231"/>
      <c r="O1834" s="61"/>
      <c r="P1834" s="69" t="str">
        <f t="shared" si="130"/>
        <v>Penjualan Intouch</v>
      </c>
      <c r="Q1834" s="61"/>
    </row>
    <row r="1835" spans="1:17" hidden="1" x14ac:dyDescent="0.25">
      <c r="A1835" s="60" t="str">
        <f t="shared" si="128"/>
        <v>225410,01</v>
      </c>
      <c r="B1835" s="60">
        <f>COUNTIF($J$7:J1835,J1835)</f>
        <v>225</v>
      </c>
      <c r="C1835" s="60" t="str">
        <f t="shared" si="129"/>
        <v>0</v>
      </c>
      <c r="D1835" s="60">
        <f>COUNTIF($K$7:K1835,K1835)</f>
        <v>0</v>
      </c>
      <c r="E1835" s="61"/>
      <c r="F1835" s="227">
        <v>44615</v>
      </c>
      <c r="G1835" s="228"/>
      <c r="H1835" s="228" t="s">
        <v>909</v>
      </c>
      <c r="I1835" s="228" t="s">
        <v>34</v>
      </c>
      <c r="J1835" s="64">
        <v>410.01</v>
      </c>
      <c r="K1835" s="65"/>
      <c r="L1835" s="224"/>
      <c r="M1835" s="231">
        <v>1099995</v>
      </c>
      <c r="N1835" s="231"/>
      <c r="O1835" s="61"/>
      <c r="P1835" s="69" t="str">
        <f t="shared" si="130"/>
        <v>Penjualan Intouch</v>
      </c>
      <c r="Q1835" s="61"/>
    </row>
    <row r="1836" spans="1:17" hidden="1" x14ac:dyDescent="0.25">
      <c r="A1836" s="60" t="str">
        <f t="shared" si="128"/>
        <v>99410,03</v>
      </c>
      <c r="B1836" s="60">
        <f>COUNTIF($J$7:J1836,J1836)</f>
        <v>99</v>
      </c>
      <c r="C1836" s="60" t="str">
        <f t="shared" si="129"/>
        <v>0</v>
      </c>
      <c r="D1836" s="60">
        <f>COUNTIF($K$7:K1836,K1836)</f>
        <v>0</v>
      </c>
      <c r="E1836" s="61"/>
      <c r="F1836" s="227">
        <v>44615</v>
      </c>
      <c r="G1836" s="228"/>
      <c r="H1836" s="228" t="s">
        <v>910</v>
      </c>
      <c r="I1836" s="228" t="s">
        <v>34</v>
      </c>
      <c r="J1836" s="64">
        <v>410.03</v>
      </c>
      <c r="K1836" s="65"/>
      <c r="L1836" s="224"/>
      <c r="M1836" s="231">
        <v>345000</v>
      </c>
      <c r="N1836" s="231"/>
      <c r="O1836" s="61"/>
      <c r="P1836" s="69" t="str">
        <f t="shared" si="130"/>
        <v>Penjualan Exam</v>
      </c>
      <c r="Q1836" s="61"/>
    </row>
    <row r="1837" spans="1:17" hidden="1" x14ac:dyDescent="0.25">
      <c r="A1837" s="60" t="str">
        <f t="shared" si="128"/>
        <v>226410,01</v>
      </c>
      <c r="B1837" s="60">
        <f>COUNTIF($J$7:J1837,J1837)</f>
        <v>226</v>
      </c>
      <c r="C1837" s="60" t="str">
        <f t="shared" si="129"/>
        <v>0</v>
      </c>
      <c r="D1837" s="60">
        <f>COUNTIF($K$7:K1837,K1837)</f>
        <v>0</v>
      </c>
      <c r="E1837" s="61"/>
      <c r="F1837" s="227">
        <v>44616</v>
      </c>
      <c r="G1837" s="228"/>
      <c r="H1837" s="228" t="s">
        <v>911</v>
      </c>
      <c r="I1837" s="228" t="s">
        <v>34</v>
      </c>
      <c r="J1837" s="64">
        <v>410.01</v>
      </c>
      <c r="K1837" s="65"/>
      <c r="L1837" s="224"/>
      <c r="M1837" s="231">
        <v>2199990</v>
      </c>
      <c r="N1837" s="231"/>
      <c r="O1837" s="61"/>
      <c r="P1837" s="69" t="str">
        <f t="shared" si="130"/>
        <v>Penjualan Intouch</v>
      </c>
      <c r="Q1837" s="61"/>
    </row>
    <row r="1838" spans="1:17" hidden="1" x14ac:dyDescent="0.25">
      <c r="A1838" s="60" t="str">
        <f t="shared" si="128"/>
        <v>227410,01</v>
      </c>
      <c r="B1838" s="60">
        <f>COUNTIF($J$7:J1838,J1838)</f>
        <v>227</v>
      </c>
      <c r="C1838" s="60" t="str">
        <f t="shared" si="129"/>
        <v>0</v>
      </c>
      <c r="D1838" s="60">
        <f>COUNTIF($K$7:K1838,K1838)</f>
        <v>0</v>
      </c>
      <c r="E1838" s="61"/>
      <c r="F1838" s="227">
        <v>44616</v>
      </c>
      <c r="G1838" s="228"/>
      <c r="H1838" s="228" t="s">
        <v>911</v>
      </c>
      <c r="I1838" s="228" t="s">
        <v>34</v>
      </c>
      <c r="J1838" s="64">
        <v>410.01</v>
      </c>
      <c r="K1838" s="65"/>
      <c r="L1838" s="224"/>
      <c r="M1838" s="231">
        <v>1649992</v>
      </c>
      <c r="N1838" s="231"/>
      <c r="O1838" s="61"/>
      <c r="P1838" s="69" t="str">
        <f t="shared" si="130"/>
        <v>Penjualan Intouch</v>
      </c>
      <c r="Q1838" s="61"/>
    </row>
    <row r="1839" spans="1:17" hidden="1" x14ac:dyDescent="0.25">
      <c r="A1839" s="60" t="str">
        <f t="shared" si="128"/>
        <v>100410,03</v>
      </c>
      <c r="B1839" s="60">
        <f>COUNTIF($J$7:J1839,J1839)</f>
        <v>100</v>
      </c>
      <c r="C1839" s="60" t="str">
        <f t="shared" si="129"/>
        <v>0</v>
      </c>
      <c r="D1839" s="60">
        <f>COUNTIF($K$7:K1839,K1839)</f>
        <v>0</v>
      </c>
      <c r="E1839" s="61"/>
      <c r="F1839" s="227">
        <v>44617</v>
      </c>
      <c r="G1839" s="228"/>
      <c r="H1839" s="228" t="s">
        <v>912</v>
      </c>
      <c r="I1839" s="228" t="s">
        <v>34</v>
      </c>
      <c r="J1839" s="64">
        <v>410.03</v>
      </c>
      <c r="K1839" s="65"/>
      <c r="L1839" s="224"/>
      <c r="M1839" s="231">
        <v>14950000</v>
      </c>
      <c r="N1839" s="231"/>
      <c r="O1839" s="61"/>
      <c r="P1839" s="69" t="str">
        <f t="shared" si="130"/>
        <v>Penjualan Exam</v>
      </c>
      <c r="Q1839" s="61"/>
    </row>
    <row r="1840" spans="1:17" hidden="1" x14ac:dyDescent="0.25">
      <c r="A1840" s="60" t="str">
        <f t="shared" si="128"/>
        <v>228410,01</v>
      </c>
      <c r="B1840" s="60">
        <f>COUNTIF($J$7:J1840,J1840)</f>
        <v>228</v>
      </c>
      <c r="C1840" s="60" t="str">
        <f t="shared" si="129"/>
        <v>0</v>
      </c>
      <c r="D1840" s="60">
        <f>COUNTIF($K$7:K1840,K1840)</f>
        <v>0</v>
      </c>
      <c r="E1840" s="61"/>
      <c r="F1840" s="227">
        <v>44617</v>
      </c>
      <c r="G1840" s="228"/>
      <c r="H1840" s="228" t="s">
        <v>913</v>
      </c>
      <c r="I1840" s="228" t="s">
        <v>34</v>
      </c>
      <c r="J1840" s="64">
        <v>410.01</v>
      </c>
      <c r="K1840" s="65"/>
      <c r="L1840" s="224"/>
      <c r="M1840" s="231">
        <v>1099995</v>
      </c>
      <c r="N1840" s="231"/>
      <c r="O1840" s="61"/>
      <c r="P1840" s="69" t="str">
        <f t="shared" si="130"/>
        <v>Penjualan Intouch</v>
      </c>
      <c r="Q1840" s="61"/>
    </row>
    <row r="1841" spans="1:17" hidden="1" x14ac:dyDescent="0.25">
      <c r="A1841" s="60" t="str">
        <f t="shared" si="128"/>
        <v>229410,01</v>
      </c>
      <c r="B1841" s="60">
        <f>COUNTIF($J$7:J1841,J1841)</f>
        <v>229</v>
      </c>
      <c r="C1841" s="60" t="str">
        <f t="shared" si="129"/>
        <v>0</v>
      </c>
      <c r="D1841" s="60">
        <f>COUNTIF($K$7:K1841,K1841)</f>
        <v>0</v>
      </c>
      <c r="E1841" s="61"/>
      <c r="F1841" s="227">
        <v>44609</v>
      </c>
      <c r="G1841" s="228"/>
      <c r="H1841" s="228" t="s">
        <v>914</v>
      </c>
      <c r="I1841" s="228" t="s">
        <v>915</v>
      </c>
      <c r="J1841" s="64">
        <v>410.01</v>
      </c>
      <c r="K1841" s="65"/>
      <c r="L1841" s="224"/>
      <c r="M1841" s="231">
        <v>2040000</v>
      </c>
      <c r="N1841" s="231"/>
      <c r="O1841" s="61"/>
      <c r="P1841" s="69" t="str">
        <f t="shared" si="130"/>
        <v>Penjualan Intouch</v>
      </c>
      <c r="Q1841" s="61"/>
    </row>
    <row r="1842" spans="1:17" hidden="1" x14ac:dyDescent="0.25">
      <c r="A1842" s="60" t="str">
        <f t="shared" si="128"/>
        <v>230410,01</v>
      </c>
      <c r="B1842" s="60">
        <f>COUNTIF($J$7:J1842,J1842)</f>
        <v>230</v>
      </c>
      <c r="C1842" s="60" t="str">
        <f t="shared" si="129"/>
        <v>0</v>
      </c>
      <c r="D1842" s="60">
        <f>COUNTIF($K$7:K1842,K1842)</f>
        <v>0</v>
      </c>
      <c r="E1842" s="61"/>
      <c r="F1842" s="227">
        <v>44609</v>
      </c>
      <c r="G1842" s="228"/>
      <c r="H1842" s="228" t="s">
        <v>914</v>
      </c>
      <c r="I1842" s="228" t="s">
        <v>915</v>
      </c>
      <c r="J1842" s="64">
        <v>410.01</v>
      </c>
      <c r="K1842" s="65"/>
      <c r="L1842" s="224"/>
      <c r="M1842" s="231">
        <v>2040000</v>
      </c>
      <c r="N1842" s="231"/>
      <c r="O1842" s="61"/>
      <c r="P1842" s="69" t="str">
        <f t="shared" si="130"/>
        <v>Penjualan Intouch</v>
      </c>
      <c r="Q1842" s="61"/>
    </row>
    <row r="1843" spans="1:17" hidden="1" x14ac:dyDescent="0.25">
      <c r="A1843" s="60" t="str">
        <f t="shared" si="128"/>
        <v>231410,01</v>
      </c>
      <c r="B1843" s="60">
        <f>COUNTIF($J$7:J1843,J1843)</f>
        <v>231</v>
      </c>
      <c r="C1843" s="60" t="str">
        <f t="shared" si="129"/>
        <v>0</v>
      </c>
      <c r="D1843" s="60">
        <f>COUNTIF($K$7:K1843,K1843)</f>
        <v>0</v>
      </c>
      <c r="E1843" s="61"/>
      <c r="F1843" s="227">
        <v>44609</v>
      </c>
      <c r="G1843" s="228"/>
      <c r="H1843" s="228" t="s">
        <v>914</v>
      </c>
      <c r="I1843" s="228" t="s">
        <v>915</v>
      </c>
      <c r="J1843" s="64">
        <v>410.01</v>
      </c>
      <c r="K1843" s="65"/>
      <c r="L1843" s="224"/>
      <c r="M1843" s="231">
        <v>2040000</v>
      </c>
      <c r="N1843" s="231"/>
      <c r="O1843" s="61"/>
      <c r="P1843" s="69" t="str">
        <f t="shared" si="130"/>
        <v>Penjualan Intouch</v>
      </c>
      <c r="Q1843" s="61"/>
    </row>
    <row r="1844" spans="1:17" hidden="1" x14ac:dyDescent="0.25">
      <c r="A1844" s="60" t="str">
        <f t="shared" si="128"/>
        <v>232410,01</v>
      </c>
      <c r="B1844" s="60">
        <f>COUNTIF($J$7:J1844,J1844)</f>
        <v>232</v>
      </c>
      <c r="C1844" s="60" t="str">
        <f t="shared" si="129"/>
        <v>0</v>
      </c>
      <c r="D1844" s="60">
        <f>COUNTIF($K$7:K1844,K1844)</f>
        <v>0</v>
      </c>
      <c r="E1844" s="61"/>
      <c r="F1844" s="227">
        <v>44609</v>
      </c>
      <c r="G1844" s="228"/>
      <c r="H1844" s="228" t="s">
        <v>914</v>
      </c>
      <c r="I1844" s="228" t="s">
        <v>915</v>
      </c>
      <c r="J1844" s="64">
        <v>410.01</v>
      </c>
      <c r="K1844" s="65"/>
      <c r="L1844" s="224"/>
      <c r="M1844" s="231">
        <v>2040000</v>
      </c>
      <c r="N1844" s="231"/>
      <c r="O1844" s="61"/>
      <c r="P1844" s="69" t="str">
        <f t="shared" si="130"/>
        <v>Penjualan Intouch</v>
      </c>
      <c r="Q1844" s="61"/>
    </row>
    <row r="1845" spans="1:17" hidden="1" x14ac:dyDescent="0.25">
      <c r="A1845" s="60" t="str">
        <f t="shared" si="128"/>
        <v>233410,01</v>
      </c>
      <c r="B1845" s="60">
        <f>COUNTIF($J$7:J1845,J1845)</f>
        <v>233</v>
      </c>
      <c r="C1845" s="60" t="str">
        <f t="shared" si="129"/>
        <v>0</v>
      </c>
      <c r="D1845" s="60">
        <f>COUNTIF($K$7:K1845,K1845)</f>
        <v>0</v>
      </c>
      <c r="E1845" s="61"/>
      <c r="F1845" s="227">
        <v>44594</v>
      </c>
      <c r="G1845" s="228"/>
      <c r="H1845" s="228" t="s">
        <v>916</v>
      </c>
      <c r="I1845" s="228" t="s">
        <v>48</v>
      </c>
      <c r="J1845" s="64">
        <v>410.01</v>
      </c>
      <c r="K1845" s="65"/>
      <c r="L1845" s="224"/>
      <c r="M1845" s="231">
        <v>1950000</v>
      </c>
      <c r="N1845" s="231"/>
      <c r="O1845" s="61"/>
      <c r="P1845" s="69" t="str">
        <f t="shared" si="130"/>
        <v>Penjualan Intouch</v>
      </c>
      <c r="Q1845" s="61"/>
    </row>
    <row r="1846" spans="1:17" hidden="1" x14ac:dyDescent="0.25">
      <c r="A1846" s="60" t="str">
        <f t="shared" si="128"/>
        <v>234410,01</v>
      </c>
      <c r="B1846" s="60">
        <f>COUNTIF($J$7:J1846,J1846)</f>
        <v>234</v>
      </c>
      <c r="C1846" s="60" t="str">
        <f t="shared" si="129"/>
        <v>0</v>
      </c>
      <c r="D1846" s="60">
        <f>COUNTIF($K$7:K1846,K1846)</f>
        <v>0</v>
      </c>
      <c r="E1846" s="61"/>
      <c r="F1846" s="227">
        <v>44594</v>
      </c>
      <c r="G1846" s="228"/>
      <c r="H1846" s="228" t="s">
        <v>916</v>
      </c>
      <c r="I1846" s="228" t="s">
        <v>48</v>
      </c>
      <c r="J1846" s="64">
        <v>410.01</v>
      </c>
      <c r="K1846" s="65"/>
      <c r="L1846" s="224"/>
      <c r="M1846" s="231">
        <v>1950000</v>
      </c>
      <c r="N1846" s="231"/>
      <c r="O1846" s="61"/>
      <c r="P1846" s="69" t="str">
        <f t="shared" si="130"/>
        <v>Penjualan Intouch</v>
      </c>
      <c r="Q1846" s="61"/>
    </row>
    <row r="1847" spans="1:17" hidden="1" x14ac:dyDescent="0.25">
      <c r="A1847" s="60" t="str">
        <f t="shared" si="128"/>
        <v>235410,01</v>
      </c>
      <c r="B1847" s="60">
        <f>COUNTIF($J$7:J1847,J1847)</f>
        <v>235</v>
      </c>
      <c r="C1847" s="60" t="str">
        <f t="shared" si="129"/>
        <v>0</v>
      </c>
      <c r="D1847" s="60">
        <f>COUNTIF($K$7:K1847,K1847)</f>
        <v>0</v>
      </c>
      <c r="E1847" s="61"/>
      <c r="F1847" s="227">
        <v>44594</v>
      </c>
      <c r="G1847" s="228"/>
      <c r="H1847" s="228" t="s">
        <v>916</v>
      </c>
      <c r="I1847" s="228" t="s">
        <v>48</v>
      </c>
      <c r="J1847" s="64">
        <v>410.01</v>
      </c>
      <c r="K1847" s="65"/>
      <c r="L1847" s="224"/>
      <c r="M1847" s="231">
        <v>1950000</v>
      </c>
      <c r="N1847" s="231"/>
      <c r="O1847" s="61"/>
      <c r="P1847" s="69" t="str">
        <f t="shared" si="130"/>
        <v>Penjualan Intouch</v>
      </c>
      <c r="Q1847" s="61"/>
    </row>
    <row r="1848" spans="1:17" hidden="1" x14ac:dyDescent="0.25">
      <c r="A1848" s="60" t="str">
        <f t="shared" si="128"/>
        <v>236410,01</v>
      </c>
      <c r="B1848" s="60">
        <f>COUNTIF($J$7:J1848,J1848)</f>
        <v>236</v>
      </c>
      <c r="C1848" s="60" t="str">
        <f t="shared" si="129"/>
        <v>0</v>
      </c>
      <c r="D1848" s="60">
        <f>COUNTIF($K$7:K1848,K1848)</f>
        <v>0</v>
      </c>
      <c r="E1848" s="61"/>
      <c r="F1848" s="227">
        <v>44609</v>
      </c>
      <c r="G1848" s="228"/>
      <c r="H1848" s="228" t="s">
        <v>917</v>
      </c>
      <c r="I1848" s="228" t="s">
        <v>48</v>
      </c>
      <c r="J1848" s="64">
        <v>410.01</v>
      </c>
      <c r="K1848" s="65"/>
      <c r="L1848" s="224"/>
      <c r="M1848" s="231">
        <v>1950000</v>
      </c>
      <c r="N1848" s="231"/>
      <c r="O1848" s="61"/>
      <c r="P1848" s="69" t="str">
        <f t="shared" si="130"/>
        <v>Penjualan Intouch</v>
      </c>
      <c r="Q1848" s="61"/>
    </row>
    <row r="1849" spans="1:17" hidden="1" x14ac:dyDescent="0.25">
      <c r="A1849" s="60" t="str">
        <f t="shared" si="128"/>
        <v>237410,01</v>
      </c>
      <c r="B1849" s="60">
        <f>COUNTIF($J$7:J1849,J1849)</f>
        <v>237</v>
      </c>
      <c r="C1849" s="60" t="str">
        <f t="shared" si="129"/>
        <v>0</v>
      </c>
      <c r="D1849" s="60">
        <f>COUNTIF($K$7:K1849,K1849)</f>
        <v>0</v>
      </c>
      <c r="E1849" s="61"/>
      <c r="F1849" s="227">
        <v>44609</v>
      </c>
      <c r="G1849" s="228"/>
      <c r="H1849" s="228" t="s">
        <v>917</v>
      </c>
      <c r="I1849" s="228" t="s">
        <v>48</v>
      </c>
      <c r="J1849" s="64">
        <v>410.01</v>
      </c>
      <c r="K1849" s="65"/>
      <c r="L1849" s="224"/>
      <c r="M1849" s="231">
        <v>1950000</v>
      </c>
      <c r="N1849" s="231"/>
      <c r="O1849" s="61"/>
      <c r="P1849" s="69" t="str">
        <f t="shared" si="130"/>
        <v>Penjualan Intouch</v>
      </c>
      <c r="Q1849" s="61"/>
    </row>
    <row r="1850" spans="1:17" hidden="1" x14ac:dyDescent="0.25">
      <c r="A1850" s="60" t="str">
        <f t="shared" si="128"/>
        <v>238410,01</v>
      </c>
      <c r="B1850" s="60">
        <f>COUNTIF($J$7:J1850,J1850)</f>
        <v>238</v>
      </c>
      <c r="C1850" s="60" t="str">
        <f t="shared" si="129"/>
        <v>0</v>
      </c>
      <c r="D1850" s="60">
        <f>COUNTIF($K$7:K1850,K1850)</f>
        <v>0</v>
      </c>
      <c r="E1850" s="61"/>
      <c r="F1850" s="227">
        <v>44609</v>
      </c>
      <c r="G1850" s="228"/>
      <c r="H1850" s="228" t="s">
        <v>917</v>
      </c>
      <c r="I1850" s="228" t="s">
        <v>48</v>
      </c>
      <c r="J1850" s="64">
        <v>410.01</v>
      </c>
      <c r="K1850" s="65"/>
      <c r="L1850" s="224"/>
      <c r="M1850" s="231">
        <v>1950000</v>
      </c>
      <c r="N1850" s="231"/>
      <c r="O1850" s="61"/>
      <c r="P1850" s="69" t="str">
        <f t="shared" si="130"/>
        <v>Penjualan Intouch</v>
      </c>
      <c r="Q1850" s="61"/>
    </row>
    <row r="1851" spans="1:17" hidden="1" x14ac:dyDescent="0.25">
      <c r="A1851" s="60" t="str">
        <f t="shared" si="128"/>
        <v>239410,01</v>
      </c>
      <c r="B1851" s="60">
        <f>COUNTIF($J$7:J1851,J1851)</f>
        <v>239</v>
      </c>
      <c r="C1851" s="60" t="str">
        <f t="shared" si="129"/>
        <v>0</v>
      </c>
      <c r="D1851" s="60">
        <f>COUNTIF($K$7:K1851,K1851)</f>
        <v>0</v>
      </c>
      <c r="E1851" s="61"/>
      <c r="F1851" s="227">
        <v>44613</v>
      </c>
      <c r="G1851" s="228"/>
      <c r="H1851" s="228" t="s">
        <v>918</v>
      </c>
      <c r="I1851" s="228" t="s">
        <v>48</v>
      </c>
      <c r="J1851" s="64">
        <v>410.01</v>
      </c>
      <c r="K1851" s="65"/>
      <c r="L1851" s="224"/>
      <c r="M1851" s="231">
        <v>1950000</v>
      </c>
      <c r="N1851" s="231"/>
      <c r="O1851" s="61"/>
      <c r="P1851" s="69" t="str">
        <f t="shared" si="130"/>
        <v>Penjualan Intouch</v>
      </c>
      <c r="Q1851" s="61"/>
    </row>
    <row r="1852" spans="1:17" hidden="1" x14ac:dyDescent="0.25">
      <c r="A1852" s="60" t="str">
        <f t="shared" si="128"/>
        <v>240410,01</v>
      </c>
      <c r="B1852" s="60">
        <f>COUNTIF($J$7:J1852,J1852)</f>
        <v>240</v>
      </c>
      <c r="C1852" s="60" t="str">
        <f t="shared" si="129"/>
        <v>0</v>
      </c>
      <c r="D1852" s="60">
        <f>COUNTIF($K$7:K1852,K1852)</f>
        <v>0</v>
      </c>
      <c r="E1852" s="61"/>
      <c r="F1852" s="227">
        <v>44613</v>
      </c>
      <c r="G1852" s="228"/>
      <c r="H1852" s="228" t="s">
        <v>918</v>
      </c>
      <c r="I1852" s="228" t="s">
        <v>48</v>
      </c>
      <c r="J1852" s="64">
        <v>410.01</v>
      </c>
      <c r="K1852" s="65"/>
      <c r="L1852" s="224"/>
      <c r="M1852" s="231">
        <v>1950000</v>
      </c>
      <c r="N1852" s="231"/>
      <c r="O1852" s="61"/>
      <c r="P1852" s="69" t="str">
        <f t="shared" si="130"/>
        <v>Penjualan Intouch</v>
      </c>
      <c r="Q1852" s="61"/>
    </row>
    <row r="1853" spans="1:17" hidden="1" x14ac:dyDescent="0.25">
      <c r="A1853" s="60" t="str">
        <f t="shared" si="128"/>
        <v>241410,01</v>
      </c>
      <c r="B1853" s="60">
        <f>COUNTIF($J$7:J1853,J1853)</f>
        <v>241</v>
      </c>
      <c r="C1853" s="60" t="str">
        <f t="shared" si="129"/>
        <v>0</v>
      </c>
      <c r="D1853" s="60">
        <f>COUNTIF($K$7:K1853,K1853)</f>
        <v>0</v>
      </c>
      <c r="E1853" s="61"/>
      <c r="F1853" s="227">
        <v>44616</v>
      </c>
      <c r="G1853" s="228"/>
      <c r="H1853" s="228" t="s">
        <v>919</v>
      </c>
      <c r="I1853" s="228" t="s">
        <v>48</v>
      </c>
      <c r="J1853" s="64">
        <v>410.01</v>
      </c>
      <c r="K1853" s="65"/>
      <c r="L1853" s="224"/>
      <c r="M1853" s="231">
        <v>1950000</v>
      </c>
      <c r="N1853" s="231"/>
      <c r="O1853" s="61"/>
      <c r="P1853" s="69" t="str">
        <f t="shared" si="130"/>
        <v>Penjualan Intouch</v>
      </c>
      <c r="Q1853" s="61"/>
    </row>
    <row r="1854" spans="1:17" hidden="1" x14ac:dyDescent="0.25">
      <c r="A1854" s="60" t="str">
        <f t="shared" si="128"/>
        <v>242410,01</v>
      </c>
      <c r="B1854" s="60">
        <f>COUNTIF($J$7:J1854,J1854)</f>
        <v>242</v>
      </c>
      <c r="C1854" s="60" t="str">
        <f t="shared" si="129"/>
        <v>0</v>
      </c>
      <c r="D1854" s="60">
        <f>COUNTIF($K$7:K1854,K1854)</f>
        <v>0</v>
      </c>
      <c r="E1854" s="61"/>
      <c r="F1854" s="227">
        <v>44617</v>
      </c>
      <c r="G1854" s="228"/>
      <c r="H1854" s="228" t="s">
        <v>920</v>
      </c>
      <c r="I1854" s="228" t="s">
        <v>48</v>
      </c>
      <c r="J1854" s="64">
        <v>410.01</v>
      </c>
      <c r="K1854" s="65"/>
      <c r="L1854" s="224"/>
      <c r="M1854" s="231">
        <v>3750000</v>
      </c>
      <c r="N1854" s="231"/>
      <c r="O1854" s="61"/>
      <c r="P1854" s="69" t="str">
        <f t="shared" si="130"/>
        <v>Penjualan Intouch</v>
      </c>
      <c r="Q1854" s="61"/>
    </row>
    <row r="1855" spans="1:17" hidden="1" x14ac:dyDescent="0.25">
      <c r="A1855" s="60" t="str">
        <f t="shared" si="128"/>
        <v>243410,01</v>
      </c>
      <c r="B1855" s="60">
        <f>COUNTIF($J$7:J1855,J1855)</f>
        <v>243</v>
      </c>
      <c r="C1855" s="60" t="str">
        <f t="shared" si="129"/>
        <v>0</v>
      </c>
      <c r="D1855" s="60">
        <f>COUNTIF($K$7:K1855,K1855)</f>
        <v>0</v>
      </c>
      <c r="E1855" s="61"/>
      <c r="F1855" s="227">
        <v>44617</v>
      </c>
      <c r="G1855" s="228"/>
      <c r="H1855" s="228" t="s">
        <v>920</v>
      </c>
      <c r="I1855" s="228" t="s">
        <v>48</v>
      </c>
      <c r="J1855" s="64">
        <v>410.01</v>
      </c>
      <c r="K1855" s="65"/>
      <c r="L1855" s="224"/>
      <c r="M1855" s="231">
        <v>5625000</v>
      </c>
      <c r="N1855" s="231"/>
      <c r="O1855" s="61"/>
      <c r="P1855" s="69" t="str">
        <f t="shared" si="130"/>
        <v>Penjualan Intouch</v>
      </c>
      <c r="Q1855" s="61"/>
    </row>
    <row r="1856" spans="1:17" hidden="1" x14ac:dyDescent="0.25">
      <c r="A1856" s="60" t="str">
        <f t="shared" si="128"/>
        <v>244410,01</v>
      </c>
      <c r="B1856" s="60">
        <f>COUNTIF($J$7:J1856,J1856)</f>
        <v>244</v>
      </c>
      <c r="C1856" s="60" t="str">
        <f t="shared" si="129"/>
        <v>0</v>
      </c>
      <c r="D1856" s="60">
        <f>COUNTIF($K$7:K1856,K1856)</f>
        <v>0</v>
      </c>
      <c r="E1856" s="61"/>
      <c r="F1856" s="227">
        <v>44607</v>
      </c>
      <c r="G1856" s="228"/>
      <c r="H1856" s="228" t="s">
        <v>921</v>
      </c>
      <c r="I1856" s="228" t="s">
        <v>124</v>
      </c>
      <c r="J1856" s="64">
        <v>410.01</v>
      </c>
      <c r="K1856" s="65"/>
      <c r="L1856" s="224"/>
      <c r="M1856" s="231">
        <v>8640000</v>
      </c>
      <c r="N1856" s="231"/>
      <c r="O1856" s="61"/>
      <c r="P1856" s="69" t="str">
        <f t="shared" si="130"/>
        <v>Penjualan Intouch</v>
      </c>
      <c r="Q1856" s="61"/>
    </row>
    <row r="1857" spans="1:17" hidden="1" x14ac:dyDescent="0.25">
      <c r="A1857" s="60" t="str">
        <f t="shared" si="128"/>
        <v>245410,01</v>
      </c>
      <c r="B1857" s="60">
        <f>COUNTIF($J$7:J1857,J1857)</f>
        <v>245</v>
      </c>
      <c r="C1857" s="60" t="str">
        <f t="shared" si="129"/>
        <v>0</v>
      </c>
      <c r="D1857" s="60">
        <f>COUNTIF($K$7:K1857,K1857)</f>
        <v>0</v>
      </c>
      <c r="E1857" s="61"/>
      <c r="F1857" s="227">
        <v>44595</v>
      </c>
      <c r="G1857" s="228"/>
      <c r="H1857" s="228" t="s">
        <v>922</v>
      </c>
      <c r="I1857" s="228" t="s">
        <v>28</v>
      </c>
      <c r="J1857" s="64">
        <v>410.01</v>
      </c>
      <c r="K1857" s="65"/>
      <c r="L1857" s="224"/>
      <c r="M1857" s="231">
        <v>1200000</v>
      </c>
      <c r="N1857" s="231"/>
      <c r="O1857" s="61"/>
      <c r="P1857" s="69" t="str">
        <f t="shared" si="130"/>
        <v>Penjualan Intouch</v>
      </c>
      <c r="Q1857" s="61"/>
    </row>
    <row r="1858" spans="1:17" hidden="1" x14ac:dyDescent="0.25">
      <c r="A1858" s="60" t="str">
        <f t="shared" si="128"/>
        <v>246410,01</v>
      </c>
      <c r="B1858" s="60">
        <f>COUNTIF($J$7:J1858,J1858)</f>
        <v>246</v>
      </c>
      <c r="C1858" s="60" t="str">
        <f t="shared" si="129"/>
        <v>0</v>
      </c>
      <c r="D1858" s="60">
        <f>COUNTIF($K$7:K1858,K1858)</f>
        <v>0</v>
      </c>
      <c r="E1858" s="61"/>
      <c r="F1858" s="227">
        <v>44595</v>
      </c>
      <c r="G1858" s="232"/>
      <c r="H1858" s="228" t="s">
        <v>922</v>
      </c>
      <c r="I1858" s="228" t="s">
        <v>28</v>
      </c>
      <c r="J1858" s="64">
        <v>410.01</v>
      </c>
      <c r="K1858" s="65"/>
      <c r="L1858" s="224"/>
      <c r="M1858" s="231">
        <v>4800000</v>
      </c>
      <c r="N1858" s="231"/>
      <c r="O1858" s="61"/>
      <c r="P1858" s="69" t="str">
        <f t="shared" si="130"/>
        <v>Penjualan Intouch</v>
      </c>
      <c r="Q1858" s="61"/>
    </row>
    <row r="1859" spans="1:17" hidden="1" x14ac:dyDescent="0.25">
      <c r="A1859" s="60" t="str">
        <f t="shared" si="128"/>
        <v>247410,01</v>
      </c>
      <c r="B1859" s="60">
        <f>COUNTIF($J$7:J1859,J1859)</f>
        <v>247</v>
      </c>
      <c r="C1859" s="60" t="str">
        <f t="shared" si="129"/>
        <v>0</v>
      </c>
      <c r="D1859" s="60">
        <f>COUNTIF($K$7:K1859,K1859)</f>
        <v>0</v>
      </c>
      <c r="E1859" s="61"/>
      <c r="F1859" s="227">
        <v>44595</v>
      </c>
      <c r="G1859" s="232"/>
      <c r="H1859" s="228" t="s">
        <v>922</v>
      </c>
      <c r="I1859" s="228" t="s">
        <v>28</v>
      </c>
      <c r="J1859" s="64">
        <v>410.01</v>
      </c>
      <c r="K1859" s="65"/>
      <c r="L1859" s="224"/>
      <c r="M1859" s="231">
        <v>1200000</v>
      </c>
      <c r="N1859" s="231"/>
      <c r="O1859" s="61"/>
      <c r="P1859" s="69" t="str">
        <f t="shared" si="130"/>
        <v>Penjualan Intouch</v>
      </c>
      <c r="Q1859" s="61"/>
    </row>
    <row r="1860" spans="1:17" hidden="1" x14ac:dyDescent="0.25">
      <c r="A1860" s="60" t="str">
        <f t="shared" si="128"/>
        <v>6116,01</v>
      </c>
      <c r="B1860" s="60">
        <f>COUNTIF($J$7:J1860,J1860)</f>
        <v>6</v>
      </c>
      <c r="C1860" s="60" t="str">
        <f t="shared" si="129"/>
        <v>0</v>
      </c>
      <c r="D1860" s="60">
        <f>COUNTIF($K$7:K1860,K1860)</f>
        <v>0</v>
      </c>
      <c r="E1860" s="61"/>
      <c r="F1860" s="232">
        <v>44594</v>
      </c>
      <c r="G1860" s="72" t="s">
        <v>149</v>
      </c>
      <c r="H1860" s="61" t="s">
        <v>150</v>
      </c>
      <c r="I1860" s="63" t="s">
        <v>923</v>
      </c>
      <c r="J1860" s="67">
        <v>116.01</v>
      </c>
      <c r="K1860" s="65"/>
      <c r="L1860" s="224">
        <v>770602712</v>
      </c>
      <c r="M1860" s="223"/>
      <c r="N1860" s="223"/>
      <c r="O1860" s="61"/>
      <c r="P1860" s="69" t="str">
        <f t="shared" si="130"/>
        <v>Persediaan Intouch</v>
      </c>
      <c r="Q1860" s="61"/>
    </row>
    <row r="1861" spans="1:17" hidden="1" x14ac:dyDescent="0.25">
      <c r="A1861" s="60" t="str">
        <f t="shared" si="128"/>
        <v>14117,01</v>
      </c>
      <c r="B1861" s="60">
        <f>COUNTIF($J$7:J1861,J1861)</f>
        <v>14</v>
      </c>
      <c r="C1861" s="60" t="str">
        <f t="shared" si="129"/>
        <v>0</v>
      </c>
      <c r="D1861" s="60">
        <f>COUNTIF($K$7:K1861,K1861)</f>
        <v>0</v>
      </c>
      <c r="E1861" s="61"/>
      <c r="F1861" s="232">
        <v>44594</v>
      </c>
      <c r="G1861" s="72" t="s">
        <v>149</v>
      </c>
      <c r="H1861" s="61" t="s">
        <v>150</v>
      </c>
      <c r="I1861" s="63" t="s">
        <v>923</v>
      </c>
      <c r="J1861" s="67">
        <v>117.01</v>
      </c>
      <c r="K1861" s="65"/>
      <c r="L1861" s="224">
        <v>77061000</v>
      </c>
      <c r="M1861" s="223"/>
      <c r="N1861" s="223"/>
      <c r="O1861" s="61" t="s">
        <v>181</v>
      </c>
      <c r="P1861" s="69" t="str">
        <f t="shared" si="130"/>
        <v>Pajak Dibayar Di Muka - PPN Masukan</v>
      </c>
      <c r="Q1861" s="61"/>
    </row>
    <row r="1862" spans="1:17" hidden="1" x14ac:dyDescent="0.25">
      <c r="A1862" s="60" t="str">
        <f t="shared" si="128"/>
        <v>3117,02</v>
      </c>
      <c r="B1862" s="60">
        <f>COUNTIF($J$7:J1862,J1862)</f>
        <v>3</v>
      </c>
      <c r="C1862" s="60" t="str">
        <f t="shared" si="129"/>
        <v>0</v>
      </c>
      <c r="D1862" s="60">
        <f>COUNTIF($K$7:K1862,K1862)</f>
        <v>0</v>
      </c>
      <c r="E1862" s="61"/>
      <c r="F1862" s="232">
        <v>44594</v>
      </c>
      <c r="G1862" s="72" t="s">
        <v>149</v>
      </c>
      <c r="H1862" s="61" t="s">
        <v>150</v>
      </c>
      <c r="I1862" s="63" t="s">
        <v>923</v>
      </c>
      <c r="J1862" s="67">
        <v>117.02</v>
      </c>
      <c r="K1862" s="65"/>
      <c r="L1862" s="224">
        <v>57796000</v>
      </c>
      <c r="M1862" s="223"/>
      <c r="N1862" s="223"/>
      <c r="O1862" s="61"/>
      <c r="P1862" s="69" t="str">
        <f t="shared" si="130"/>
        <v>Pajak Dibayar Di Muka - PPh 22</v>
      </c>
      <c r="Q1862" s="61"/>
    </row>
    <row r="1863" spans="1:17" hidden="1" x14ac:dyDescent="0.25">
      <c r="A1863" s="60" t="str">
        <f t="shared" ref="A1863:A1926" si="131">B1863&amp;J1863</f>
        <v>363211,01</v>
      </c>
      <c r="B1863" s="60">
        <f>COUNTIF($J$7:J1863,J1863)</f>
        <v>363</v>
      </c>
      <c r="C1863" s="60" t="str">
        <f t="shared" ref="C1863:C1926" si="132">D1863&amp;K1863</f>
        <v>0</v>
      </c>
      <c r="D1863" s="60">
        <f>COUNTIF($K$7:K1863,K1863)</f>
        <v>0</v>
      </c>
      <c r="E1863" s="61"/>
      <c r="F1863" s="232">
        <v>44594</v>
      </c>
      <c r="G1863" s="72" t="s">
        <v>149</v>
      </c>
      <c r="H1863" s="61" t="s">
        <v>150</v>
      </c>
      <c r="I1863" s="63" t="s">
        <v>923</v>
      </c>
      <c r="J1863" s="67">
        <v>211.01</v>
      </c>
      <c r="K1863" s="65"/>
      <c r="L1863" s="224"/>
      <c r="M1863" s="223">
        <v>77061000</v>
      </c>
      <c r="N1863" s="223"/>
      <c r="O1863" s="61"/>
      <c r="P1863" s="69" t="str">
        <f t="shared" ref="P1863:P1926" si="133">IF(J1863=0,"-",+VLOOKUP(J1863,DAF_AKUN,2,FALSE))</f>
        <v>Hutang Pajak PPN</v>
      </c>
      <c r="Q1863" s="61"/>
    </row>
    <row r="1864" spans="1:17" hidden="1" x14ac:dyDescent="0.25">
      <c r="A1864" s="60" t="str">
        <f t="shared" si="131"/>
        <v>5211,03</v>
      </c>
      <c r="B1864" s="60">
        <f>COUNTIF($J$7:J1864,J1864)</f>
        <v>5</v>
      </c>
      <c r="C1864" s="60" t="str">
        <f t="shared" si="132"/>
        <v>0</v>
      </c>
      <c r="D1864" s="60">
        <f>COUNTIF($K$7:K1864,K1864)</f>
        <v>0</v>
      </c>
      <c r="E1864" s="61"/>
      <c r="F1864" s="232">
        <v>44594</v>
      </c>
      <c r="G1864" s="72" t="s">
        <v>149</v>
      </c>
      <c r="H1864" s="61" t="s">
        <v>150</v>
      </c>
      <c r="I1864" s="63" t="s">
        <v>923</v>
      </c>
      <c r="J1864" s="67">
        <v>211.03</v>
      </c>
      <c r="K1864" s="65"/>
      <c r="L1864" s="224"/>
      <c r="M1864" s="223">
        <v>57796000</v>
      </c>
      <c r="N1864" s="223"/>
      <c r="O1864" s="61"/>
      <c r="P1864" s="69" t="str">
        <f t="shared" si="133"/>
        <v>Hutang PPh 22</v>
      </c>
      <c r="Q1864" s="61"/>
    </row>
    <row r="1865" spans="1:17" hidden="1" x14ac:dyDescent="0.25">
      <c r="A1865" s="60" t="str">
        <f t="shared" si="131"/>
        <v>7210,01</v>
      </c>
      <c r="B1865" s="60">
        <f>COUNTIF($J$7:J1865,J1865)</f>
        <v>7</v>
      </c>
      <c r="C1865" s="60" t="str">
        <f t="shared" si="132"/>
        <v>1210,01,49</v>
      </c>
      <c r="D1865" s="60">
        <f>COUNTIF($K$7:K1865,K1865)</f>
        <v>1</v>
      </c>
      <c r="E1865" s="61"/>
      <c r="F1865" s="232">
        <v>44594</v>
      </c>
      <c r="G1865" s="72" t="s">
        <v>149</v>
      </c>
      <c r="H1865" s="61" t="s">
        <v>150</v>
      </c>
      <c r="I1865" s="63" t="s">
        <v>923</v>
      </c>
      <c r="J1865" s="233">
        <v>210.01</v>
      </c>
      <c r="K1865" s="80" t="s">
        <v>924</v>
      </c>
      <c r="L1865" s="224"/>
      <c r="M1865" s="234">
        <v>770602712</v>
      </c>
      <c r="N1865" s="234"/>
      <c r="O1865" s="61"/>
      <c r="P1865" s="69" t="str">
        <f t="shared" si="133"/>
        <v>Hutang Usaha</v>
      </c>
      <c r="Q1865" s="61"/>
    </row>
    <row r="1866" spans="1:17" hidden="1" x14ac:dyDescent="0.25">
      <c r="A1866" s="60" t="str">
        <f t="shared" si="131"/>
        <v>2610,18</v>
      </c>
      <c r="B1866" s="60">
        <f>COUNTIF($J$7:J1866,J1866)</f>
        <v>2</v>
      </c>
      <c r="C1866" s="60" t="str">
        <f t="shared" si="132"/>
        <v>0</v>
      </c>
      <c r="D1866" s="60">
        <f>COUNTIF($K$7:K1866,K1866)</f>
        <v>0</v>
      </c>
      <c r="E1866" s="61"/>
      <c r="F1866" s="232">
        <v>44593</v>
      </c>
      <c r="G1866" s="72" t="s">
        <v>149</v>
      </c>
      <c r="H1866" s="61" t="s">
        <v>150</v>
      </c>
      <c r="I1866" s="63" t="s">
        <v>925</v>
      </c>
      <c r="J1866" s="221">
        <v>610.17999999999995</v>
      </c>
      <c r="K1866" s="65"/>
      <c r="L1866" s="224">
        <v>1950000</v>
      </c>
      <c r="M1866" s="223"/>
      <c r="N1866" s="223"/>
      <c r="O1866" s="61"/>
      <c r="P1866" s="69" t="str">
        <f t="shared" si="133"/>
        <v>Biaya Profesional</v>
      </c>
      <c r="Q1866" s="61"/>
    </row>
    <row r="1867" spans="1:17" hidden="1" x14ac:dyDescent="0.25">
      <c r="A1867" s="60" t="str">
        <f t="shared" si="131"/>
        <v>10211,04</v>
      </c>
      <c r="B1867" s="60">
        <f>COUNTIF($J$7:J1867,J1867)</f>
        <v>10</v>
      </c>
      <c r="C1867" s="60" t="str">
        <f t="shared" si="132"/>
        <v>0</v>
      </c>
      <c r="D1867" s="60">
        <f>COUNTIF($K$7:K1867,K1867)</f>
        <v>0</v>
      </c>
      <c r="E1867" s="61"/>
      <c r="F1867" s="232">
        <v>44593</v>
      </c>
      <c r="G1867" s="72" t="s">
        <v>149</v>
      </c>
      <c r="H1867" s="61" t="s">
        <v>150</v>
      </c>
      <c r="I1867" s="63" t="s">
        <v>925</v>
      </c>
      <c r="J1867" s="67">
        <v>211.04</v>
      </c>
      <c r="K1867" s="65"/>
      <c r="L1867" s="224"/>
      <c r="M1867" s="223">
        <v>39000</v>
      </c>
      <c r="N1867" s="223"/>
      <c r="O1867" s="61"/>
      <c r="P1867" s="69" t="str">
        <f t="shared" si="133"/>
        <v>Hutang PPh 23</v>
      </c>
      <c r="Q1867" s="61"/>
    </row>
    <row r="1868" spans="1:17" hidden="1" x14ac:dyDescent="0.25">
      <c r="A1868" s="60" t="str">
        <f t="shared" si="131"/>
        <v>39220,03</v>
      </c>
      <c r="B1868" s="60">
        <f>COUNTIF($J$7:J1868,J1868)</f>
        <v>39</v>
      </c>
      <c r="C1868" s="60" t="str">
        <f t="shared" si="132"/>
        <v>0</v>
      </c>
      <c r="D1868" s="60">
        <f>COUNTIF($K$7:K1868,K1868)</f>
        <v>0</v>
      </c>
      <c r="E1868" s="61"/>
      <c r="F1868" s="232">
        <v>44593</v>
      </c>
      <c r="G1868" s="72" t="s">
        <v>149</v>
      </c>
      <c r="H1868" s="61" t="s">
        <v>150</v>
      </c>
      <c r="I1868" s="63" t="s">
        <v>925</v>
      </c>
      <c r="J1868" s="235">
        <v>220.03</v>
      </c>
      <c r="K1868" s="65"/>
      <c r="L1868" s="224"/>
      <c r="M1868" s="223">
        <f>L1866-M1867</f>
        <v>1911000</v>
      </c>
      <c r="N1868" s="223"/>
      <c r="O1868" s="61"/>
      <c r="P1868" s="69" t="str">
        <f t="shared" si="133"/>
        <v>Hutang BIaya</v>
      </c>
      <c r="Q1868" s="61"/>
    </row>
    <row r="1869" spans="1:17" hidden="1" x14ac:dyDescent="0.25">
      <c r="A1869" s="60" t="str">
        <f t="shared" si="131"/>
        <v>34511,03</v>
      </c>
      <c r="B1869" s="60">
        <f>COUNTIF($J$7:J1869,J1869)</f>
        <v>34</v>
      </c>
      <c r="C1869" s="60" t="str">
        <f t="shared" si="132"/>
        <v>0</v>
      </c>
      <c r="D1869" s="60">
        <f>COUNTIF($K$7:K1869,K1869)</f>
        <v>0</v>
      </c>
      <c r="E1869" s="61"/>
      <c r="F1869" s="232">
        <v>44600</v>
      </c>
      <c r="G1869" s="72" t="s">
        <v>149</v>
      </c>
      <c r="H1869" s="61" t="s">
        <v>150</v>
      </c>
      <c r="I1869" s="63" t="s">
        <v>926</v>
      </c>
      <c r="J1869" s="235">
        <v>511.03</v>
      </c>
      <c r="K1869" s="65"/>
      <c r="L1869" s="224">
        <v>9000000</v>
      </c>
      <c r="M1869" s="223"/>
      <c r="N1869" s="223"/>
      <c r="O1869" s="61"/>
      <c r="P1869" s="69" t="str">
        <f t="shared" si="133"/>
        <v>Biaya Pengiriman Barang Ekspedisi</v>
      </c>
      <c r="Q1869" s="61"/>
    </row>
    <row r="1870" spans="1:17" hidden="1" x14ac:dyDescent="0.25">
      <c r="A1870" s="60" t="str">
        <f t="shared" si="131"/>
        <v>11211,04</v>
      </c>
      <c r="B1870" s="60">
        <f>COUNTIF($J$7:J1870,J1870)</f>
        <v>11</v>
      </c>
      <c r="C1870" s="60" t="str">
        <f t="shared" si="132"/>
        <v>0</v>
      </c>
      <c r="D1870" s="60">
        <f>COUNTIF($K$7:K1870,K1870)</f>
        <v>0</v>
      </c>
      <c r="E1870" s="61"/>
      <c r="F1870" s="232">
        <v>44600</v>
      </c>
      <c r="G1870" s="72" t="s">
        <v>149</v>
      </c>
      <c r="H1870" s="61" t="s">
        <v>150</v>
      </c>
      <c r="I1870" s="63" t="s">
        <v>927</v>
      </c>
      <c r="J1870" s="67">
        <v>211.04</v>
      </c>
      <c r="K1870" s="65"/>
      <c r="L1870" s="224"/>
      <c r="M1870" s="223">
        <v>180000</v>
      </c>
      <c r="N1870" s="223"/>
      <c r="O1870" s="236" t="s">
        <v>579</v>
      </c>
      <c r="P1870" s="69" t="str">
        <f t="shared" si="133"/>
        <v>Hutang PPh 23</v>
      </c>
      <c r="Q1870" s="61"/>
    </row>
    <row r="1871" spans="1:17" hidden="1" x14ac:dyDescent="0.25">
      <c r="A1871" s="60" t="str">
        <f t="shared" si="131"/>
        <v>35511,03</v>
      </c>
      <c r="B1871" s="60">
        <f>COUNTIF($J$7:J1871,J1871)</f>
        <v>35</v>
      </c>
      <c r="C1871" s="60" t="str">
        <f t="shared" si="132"/>
        <v>0</v>
      </c>
      <c r="D1871" s="60">
        <f>COUNTIF($K$7:K1871,K1871)</f>
        <v>0</v>
      </c>
      <c r="E1871" s="61"/>
      <c r="F1871" s="232">
        <v>44600</v>
      </c>
      <c r="G1871" s="72" t="s">
        <v>149</v>
      </c>
      <c r="H1871" s="61" t="s">
        <v>150</v>
      </c>
      <c r="I1871" s="63" t="s">
        <v>928</v>
      </c>
      <c r="J1871" s="235">
        <v>511.03</v>
      </c>
      <c r="K1871" s="65"/>
      <c r="L1871" s="224">
        <v>1200000</v>
      </c>
      <c r="M1871" s="223"/>
      <c r="N1871" s="223"/>
      <c r="O1871" s="61"/>
      <c r="P1871" s="69" t="str">
        <f t="shared" si="133"/>
        <v>Biaya Pengiriman Barang Ekspedisi</v>
      </c>
      <c r="Q1871" s="61"/>
    </row>
    <row r="1872" spans="1:17" hidden="1" x14ac:dyDescent="0.25">
      <c r="A1872" s="60" t="str">
        <f t="shared" si="131"/>
        <v>15117,01</v>
      </c>
      <c r="B1872" s="60">
        <f>COUNTIF($J$7:J1872,J1872)</f>
        <v>15</v>
      </c>
      <c r="C1872" s="60" t="str">
        <f t="shared" si="132"/>
        <v>0</v>
      </c>
      <c r="D1872" s="60">
        <f>COUNTIF($K$7:K1872,K1872)</f>
        <v>0</v>
      </c>
      <c r="E1872" s="61"/>
      <c r="F1872" s="232">
        <v>44600</v>
      </c>
      <c r="G1872" s="72" t="s">
        <v>149</v>
      </c>
      <c r="H1872" s="61" t="s">
        <v>150</v>
      </c>
      <c r="I1872" s="63" t="s">
        <v>929</v>
      </c>
      <c r="J1872" s="67">
        <v>117.01</v>
      </c>
      <c r="K1872" s="65"/>
      <c r="L1872" s="224">
        <v>120000</v>
      </c>
      <c r="M1872" s="223"/>
      <c r="N1872" s="223"/>
      <c r="O1872" s="61"/>
      <c r="P1872" s="69" t="str">
        <f t="shared" si="133"/>
        <v>Pajak Dibayar Di Muka - PPN Masukan</v>
      </c>
      <c r="Q1872" s="61"/>
    </row>
    <row r="1873" spans="1:17" hidden="1" x14ac:dyDescent="0.25">
      <c r="A1873" s="60" t="str">
        <f t="shared" si="131"/>
        <v>36511,03</v>
      </c>
      <c r="B1873" s="60">
        <f>COUNTIF($J$7:J1873,J1873)</f>
        <v>36</v>
      </c>
      <c r="C1873" s="60" t="str">
        <f t="shared" si="132"/>
        <v>0</v>
      </c>
      <c r="D1873" s="60">
        <f>COUNTIF($K$7:K1873,K1873)</f>
        <v>0</v>
      </c>
      <c r="E1873" s="61"/>
      <c r="F1873" s="232">
        <v>44600</v>
      </c>
      <c r="G1873" s="72" t="s">
        <v>149</v>
      </c>
      <c r="H1873" s="61" t="s">
        <v>150</v>
      </c>
      <c r="I1873" s="63" t="s">
        <v>930</v>
      </c>
      <c r="J1873" s="235">
        <v>511.03</v>
      </c>
      <c r="K1873" s="65"/>
      <c r="L1873" s="224">
        <f>3069400+300000-610900</f>
        <v>2758500</v>
      </c>
      <c r="M1873" s="223"/>
      <c r="N1873" s="223"/>
      <c r="O1873" s="61"/>
      <c r="P1873" s="69" t="str">
        <f t="shared" si="133"/>
        <v>Biaya Pengiriman Barang Ekspedisi</v>
      </c>
      <c r="Q1873" s="61"/>
    </row>
    <row r="1874" spans="1:17" hidden="1" x14ac:dyDescent="0.25">
      <c r="A1874" s="60" t="str">
        <f t="shared" si="131"/>
        <v>37511,03</v>
      </c>
      <c r="B1874" s="60">
        <f>COUNTIF($J$7:J1874,J1874)</f>
        <v>37</v>
      </c>
      <c r="C1874" s="60" t="str">
        <f t="shared" si="132"/>
        <v>0</v>
      </c>
      <c r="D1874" s="60">
        <f>COUNTIF($K$7:K1874,K1874)</f>
        <v>0</v>
      </c>
      <c r="E1874" s="61"/>
      <c r="F1874" s="232">
        <v>44600</v>
      </c>
      <c r="G1874" s="72" t="s">
        <v>149</v>
      </c>
      <c r="H1874" s="61" t="s">
        <v>150</v>
      </c>
      <c r="I1874" s="63" t="s">
        <v>930</v>
      </c>
      <c r="J1874" s="235">
        <v>511.03</v>
      </c>
      <c r="K1874" s="65"/>
      <c r="L1874" s="237">
        <v>555364</v>
      </c>
      <c r="M1874" s="223"/>
      <c r="N1874" s="223"/>
      <c r="O1874" s="61"/>
      <c r="P1874" s="69" t="str">
        <f t="shared" si="133"/>
        <v>Biaya Pengiriman Barang Ekspedisi</v>
      </c>
      <c r="Q1874" s="61"/>
    </row>
    <row r="1875" spans="1:17" hidden="1" x14ac:dyDescent="0.25">
      <c r="A1875" s="60" t="str">
        <f t="shared" si="131"/>
        <v>16117,01</v>
      </c>
      <c r="B1875" s="60">
        <f>COUNTIF($J$7:J1875,J1875)</f>
        <v>16</v>
      </c>
      <c r="C1875" s="60" t="str">
        <f t="shared" si="132"/>
        <v>0</v>
      </c>
      <c r="D1875" s="60">
        <f>COUNTIF($K$7:K1875,K1875)</f>
        <v>0</v>
      </c>
      <c r="E1875" s="61"/>
      <c r="F1875" s="232">
        <v>44600</v>
      </c>
      <c r="G1875" s="72" t="s">
        <v>149</v>
      </c>
      <c r="H1875" s="61" t="s">
        <v>150</v>
      </c>
      <c r="I1875" s="63" t="s">
        <v>930</v>
      </c>
      <c r="J1875" s="67">
        <v>117.01</v>
      </c>
      <c r="K1875" s="65"/>
      <c r="L1875" s="237">
        <v>55536</v>
      </c>
      <c r="M1875" s="223"/>
      <c r="N1875" s="223"/>
      <c r="O1875" s="61" t="s">
        <v>181</v>
      </c>
      <c r="P1875" s="69" t="str">
        <f t="shared" si="133"/>
        <v>Pajak Dibayar Di Muka - PPN Masukan</v>
      </c>
      <c r="Q1875" s="61"/>
    </row>
    <row r="1876" spans="1:17" hidden="1" x14ac:dyDescent="0.25">
      <c r="A1876" s="60" t="str">
        <f t="shared" si="131"/>
        <v>40220,03</v>
      </c>
      <c r="B1876" s="60">
        <f>COUNTIF($J$7:J1876,J1876)</f>
        <v>40</v>
      </c>
      <c r="C1876" s="60" t="str">
        <f t="shared" si="132"/>
        <v>0</v>
      </c>
      <c r="D1876" s="60">
        <f>COUNTIF($K$7:K1876,K1876)</f>
        <v>0</v>
      </c>
      <c r="E1876" s="61"/>
      <c r="F1876" s="232">
        <v>44600</v>
      </c>
      <c r="G1876" s="72" t="s">
        <v>149</v>
      </c>
      <c r="H1876" s="61" t="s">
        <v>150</v>
      </c>
      <c r="I1876" s="63" t="s">
        <v>926</v>
      </c>
      <c r="J1876" s="235">
        <v>220.03</v>
      </c>
      <c r="K1876" s="65"/>
      <c r="L1876" s="224"/>
      <c r="M1876" s="223">
        <f>L1869+L1871+L1872+L1873+L1874+L1875-M1870</f>
        <v>13509400</v>
      </c>
      <c r="N1876" s="223"/>
      <c r="O1876" s="61"/>
      <c r="P1876" s="69" t="str">
        <f t="shared" si="133"/>
        <v>Hutang BIaya</v>
      </c>
      <c r="Q1876" s="61"/>
    </row>
    <row r="1877" spans="1:17" hidden="1" x14ac:dyDescent="0.25">
      <c r="A1877" s="60" t="str">
        <f t="shared" si="131"/>
        <v>1114</v>
      </c>
      <c r="B1877" s="60">
        <f>COUNTIF($J$7:J1877,J1877)</f>
        <v>1</v>
      </c>
      <c r="C1877" s="60" t="str">
        <f t="shared" si="132"/>
        <v>0</v>
      </c>
      <c r="D1877" s="60">
        <f>COUNTIF($K$7:K1877,K1877)</f>
        <v>0</v>
      </c>
      <c r="E1877" s="61"/>
      <c r="F1877" s="232">
        <v>44600</v>
      </c>
      <c r="G1877" s="72" t="s">
        <v>149</v>
      </c>
      <c r="H1877" s="61" t="s">
        <v>150</v>
      </c>
      <c r="I1877" s="63" t="s">
        <v>928</v>
      </c>
      <c r="J1877" s="76">
        <v>114</v>
      </c>
      <c r="K1877" s="65"/>
      <c r="L1877" s="224">
        <v>24000</v>
      </c>
      <c r="M1877" s="223"/>
      <c r="N1877" s="223"/>
      <c r="O1877" s="61"/>
      <c r="P1877" s="69" t="str">
        <f t="shared" si="133"/>
        <v>Piutang Lain - Lain</v>
      </c>
      <c r="Q1877" s="61"/>
    </row>
    <row r="1878" spans="1:17" hidden="1" x14ac:dyDescent="0.25">
      <c r="A1878" s="60" t="str">
        <f t="shared" si="131"/>
        <v>12211,04</v>
      </c>
      <c r="B1878" s="60">
        <f>COUNTIF($J$7:J1878,J1878)</f>
        <v>12</v>
      </c>
      <c r="C1878" s="60" t="str">
        <f t="shared" si="132"/>
        <v>0</v>
      </c>
      <c r="D1878" s="60">
        <f>COUNTIF($K$7:K1878,K1878)</f>
        <v>0</v>
      </c>
      <c r="E1878" s="61"/>
      <c r="F1878" s="232">
        <v>44600</v>
      </c>
      <c r="G1878" s="72" t="s">
        <v>149</v>
      </c>
      <c r="H1878" s="61" t="s">
        <v>150</v>
      </c>
      <c r="I1878" s="63" t="s">
        <v>931</v>
      </c>
      <c r="J1878" s="67">
        <v>211.04</v>
      </c>
      <c r="K1878" s="65"/>
      <c r="L1878" s="224"/>
      <c r="M1878" s="223">
        <v>24000</v>
      </c>
      <c r="N1878" s="223"/>
      <c r="O1878" s="236" t="s">
        <v>579</v>
      </c>
      <c r="P1878" s="69" t="str">
        <f t="shared" si="133"/>
        <v>Hutang PPh 23</v>
      </c>
      <c r="Q1878" s="61"/>
    </row>
    <row r="1879" spans="1:17" hidden="1" x14ac:dyDescent="0.25">
      <c r="A1879" s="60" t="str">
        <f t="shared" si="131"/>
        <v>7512,02</v>
      </c>
      <c r="B1879" s="60">
        <f>COUNTIF($J$7:J1879,J1879)</f>
        <v>7</v>
      </c>
      <c r="C1879" s="60" t="str">
        <f t="shared" si="132"/>
        <v>0</v>
      </c>
      <c r="D1879" s="60">
        <f>COUNTIF($K$7:K1879,K1879)</f>
        <v>0</v>
      </c>
      <c r="E1879" s="61"/>
      <c r="F1879" s="232">
        <v>44603</v>
      </c>
      <c r="G1879" s="72" t="s">
        <v>149</v>
      </c>
      <c r="H1879" s="61" t="s">
        <v>150</v>
      </c>
      <c r="I1879" s="63" t="s">
        <v>932</v>
      </c>
      <c r="J1879" s="238">
        <v>512.02</v>
      </c>
      <c r="K1879" s="65"/>
      <c r="L1879" s="224">
        <v>4634600</v>
      </c>
      <c r="M1879" s="223"/>
      <c r="N1879" s="223"/>
      <c r="O1879" s="61"/>
      <c r="P1879" s="69" t="str">
        <f t="shared" si="133"/>
        <v>Beban Komisi</v>
      </c>
      <c r="Q1879" s="61"/>
    </row>
    <row r="1880" spans="1:17" hidden="1" x14ac:dyDescent="0.25">
      <c r="A1880" s="60" t="str">
        <f t="shared" si="131"/>
        <v>14211,02</v>
      </c>
      <c r="B1880" s="60">
        <f>COUNTIF($J$7:J1880,J1880)</f>
        <v>14</v>
      </c>
      <c r="C1880" s="60" t="str">
        <f t="shared" si="132"/>
        <v>0</v>
      </c>
      <c r="D1880" s="60">
        <f>COUNTIF($K$7:K1880,K1880)</f>
        <v>0</v>
      </c>
      <c r="E1880" s="61"/>
      <c r="F1880" s="232">
        <v>44603</v>
      </c>
      <c r="G1880" s="72" t="s">
        <v>149</v>
      </c>
      <c r="H1880" s="61" t="s">
        <v>150</v>
      </c>
      <c r="I1880" s="63" t="s">
        <v>933</v>
      </c>
      <c r="J1880" s="67">
        <v>211.02</v>
      </c>
      <c r="K1880" s="65"/>
      <c r="L1880" s="224"/>
      <c r="M1880" s="223">
        <v>115865</v>
      </c>
      <c r="N1880" s="223"/>
      <c r="O1880" s="61" t="s">
        <v>934</v>
      </c>
      <c r="P1880" s="69" t="str">
        <f t="shared" si="133"/>
        <v>Hutang PPh 21</v>
      </c>
      <c r="Q1880" s="61"/>
    </row>
    <row r="1881" spans="1:17" hidden="1" x14ac:dyDescent="0.25">
      <c r="A1881" s="60" t="str">
        <f t="shared" si="131"/>
        <v>41220,03</v>
      </c>
      <c r="B1881" s="60">
        <f>COUNTIF($J$7:J1881,J1881)</f>
        <v>41</v>
      </c>
      <c r="C1881" s="60" t="str">
        <f t="shared" si="132"/>
        <v>0</v>
      </c>
      <c r="D1881" s="60">
        <f>COUNTIF($K$7:K1881,K1881)</f>
        <v>0</v>
      </c>
      <c r="E1881" s="61"/>
      <c r="F1881" s="232">
        <v>44603</v>
      </c>
      <c r="G1881" s="72" t="s">
        <v>149</v>
      </c>
      <c r="H1881" s="61" t="s">
        <v>150</v>
      </c>
      <c r="I1881" s="63" t="s">
        <v>932</v>
      </c>
      <c r="J1881" s="235">
        <v>220.03</v>
      </c>
      <c r="K1881" s="65"/>
      <c r="L1881" s="224"/>
      <c r="M1881" s="223">
        <v>4518735</v>
      </c>
      <c r="N1881" s="223"/>
      <c r="O1881" s="61"/>
      <c r="P1881" s="69" t="str">
        <f t="shared" si="133"/>
        <v>Hutang BIaya</v>
      </c>
      <c r="Q1881" s="61"/>
    </row>
    <row r="1882" spans="1:17" hidden="1" x14ac:dyDescent="0.25">
      <c r="A1882" s="60" t="str">
        <f t="shared" si="131"/>
        <v>8512,02</v>
      </c>
      <c r="B1882" s="60">
        <f>COUNTIF($J$7:J1882,J1882)</f>
        <v>8</v>
      </c>
      <c r="C1882" s="60" t="str">
        <f t="shared" si="132"/>
        <v>0</v>
      </c>
      <c r="D1882" s="60">
        <f>COUNTIF($K$7:K1882,K1882)</f>
        <v>0</v>
      </c>
      <c r="E1882" s="61"/>
      <c r="F1882" s="232">
        <v>44603</v>
      </c>
      <c r="G1882" s="72" t="s">
        <v>149</v>
      </c>
      <c r="H1882" s="61" t="s">
        <v>150</v>
      </c>
      <c r="I1882" s="63" t="s">
        <v>935</v>
      </c>
      <c r="J1882" s="238">
        <v>512.02</v>
      </c>
      <c r="K1882" s="65"/>
      <c r="L1882" s="224">
        <v>1959414</v>
      </c>
      <c r="M1882" s="223"/>
      <c r="N1882" s="223"/>
      <c r="O1882" s="61"/>
      <c r="P1882" s="69" t="str">
        <f t="shared" si="133"/>
        <v>Beban Komisi</v>
      </c>
      <c r="Q1882" s="61"/>
    </row>
    <row r="1883" spans="1:17" hidden="1" x14ac:dyDescent="0.25">
      <c r="A1883" s="60" t="str">
        <f t="shared" si="131"/>
        <v>15211,02</v>
      </c>
      <c r="B1883" s="60">
        <f>COUNTIF($J$7:J1883,J1883)</f>
        <v>15</v>
      </c>
      <c r="C1883" s="60" t="str">
        <f t="shared" si="132"/>
        <v>0</v>
      </c>
      <c r="D1883" s="60">
        <f>COUNTIF($K$7:K1883,K1883)</f>
        <v>0</v>
      </c>
      <c r="E1883" s="61"/>
      <c r="F1883" s="232">
        <v>44603</v>
      </c>
      <c r="G1883" s="72" t="s">
        <v>149</v>
      </c>
      <c r="H1883" s="61" t="s">
        <v>150</v>
      </c>
      <c r="I1883" s="63" t="s">
        <v>936</v>
      </c>
      <c r="J1883" s="67">
        <v>211.02</v>
      </c>
      <c r="K1883" s="65"/>
      <c r="L1883" s="224"/>
      <c r="M1883" s="223">
        <v>48985</v>
      </c>
      <c r="N1883" s="223"/>
      <c r="O1883" s="61" t="s">
        <v>934</v>
      </c>
      <c r="P1883" s="69" t="str">
        <f t="shared" si="133"/>
        <v>Hutang PPh 21</v>
      </c>
      <c r="Q1883" s="61"/>
    </row>
    <row r="1884" spans="1:17" hidden="1" x14ac:dyDescent="0.25">
      <c r="A1884" s="60" t="str">
        <f t="shared" si="131"/>
        <v>42220,03</v>
      </c>
      <c r="B1884" s="60">
        <f>COUNTIF($J$7:J1884,J1884)</f>
        <v>42</v>
      </c>
      <c r="C1884" s="60" t="str">
        <f t="shared" si="132"/>
        <v>0</v>
      </c>
      <c r="D1884" s="60">
        <f>COUNTIF($K$7:K1884,K1884)</f>
        <v>0</v>
      </c>
      <c r="E1884" s="61"/>
      <c r="F1884" s="232">
        <v>44603</v>
      </c>
      <c r="G1884" s="72" t="s">
        <v>149</v>
      </c>
      <c r="H1884" s="61" t="s">
        <v>150</v>
      </c>
      <c r="I1884" s="63" t="s">
        <v>935</v>
      </c>
      <c r="J1884" s="235">
        <v>220.03</v>
      </c>
      <c r="K1884" s="65"/>
      <c r="L1884" s="224"/>
      <c r="M1884" s="223">
        <f>L1882-M1883</f>
        <v>1910429</v>
      </c>
      <c r="N1884" s="223"/>
      <c r="O1884" s="61"/>
      <c r="P1884" s="69" t="str">
        <f t="shared" si="133"/>
        <v>Hutang BIaya</v>
      </c>
      <c r="Q1884" s="61"/>
    </row>
    <row r="1885" spans="1:17" hidden="1" x14ac:dyDescent="0.25">
      <c r="A1885" s="60" t="str">
        <f t="shared" si="131"/>
        <v>4116,02</v>
      </c>
      <c r="B1885" s="60">
        <f>COUNTIF($J$7:J1885,J1885)</f>
        <v>4</v>
      </c>
      <c r="C1885" s="60" t="str">
        <f t="shared" si="132"/>
        <v>0</v>
      </c>
      <c r="D1885" s="60">
        <f>COUNTIF($K$7:K1885,K1885)</f>
        <v>0</v>
      </c>
      <c r="E1885" s="61"/>
      <c r="F1885" s="232">
        <v>44607</v>
      </c>
      <c r="G1885" s="72"/>
      <c r="H1885" s="61" t="s">
        <v>150</v>
      </c>
      <c r="I1885" s="63" t="s">
        <v>937</v>
      </c>
      <c r="J1885" s="67">
        <v>116.02</v>
      </c>
      <c r="K1885" s="65"/>
      <c r="L1885" s="224">
        <f>22600*14374</f>
        <v>324852400</v>
      </c>
      <c r="M1885" s="223"/>
      <c r="N1885" s="223"/>
      <c r="O1885" s="61"/>
      <c r="P1885" s="69" t="str">
        <f t="shared" si="133"/>
        <v>Persediaan Exam</v>
      </c>
      <c r="Q1885" s="61"/>
    </row>
    <row r="1886" spans="1:17" hidden="1" x14ac:dyDescent="0.25">
      <c r="A1886" s="60" t="str">
        <f t="shared" si="131"/>
        <v>17117,01</v>
      </c>
      <c r="B1886" s="60">
        <f>COUNTIF($J$7:J1886,J1886)</f>
        <v>17</v>
      </c>
      <c r="C1886" s="60" t="str">
        <f t="shared" si="132"/>
        <v>0</v>
      </c>
      <c r="D1886" s="60">
        <f>COUNTIF($K$7:K1886,K1886)</f>
        <v>0</v>
      </c>
      <c r="E1886" s="61"/>
      <c r="F1886" s="232">
        <v>44607</v>
      </c>
      <c r="G1886" s="72"/>
      <c r="H1886" s="61" t="s">
        <v>150</v>
      </c>
      <c r="I1886" s="63" t="s">
        <v>938</v>
      </c>
      <c r="J1886" s="67">
        <v>117.01</v>
      </c>
      <c r="K1886" s="65"/>
      <c r="L1886" s="224">
        <v>32486000</v>
      </c>
      <c r="M1886" s="223"/>
      <c r="N1886" s="223"/>
      <c r="O1886" s="61" t="s">
        <v>181</v>
      </c>
      <c r="P1886" s="69" t="str">
        <f t="shared" si="133"/>
        <v>Pajak Dibayar Di Muka - PPN Masukan</v>
      </c>
      <c r="Q1886" s="61"/>
    </row>
    <row r="1887" spans="1:17" hidden="1" x14ac:dyDescent="0.25">
      <c r="A1887" s="60" t="str">
        <f t="shared" si="131"/>
        <v>4117,02</v>
      </c>
      <c r="B1887" s="60">
        <f>COUNTIF($J$7:J1887,J1887)</f>
        <v>4</v>
      </c>
      <c r="C1887" s="60" t="str">
        <f t="shared" si="132"/>
        <v>0</v>
      </c>
      <c r="D1887" s="60">
        <f>COUNTIF($K$7:K1887,K1887)</f>
        <v>0</v>
      </c>
      <c r="E1887" s="61"/>
      <c r="F1887" s="232">
        <v>44607</v>
      </c>
      <c r="G1887" s="72"/>
      <c r="H1887" s="61" t="s">
        <v>150</v>
      </c>
      <c r="I1887" s="63" t="s">
        <v>939</v>
      </c>
      <c r="J1887" s="67">
        <v>117.02</v>
      </c>
      <c r="K1887" s="65"/>
      <c r="L1887" s="224">
        <v>24364000</v>
      </c>
      <c r="M1887" s="223"/>
      <c r="N1887" s="223"/>
      <c r="O1887" s="61"/>
      <c r="P1887" s="69" t="str">
        <f t="shared" si="133"/>
        <v>Pajak Dibayar Di Muka - PPh 22</v>
      </c>
      <c r="Q1887" s="61"/>
    </row>
    <row r="1888" spans="1:17" hidden="1" x14ac:dyDescent="0.25">
      <c r="A1888" s="60" t="str">
        <f t="shared" si="131"/>
        <v>364211,01</v>
      </c>
      <c r="B1888" s="60">
        <f>COUNTIF($J$7:J1888,J1888)</f>
        <v>364</v>
      </c>
      <c r="C1888" s="60" t="str">
        <f t="shared" si="132"/>
        <v>0</v>
      </c>
      <c r="D1888" s="60">
        <f>COUNTIF($K$7:K1888,K1888)</f>
        <v>0</v>
      </c>
      <c r="E1888" s="61"/>
      <c r="F1888" s="232">
        <v>44607</v>
      </c>
      <c r="G1888" s="72"/>
      <c r="H1888" s="61" t="s">
        <v>150</v>
      </c>
      <c r="I1888" s="63" t="s">
        <v>937</v>
      </c>
      <c r="J1888" s="67">
        <v>211.01</v>
      </c>
      <c r="K1888" s="65"/>
      <c r="L1888" s="224"/>
      <c r="M1888" s="223">
        <f>L1886</f>
        <v>32486000</v>
      </c>
      <c r="N1888" s="223"/>
      <c r="O1888" s="61"/>
      <c r="P1888" s="69" t="str">
        <f t="shared" si="133"/>
        <v>Hutang Pajak PPN</v>
      </c>
      <c r="Q1888" s="61"/>
    </row>
    <row r="1889" spans="1:17" hidden="1" x14ac:dyDescent="0.25">
      <c r="A1889" s="60" t="str">
        <f t="shared" si="131"/>
        <v>6211,03</v>
      </c>
      <c r="B1889" s="60">
        <f>COUNTIF($J$7:J1889,J1889)</f>
        <v>6</v>
      </c>
      <c r="C1889" s="60" t="str">
        <f t="shared" si="132"/>
        <v>0</v>
      </c>
      <c r="D1889" s="60">
        <f>COUNTIF($K$7:K1889,K1889)</f>
        <v>0</v>
      </c>
      <c r="E1889" s="61"/>
      <c r="F1889" s="232">
        <v>44607</v>
      </c>
      <c r="G1889" s="72"/>
      <c r="H1889" s="61" t="s">
        <v>150</v>
      </c>
      <c r="I1889" s="63" t="s">
        <v>937</v>
      </c>
      <c r="J1889" s="67">
        <v>211.03</v>
      </c>
      <c r="K1889" s="65"/>
      <c r="L1889" s="224"/>
      <c r="M1889" s="223">
        <f>L1887</f>
        <v>24364000</v>
      </c>
      <c r="N1889" s="223"/>
      <c r="O1889" s="61"/>
      <c r="P1889" s="69" t="str">
        <f t="shared" si="133"/>
        <v>Hutang PPh 22</v>
      </c>
      <c r="Q1889" s="61"/>
    </row>
    <row r="1890" spans="1:17" hidden="1" x14ac:dyDescent="0.25">
      <c r="A1890" s="60" t="str">
        <f t="shared" si="131"/>
        <v>8210,01</v>
      </c>
      <c r="B1890" s="60">
        <f>COUNTIF($J$7:J1890,J1890)</f>
        <v>8</v>
      </c>
      <c r="C1890" s="60" t="str">
        <f t="shared" si="132"/>
        <v>1210,01,50</v>
      </c>
      <c r="D1890" s="60">
        <f>COUNTIF($K$7:K1890,K1890)</f>
        <v>1</v>
      </c>
      <c r="E1890" s="61"/>
      <c r="F1890" s="232">
        <v>44607</v>
      </c>
      <c r="G1890" s="72" t="s">
        <v>149</v>
      </c>
      <c r="H1890" s="61" t="s">
        <v>150</v>
      </c>
      <c r="I1890" s="63" t="s">
        <v>937</v>
      </c>
      <c r="J1890" s="233">
        <v>210.01</v>
      </c>
      <c r="K1890" s="80" t="s">
        <v>940</v>
      </c>
      <c r="L1890" s="224"/>
      <c r="M1890" s="234">
        <f>L1885</f>
        <v>324852400</v>
      </c>
      <c r="N1890" s="234"/>
      <c r="O1890" s="61"/>
      <c r="P1890" s="69" t="str">
        <f t="shared" si="133"/>
        <v>Hutang Usaha</v>
      </c>
      <c r="Q1890" s="61"/>
    </row>
    <row r="1891" spans="1:17" hidden="1" x14ac:dyDescent="0.25">
      <c r="A1891" s="60" t="str">
        <f t="shared" si="131"/>
        <v>38511,03</v>
      </c>
      <c r="B1891" s="60">
        <f>COUNTIF($J$7:J1891,J1891)</f>
        <v>38</v>
      </c>
      <c r="C1891" s="60" t="str">
        <f t="shared" si="132"/>
        <v>0</v>
      </c>
      <c r="D1891" s="60">
        <f>COUNTIF($K$7:K1891,K1891)</f>
        <v>0</v>
      </c>
      <c r="E1891" s="61"/>
      <c r="F1891" s="232">
        <v>44607</v>
      </c>
      <c r="G1891" s="72"/>
      <c r="H1891" s="61" t="s">
        <v>150</v>
      </c>
      <c r="I1891" s="63" t="s">
        <v>941</v>
      </c>
      <c r="J1891" s="235">
        <v>511.03</v>
      </c>
      <c r="K1891" s="65"/>
      <c r="L1891" s="224">
        <v>9000000</v>
      </c>
      <c r="M1891" s="223"/>
      <c r="N1891" s="223"/>
      <c r="O1891" s="61"/>
      <c r="P1891" s="69" t="str">
        <f t="shared" si="133"/>
        <v>Biaya Pengiriman Barang Ekspedisi</v>
      </c>
      <c r="Q1891" s="61"/>
    </row>
    <row r="1892" spans="1:17" hidden="1" x14ac:dyDescent="0.25">
      <c r="A1892" s="60" t="str">
        <f t="shared" si="131"/>
        <v>13211,04</v>
      </c>
      <c r="B1892" s="60">
        <f>COUNTIF($J$7:J1892,J1892)</f>
        <v>13</v>
      </c>
      <c r="C1892" s="60" t="str">
        <f t="shared" si="132"/>
        <v>0</v>
      </c>
      <c r="D1892" s="60">
        <f>COUNTIF($K$7:K1892,K1892)</f>
        <v>0</v>
      </c>
      <c r="E1892" s="61"/>
      <c r="F1892" s="232">
        <v>44607</v>
      </c>
      <c r="G1892" s="72"/>
      <c r="H1892" s="61" t="s">
        <v>150</v>
      </c>
      <c r="I1892" s="63" t="s">
        <v>942</v>
      </c>
      <c r="J1892" s="67">
        <v>211.04</v>
      </c>
      <c r="K1892" s="65"/>
      <c r="L1892" s="224"/>
      <c r="M1892" s="223">
        <f>L1891*2%</f>
        <v>180000</v>
      </c>
      <c r="N1892" s="223"/>
      <c r="O1892" s="236" t="s">
        <v>943</v>
      </c>
      <c r="P1892" s="69" t="str">
        <f t="shared" si="133"/>
        <v>Hutang PPh 23</v>
      </c>
      <c r="Q1892" s="61"/>
    </row>
    <row r="1893" spans="1:17" hidden="1" x14ac:dyDescent="0.25">
      <c r="A1893" s="60" t="str">
        <f t="shared" si="131"/>
        <v>39511,03</v>
      </c>
      <c r="B1893" s="60">
        <f>COUNTIF($J$7:J1893,J1893)</f>
        <v>39</v>
      </c>
      <c r="C1893" s="60" t="str">
        <f t="shared" si="132"/>
        <v>0</v>
      </c>
      <c r="D1893" s="60">
        <f>COUNTIF($K$7:K1893,K1893)</f>
        <v>0</v>
      </c>
      <c r="E1893" s="61"/>
      <c r="F1893" s="232">
        <v>44607</v>
      </c>
      <c r="G1893" s="72"/>
      <c r="H1893" s="61" t="s">
        <v>150</v>
      </c>
      <c r="I1893" s="63" t="s">
        <v>944</v>
      </c>
      <c r="J1893" s="235">
        <v>511.03</v>
      </c>
      <c r="K1893" s="65"/>
      <c r="L1893" s="224">
        <v>1320000</v>
      </c>
      <c r="M1893" s="223"/>
      <c r="N1893" s="223"/>
      <c r="O1893" s="61"/>
      <c r="P1893" s="69" t="str">
        <f t="shared" si="133"/>
        <v>Biaya Pengiriman Barang Ekspedisi</v>
      </c>
      <c r="Q1893" s="61"/>
    </row>
    <row r="1894" spans="1:17" hidden="1" x14ac:dyDescent="0.25">
      <c r="A1894" s="60" t="str">
        <f t="shared" si="131"/>
        <v>40511,03</v>
      </c>
      <c r="B1894" s="60">
        <f>COUNTIF($J$7:J1894,J1894)</f>
        <v>40</v>
      </c>
      <c r="C1894" s="60" t="str">
        <f t="shared" si="132"/>
        <v>0</v>
      </c>
      <c r="D1894" s="60">
        <f>COUNTIF($K$7:K1894,K1894)</f>
        <v>0</v>
      </c>
      <c r="E1894" s="61"/>
      <c r="F1894" s="232">
        <v>44607</v>
      </c>
      <c r="G1894" s="72"/>
      <c r="H1894" s="61" t="s">
        <v>150</v>
      </c>
      <c r="I1894" s="63" t="s">
        <v>945</v>
      </c>
      <c r="J1894" s="235">
        <v>511.03</v>
      </c>
      <c r="K1894" s="65"/>
      <c r="L1894" s="224">
        <f>3069400</f>
        <v>3069400</v>
      </c>
      <c r="M1894" s="223"/>
      <c r="N1894" s="223"/>
      <c r="O1894" s="61"/>
      <c r="P1894" s="69" t="str">
        <f t="shared" si="133"/>
        <v>Biaya Pengiriman Barang Ekspedisi</v>
      </c>
      <c r="Q1894" s="61"/>
    </row>
    <row r="1895" spans="1:17" hidden="1" x14ac:dyDescent="0.25">
      <c r="A1895" s="60" t="str">
        <f t="shared" si="131"/>
        <v>41511,03</v>
      </c>
      <c r="B1895" s="60">
        <f>COUNTIF($J$7:J1895,J1895)</f>
        <v>41</v>
      </c>
      <c r="C1895" s="60" t="str">
        <f t="shared" si="132"/>
        <v>0</v>
      </c>
      <c r="D1895" s="60">
        <f>COUNTIF($K$7:K1895,K1895)</f>
        <v>0</v>
      </c>
      <c r="E1895" s="61"/>
      <c r="F1895" s="232">
        <v>44607</v>
      </c>
      <c r="G1895" s="72"/>
      <c r="H1895" s="61" t="s">
        <v>150</v>
      </c>
      <c r="I1895" s="63" t="s">
        <v>945</v>
      </c>
      <c r="J1895" s="235">
        <v>511.03</v>
      </c>
      <c r="K1895" s="65"/>
      <c r="L1895" s="224">
        <v>300000</v>
      </c>
      <c r="M1895" s="223"/>
      <c r="N1895" s="223"/>
      <c r="O1895" s="61"/>
      <c r="P1895" s="69" t="str">
        <f t="shared" si="133"/>
        <v>Biaya Pengiriman Barang Ekspedisi</v>
      </c>
      <c r="Q1895" s="61"/>
    </row>
    <row r="1896" spans="1:17" hidden="1" x14ac:dyDescent="0.25">
      <c r="A1896" s="60" t="str">
        <f t="shared" si="131"/>
        <v>43220,03</v>
      </c>
      <c r="B1896" s="60">
        <f>COUNTIF($J$7:J1896,J1896)</f>
        <v>43</v>
      </c>
      <c r="C1896" s="60" t="str">
        <f t="shared" si="132"/>
        <v>0</v>
      </c>
      <c r="D1896" s="60">
        <f>COUNTIF($K$7:K1896,K1896)</f>
        <v>0</v>
      </c>
      <c r="E1896" s="61"/>
      <c r="F1896" s="232">
        <v>44607</v>
      </c>
      <c r="G1896" s="232"/>
      <c r="H1896" s="61" t="s">
        <v>150</v>
      </c>
      <c r="I1896" s="63" t="s">
        <v>946</v>
      </c>
      <c r="J1896" s="235">
        <v>220.03</v>
      </c>
      <c r="K1896" s="65"/>
      <c r="L1896" s="224"/>
      <c r="M1896" s="223">
        <f>L1891+L1893+L1894+L1895-M1892</f>
        <v>13509400</v>
      </c>
      <c r="N1896" s="223"/>
      <c r="O1896" s="61"/>
      <c r="P1896" s="69" t="str">
        <f t="shared" si="133"/>
        <v>Hutang BIaya</v>
      </c>
      <c r="Q1896" s="61"/>
    </row>
    <row r="1897" spans="1:17" hidden="1" x14ac:dyDescent="0.25">
      <c r="A1897" s="60" t="str">
        <f t="shared" si="131"/>
        <v>2114</v>
      </c>
      <c r="B1897" s="60">
        <f>COUNTIF($J$7:J1897,J1897)</f>
        <v>2</v>
      </c>
      <c r="C1897" s="60" t="str">
        <f t="shared" si="132"/>
        <v>0</v>
      </c>
      <c r="D1897" s="60">
        <f>COUNTIF($K$7:K1897,K1897)</f>
        <v>0</v>
      </c>
      <c r="E1897" s="61"/>
      <c r="F1897" s="232">
        <v>44607</v>
      </c>
      <c r="G1897" s="232"/>
      <c r="H1897" s="61" t="s">
        <v>150</v>
      </c>
      <c r="I1897" s="63" t="s">
        <v>944</v>
      </c>
      <c r="J1897" s="76">
        <v>114</v>
      </c>
      <c r="K1897" s="65"/>
      <c r="L1897" s="224">
        <v>24000</v>
      </c>
      <c r="M1897" s="223"/>
      <c r="N1897" s="223"/>
      <c r="O1897" s="61"/>
      <c r="P1897" s="69" t="str">
        <f t="shared" si="133"/>
        <v>Piutang Lain - Lain</v>
      </c>
      <c r="Q1897" s="61"/>
    </row>
    <row r="1898" spans="1:17" hidden="1" x14ac:dyDescent="0.25">
      <c r="A1898" s="60" t="str">
        <f t="shared" si="131"/>
        <v>14211,04</v>
      </c>
      <c r="B1898" s="60">
        <f>COUNTIF($J$7:J1898,J1898)</f>
        <v>14</v>
      </c>
      <c r="C1898" s="60" t="str">
        <f t="shared" si="132"/>
        <v>0</v>
      </c>
      <c r="D1898" s="60">
        <f>COUNTIF($K$7:K1898,K1898)</f>
        <v>0</v>
      </c>
      <c r="E1898" s="61"/>
      <c r="F1898" s="232">
        <v>44607</v>
      </c>
      <c r="G1898" s="232"/>
      <c r="H1898" s="61" t="s">
        <v>150</v>
      </c>
      <c r="I1898" s="63" t="s">
        <v>944</v>
      </c>
      <c r="J1898" s="67">
        <v>211.04</v>
      </c>
      <c r="K1898" s="65"/>
      <c r="L1898" s="224"/>
      <c r="M1898" s="223">
        <v>24000</v>
      </c>
      <c r="N1898" s="223"/>
      <c r="O1898" s="236" t="s">
        <v>579</v>
      </c>
      <c r="P1898" s="69" t="str">
        <f t="shared" si="133"/>
        <v>Hutang PPh 23</v>
      </c>
      <c r="Q1898" s="61"/>
    </row>
    <row r="1899" spans="1:17" hidden="1" x14ac:dyDescent="0.25">
      <c r="A1899" s="60" t="str">
        <f t="shared" si="131"/>
        <v>2117,04</v>
      </c>
      <c r="B1899" s="60">
        <f>COUNTIF($J$7:J1899,J1899)</f>
        <v>2</v>
      </c>
      <c r="C1899" s="60" t="str">
        <f t="shared" si="132"/>
        <v>0</v>
      </c>
      <c r="D1899" s="60">
        <f>COUNTIF($K$7:K1899,K1899)</f>
        <v>0</v>
      </c>
      <c r="E1899" s="61"/>
      <c r="F1899" s="232">
        <v>44602</v>
      </c>
      <c r="G1899" s="232"/>
      <c r="H1899" s="61" t="s">
        <v>150</v>
      </c>
      <c r="I1899" s="63" t="s">
        <v>947</v>
      </c>
      <c r="J1899" s="67">
        <v>117.04</v>
      </c>
      <c r="K1899" s="65"/>
      <c r="L1899" s="224">
        <v>18433780</v>
      </c>
      <c r="M1899" s="223"/>
      <c r="N1899" s="223"/>
      <c r="O1899" s="236"/>
      <c r="P1899" s="69" t="str">
        <f t="shared" si="133"/>
        <v>Pajak Dibayar Di Muka - PPh 25</v>
      </c>
      <c r="Q1899" s="61"/>
    </row>
    <row r="1900" spans="1:17" hidden="1" x14ac:dyDescent="0.25">
      <c r="A1900" s="60" t="str">
        <f t="shared" si="131"/>
        <v>3211,05</v>
      </c>
      <c r="B1900" s="60">
        <f>COUNTIF($J$7:J1900,J1900)</f>
        <v>3</v>
      </c>
      <c r="C1900" s="60" t="str">
        <f t="shared" si="132"/>
        <v>0</v>
      </c>
      <c r="D1900" s="60">
        <f>COUNTIF($K$7:K1900,K1900)</f>
        <v>0</v>
      </c>
      <c r="E1900" s="61"/>
      <c r="F1900" s="232">
        <v>44602</v>
      </c>
      <c r="G1900" s="232"/>
      <c r="H1900" s="61" t="s">
        <v>150</v>
      </c>
      <c r="I1900" s="63" t="s">
        <v>947</v>
      </c>
      <c r="J1900" s="67">
        <v>211.05</v>
      </c>
      <c r="K1900" s="65"/>
      <c r="L1900" s="224"/>
      <c r="M1900" s="223">
        <f>L1899</f>
        <v>18433780</v>
      </c>
      <c r="N1900" s="223"/>
      <c r="O1900" s="236"/>
      <c r="P1900" s="69" t="str">
        <f t="shared" si="133"/>
        <v>Hutang PPh 25</v>
      </c>
      <c r="Q1900" s="61"/>
    </row>
    <row r="1901" spans="1:17" hidden="1" x14ac:dyDescent="0.25">
      <c r="A1901" s="60" t="str">
        <f t="shared" si="131"/>
        <v>4610,31</v>
      </c>
      <c r="B1901" s="60">
        <f>COUNTIF($J$7:J1901,J1901)</f>
        <v>4</v>
      </c>
      <c r="C1901" s="60" t="str">
        <f t="shared" si="132"/>
        <v>0</v>
      </c>
      <c r="D1901" s="60">
        <f>COUNTIF($K$7:K1901,K1901)</f>
        <v>0</v>
      </c>
      <c r="E1901" s="61"/>
      <c r="F1901" s="232">
        <v>44620</v>
      </c>
      <c r="G1901" s="232"/>
      <c r="H1901" s="61" t="s">
        <v>150</v>
      </c>
      <c r="I1901" s="63" t="s">
        <v>948</v>
      </c>
      <c r="J1901" s="238">
        <v>610.30999999999995</v>
      </c>
      <c r="K1901" s="75"/>
      <c r="L1901" s="76">
        <v>650000</v>
      </c>
      <c r="M1901" s="67"/>
      <c r="N1901" s="67"/>
      <c r="O1901" s="61"/>
      <c r="P1901" s="69" t="str">
        <f t="shared" si="133"/>
        <v>Biaya Instalasi &amp; System</v>
      </c>
      <c r="Q1901" s="61"/>
    </row>
    <row r="1902" spans="1:17" hidden="1" x14ac:dyDescent="0.25">
      <c r="A1902" s="60" t="str">
        <f t="shared" si="131"/>
        <v>16211,02</v>
      </c>
      <c r="B1902" s="60">
        <f>COUNTIF($J$7:J1902,J1902)</f>
        <v>16</v>
      </c>
      <c r="C1902" s="60" t="str">
        <f t="shared" si="132"/>
        <v>0</v>
      </c>
      <c r="D1902" s="60">
        <f>COUNTIF($K$7:K1902,K1902)</f>
        <v>0</v>
      </c>
      <c r="E1902" s="61"/>
      <c r="F1902" s="232">
        <v>44620</v>
      </c>
      <c r="G1902" s="232"/>
      <c r="H1902" s="61" t="s">
        <v>150</v>
      </c>
      <c r="I1902" s="63" t="s">
        <v>948</v>
      </c>
      <c r="J1902" s="67">
        <v>211.02</v>
      </c>
      <c r="K1902" s="75"/>
      <c r="L1902" s="66"/>
      <c r="M1902" s="67">
        <f>L1901-M1903</f>
        <v>16250</v>
      </c>
      <c r="N1902" s="67"/>
      <c r="O1902" s="61" t="s">
        <v>943</v>
      </c>
      <c r="P1902" s="69" t="str">
        <f t="shared" si="133"/>
        <v>Hutang PPh 21</v>
      </c>
      <c r="Q1902" s="61"/>
    </row>
    <row r="1903" spans="1:17" hidden="1" x14ac:dyDescent="0.25">
      <c r="A1903" s="60" t="str">
        <f t="shared" si="131"/>
        <v>44220,03</v>
      </c>
      <c r="B1903" s="60">
        <f>COUNTIF($J$7:J1903,J1903)</f>
        <v>44</v>
      </c>
      <c r="C1903" s="60" t="str">
        <f t="shared" si="132"/>
        <v>0</v>
      </c>
      <c r="D1903" s="60">
        <f>COUNTIF($K$7:K1903,K1903)</f>
        <v>0</v>
      </c>
      <c r="E1903" s="61"/>
      <c r="F1903" s="232">
        <v>44620</v>
      </c>
      <c r="G1903" s="232"/>
      <c r="H1903" s="61" t="s">
        <v>150</v>
      </c>
      <c r="I1903" s="63" t="s">
        <v>948</v>
      </c>
      <c r="J1903" s="235">
        <v>220.03</v>
      </c>
      <c r="K1903" s="75"/>
      <c r="L1903" s="66"/>
      <c r="M1903" s="67">
        <v>633750</v>
      </c>
      <c r="N1903" s="67"/>
      <c r="O1903" s="61"/>
      <c r="P1903" s="69" t="str">
        <f t="shared" si="133"/>
        <v>Hutang BIaya</v>
      </c>
      <c r="Q1903" s="61"/>
    </row>
    <row r="1904" spans="1:17" hidden="1" x14ac:dyDescent="0.25">
      <c r="A1904" s="60" t="str">
        <f t="shared" si="131"/>
        <v>2610,23</v>
      </c>
      <c r="B1904" s="60">
        <f>COUNTIF($J$7:J1904,J1904)</f>
        <v>2</v>
      </c>
      <c r="C1904" s="60" t="str">
        <f t="shared" si="132"/>
        <v>0</v>
      </c>
      <c r="D1904" s="60">
        <f>COUNTIF($K$7:K1904,K1904)</f>
        <v>0</v>
      </c>
      <c r="E1904" s="61"/>
      <c r="F1904" s="232">
        <v>44620</v>
      </c>
      <c r="G1904" s="232"/>
      <c r="H1904" s="61" t="s">
        <v>150</v>
      </c>
      <c r="I1904" s="63" t="s">
        <v>949</v>
      </c>
      <c r="J1904" s="61">
        <v>610.23</v>
      </c>
      <c r="K1904" s="75"/>
      <c r="L1904" s="66">
        <v>1486155</v>
      </c>
      <c r="M1904" s="67"/>
      <c r="N1904" s="67"/>
      <c r="O1904" s="61"/>
      <c r="P1904" s="69" t="str">
        <f t="shared" si="133"/>
        <v>Biaya Pajak PPH 21</v>
      </c>
      <c r="Q1904" s="61"/>
    </row>
    <row r="1905" spans="1:17" hidden="1" x14ac:dyDescent="0.25">
      <c r="A1905" s="60" t="str">
        <f t="shared" si="131"/>
        <v>17211,02</v>
      </c>
      <c r="B1905" s="60">
        <f>COUNTIF($J$7:J1905,J1905)</f>
        <v>17</v>
      </c>
      <c r="C1905" s="60" t="str">
        <f t="shared" si="132"/>
        <v>0</v>
      </c>
      <c r="D1905" s="60">
        <f>COUNTIF($K$7:K1905,K1905)</f>
        <v>0</v>
      </c>
      <c r="E1905" s="61"/>
      <c r="F1905" s="232">
        <v>44620</v>
      </c>
      <c r="G1905" s="232"/>
      <c r="H1905" s="61" t="s">
        <v>150</v>
      </c>
      <c r="I1905" s="63" t="s">
        <v>949</v>
      </c>
      <c r="J1905" s="67">
        <v>211.02</v>
      </c>
      <c r="K1905" s="75"/>
      <c r="L1905" s="66"/>
      <c r="M1905" s="67">
        <f>L1904</f>
        <v>1486155</v>
      </c>
      <c r="N1905" s="67"/>
      <c r="O1905" s="61"/>
      <c r="P1905" s="69" t="str">
        <f t="shared" si="133"/>
        <v>Hutang PPh 21</v>
      </c>
      <c r="Q1905" s="61"/>
    </row>
    <row r="1906" spans="1:17" hidden="1" x14ac:dyDescent="0.25">
      <c r="A1906" s="60" t="str">
        <f t="shared" si="131"/>
        <v>32119</v>
      </c>
      <c r="B1906" s="60">
        <f>COUNTIF($J$7:J1906,J1906)</f>
        <v>32</v>
      </c>
      <c r="C1906" s="60" t="str">
        <f t="shared" si="132"/>
        <v>11119,02</v>
      </c>
      <c r="D1906" s="60">
        <f>COUNTIF($K$7:K1906,K1906)</f>
        <v>11</v>
      </c>
      <c r="E1906" s="61"/>
      <c r="F1906" s="239">
        <v>44594.521539351852</v>
      </c>
      <c r="G1906" s="72" t="s">
        <v>149</v>
      </c>
      <c r="H1906" s="73" t="s">
        <v>950</v>
      </c>
      <c r="I1906" s="240" t="s">
        <v>951</v>
      </c>
      <c r="J1906" s="76">
        <v>119</v>
      </c>
      <c r="K1906" s="75">
        <v>119.02</v>
      </c>
      <c r="L1906" s="224">
        <v>2000000</v>
      </c>
      <c r="M1906" s="223"/>
      <c r="N1906" s="223"/>
      <c r="O1906" s="61"/>
      <c r="P1906" s="69" t="str">
        <f t="shared" si="133"/>
        <v>Uang Muka Biaya Pengiriman dan Perjalanan Dinas Marketing</v>
      </c>
      <c r="Q1906" s="61"/>
    </row>
    <row r="1907" spans="1:17" hidden="1" x14ac:dyDescent="0.25">
      <c r="A1907" s="60" t="str">
        <f t="shared" si="131"/>
        <v>365211,01</v>
      </c>
      <c r="B1907" s="60">
        <f>COUNTIF($J$7:J1907,J1907)</f>
        <v>365</v>
      </c>
      <c r="C1907" s="60" t="str">
        <f t="shared" si="132"/>
        <v>0</v>
      </c>
      <c r="D1907" s="60">
        <f>COUNTIF($K$7:K1907,K1907)</f>
        <v>0</v>
      </c>
      <c r="E1907" s="61"/>
      <c r="F1907" s="239">
        <v>44594.521550925929</v>
      </c>
      <c r="G1907" s="72" t="s">
        <v>149</v>
      </c>
      <c r="H1907" s="73" t="s">
        <v>952</v>
      </c>
      <c r="I1907" s="63" t="s">
        <v>923</v>
      </c>
      <c r="J1907" s="67">
        <v>211.01</v>
      </c>
      <c r="K1907" s="65"/>
      <c r="L1907" s="224">
        <v>77061000</v>
      </c>
      <c r="M1907" s="223"/>
      <c r="N1907" s="223"/>
      <c r="O1907" s="61"/>
      <c r="P1907" s="69" t="str">
        <f t="shared" si="133"/>
        <v>Hutang Pajak PPN</v>
      </c>
      <c r="Q1907" s="61"/>
    </row>
    <row r="1908" spans="1:17" hidden="1" x14ac:dyDescent="0.25">
      <c r="A1908" s="60" t="str">
        <f t="shared" si="131"/>
        <v>7211,03</v>
      </c>
      <c r="B1908" s="60">
        <f>COUNTIF($J$7:J1908,J1908)</f>
        <v>7</v>
      </c>
      <c r="C1908" s="60" t="str">
        <f t="shared" si="132"/>
        <v>0</v>
      </c>
      <c r="D1908" s="60">
        <f>COUNTIF($K$7:K1908,K1908)</f>
        <v>0</v>
      </c>
      <c r="E1908" s="61"/>
      <c r="F1908" s="239">
        <v>44594.521550925929</v>
      </c>
      <c r="G1908" s="72" t="s">
        <v>149</v>
      </c>
      <c r="H1908" s="73" t="s">
        <v>952</v>
      </c>
      <c r="I1908" s="63" t="s">
        <v>923</v>
      </c>
      <c r="J1908" s="67">
        <v>211.03</v>
      </c>
      <c r="K1908" s="65"/>
      <c r="L1908" s="224">
        <v>57796000</v>
      </c>
      <c r="M1908" s="223"/>
      <c r="N1908" s="223"/>
      <c r="O1908" s="61"/>
      <c r="P1908" s="69" t="str">
        <f t="shared" si="133"/>
        <v>Hutang PPh 22</v>
      </c>
      <c r="Q1908" s="61"/>
    </row>
    <row r="1909" spans="1:17" hidden="1" x14ac:dyDescent="0.25">
      <c r="A1909" s="60" t="str">
        <f t="shared" si="131"/>
        <v>148111,01</v>
      </c>
      <c r="B1909" s="60">
        <f>COUNTIF($J$7:J1909,J1909)</f>
        <v>148</v>
      </c>
      <c r="C1909" s="60" t="str">
        <f t="shared" si="132"/>
        <v>0</v>
      </c>
      <c r="D1909" s="60">
        <f>COUNTIF($K$7:K1909,K1909)</f>
        <v>0</v>
      </c>
      <c r="E1909" s="61"/>
      <c r="F1909" s="239">
        <v>44594.521539351852</v>
      </c>
      <c r="G1909" s="72" t="s">
        <v>149</v>
      </c>
      <c r="H1909" s="73" t="s">
        <v>950</v>
      </c>
      <c r="I1909" s="240" t="s">
        <v>951</v>
      </c>
      <c r="J1909" s="67">
        <v>111.01</v>
      </c>
      <c r="K1909" s="65"/>
      <c r="L1909" s="224"/>
      <c r="M1909" s="223">
        <v>2000000</v>
      </c>
      <c r="N1909" s="223"/>
      <c r="O1909" s="61"/>
      <c r="P1909" s="69" t="str">
        <f t="shared" si="133"/>
        <v>BNI IDR 768</v>
      </c>
      <c r="Q1909" s="61"/>
    </row>
    <row r="1910" spans="1:17" hidden="1" x14ac:dyDescent="0.25">
      <c r="A1910" s="60" t="str">
        <f t="shared" si="131"/>
        <v>149111,01</v>
      </c>
      <c r="B1910" s="60">
        <f>COUNTIF($J$7:J1910,J1910)</f>
        <v>149</v>
      </c>
      <c r="C1910" s="60" t="str">
        <f t="shared" si="132"/>
        <v>0</v>
      </c>
      <c r="D1910" s="60">
        <f>COUNTIF($K$7:K1910,K1910)</f>
        <v>0</v>
      </c>
      <c r="E1910" s="61"/>
      <c r="F1910" s="239">
        <v>44594.521550925929</v>
      </c>
      <c r="G1910" s="72" t="s">
        <v>149</v>
      </c>
      <c r="H1910" s="73" t="s">
        <v>952</v>
      </c>
      <c r="I1910" s="63" t="s">
        <v>923</v>
      </c>
      <c r="J1910" s="67">
        <v>111.01</v>
      </c>
      <c r="K1910" s="65"/>
      <c r="L1910" s="224"/>
      <c r="M1910" s="223">
        <v>134857000</v>
      </c>
      <c r="N1910" s="223"/>
      <c r="O1910" s="61"/>
      <c r="P1910" s="69" t="str">
        <f t="shared" si="133"/>
        <v>BNI IDR 768</v>
      </c>
      <c r="Q1910" s="61"/>
    </row>
    <row r="1911" spans="1:17" hidden="1" x14ac:dyDescent="0.25">
      <c r="A1911" s="60" t="str">
        <f t="shared" si="131"/>
        <v>150111,01</v>
      </c>
      <c r="B1911" s="60">
        <f>COUNTIF($J$7:J1911,J1911)</f>
        <v>150</v>
      </c>
      <c r="C1911" s="60" t="str">
        <f t="shared" si="132"/>
        <v>0</v>
      </c>
      <c r="D1911" s="60">
        <f>COUNTIF($K$7:K1911,K1911)</f>
        <v>0</v>
      </c>
      <c r="E1911" s="61"/>
      <c r="F1911" s="239">
        <v>44595.400266203702</v>
      </c>
      <c r="G1911" s="72" t="s">
        <v>149</v>
      </c>
      <c r="H1911" s="73" t="s">
        <v>953</v>
      </c>
      <c r="I1911" s="240" t="s">
        <v>954</v>
      </c>
      <c r="J1911" s="67">
        <v>111.01</v>
      </c>
      <c r="K1911" s="65"/>
      <c r="L1911" s="224">
        <v>7785500</v>
      </c>
      <c r="M1911" s="223"/>
      <c r="N1911" s="223"/>
      <c r="O1911" s="61"/>
      <c r="P1911" s="69" t="str">
        <f t="shared" si="133"/>
        <v>BNI IDR 768</v>
      </c>
      <c r="Q1911" s="61"/>
    </row>
    <row r="1912" spans="1:17" hidden="1" x14ac:dyDescent="0.25">
      <c r="A1912" s="60" t="str">
        <f t="shared" si="131"/>
        <v>151111,01</v>
      </c>
      <c r="B1912" s="60">
        <f>COUNTIF($J$7:J1912,J1912)</f>
        <v>151</v>
      </c>
      <c r="C1912" s="60" t="str">
        <f t="shared" si="132"/>
        <v>0</v>
      </c>
      <c r="D1912" s="60">
        <f>COUNTIF($K$7:K1912,K1912)</f>
        <v>0</v>
      </c>
      <c r="E1912" s="61"/>
      <c r="F1912" s="239">
        <v>44595.400266203702</v>
      </c>
      <c r="G1912" s="72" t="s">
        <v>149</v>
      </c>
      <c r="H1912" s="73" t="s">
        <v>955</v>
      </c>
      <c r="I1912" s="240" t="s">
        <v>956</v>
      </c>
      <c r="J1912" s="67">
        <v>111.01</v>
      </c>
      <c r="K1912" s="65"/>
      <c r="L1912" s="224">
        <v>237699000</v>
      </c>
      <c r="M1912" s="223"/>
      <c r="N1912" s="223"/>
      <c r="O1912" s="61"/>
      <c r="P1912" s="69" t="str">
        <f t="shared" si="133"/>
        <v>BNI IDR 768</v>
      </c>
      <c r="Q1912" s="61"/>
    </row>
    <row r="1913" spans="1:17" hidden="1" x14ac:dyDescent="0.25">
      <c r="A1913" s="60" t="str">
        <f t="shared" si="131"/>
        <v>152111,01</v>
      </c>
      <c r="B1913" s="60">
        <f>COUNTIF($J$7:J1913,J1913)</f>
        <v>152</v>
      </c>
      <c r="C1913" s="60" t="str">
        <f t="shared" si="132"/>
        <v>0</v>
      </c>
      <c r="D1913" s="60">
        <f>COUNTIF($K$7:K1913,K1913)</f>
        <v>0</v>
      </c>
      <c r="E1913" s="61"/>
      <c r="F1913" s="239">
        <v>44595.578356481485</v>
      </c>
      <c r="G1913" s="72" t="s">
        <v>149</v>
      </c>
      <c r="H1913" s="73" t="s">
        <v>957</v>
      </c>
      <c r="I1913" s="240" t="s">
        <v>958</v>
      </c>
      <c r="J1913" s="67">
        <v>111.01</v>
      </c>
      <c r="K1913" s="65"/>
      <c r="L1913" s="224">
        <v>9837500</v>
      </c>
      <c r="M1913" s="223"/>
      <c r="N1913" s="223"/>
      <c r="O1913" s="61"/>
      <c r="P1913" s="69" t="str">
        <f t="shared" si="133"/>
        <v>BNI IDR 768</v>
      </c>
      <c r="Q1913" s="61"/>
    </row>
    <row r="1914" spans="1:17" hidden="1" x14ac:dyDescent="0.25">
      <c r="A1914" s="60" t="str">
        <f t="shared" si="131"/>
        <v>153111,01</v>
      </c>
      <c r="B1914" s="60">
        <f>COUNTIF($J$7:J1914,J1914)</f>
        <v>153</v>
      </c>
      <c r="C1914" s="60" t="str">
        <f t="shared" si="132"/>
        <v>0</v>
      </c>
      <c r="D1914" s="60">
        <f>COUNTIF($K$7:K1914,K1914)</f>
        <v>0</v>
      </c>
      <c r="E1914" s="61"/>
      <c r="F1914" s="239">
        <v>44595.606273148151</v>
      </c>
      <c r="G1914" s="72" t="s">
        <v>149</v>
      </c>
      <c r="H1914" s="73" t="s">
        <v>959</v>
      </c>
      <c r="I1914" s="240" t="s">
        <v>417</v>
      </c>
      <c r="J1914" s="67">
        <v>111.01</v>
      </c>
      <c r="K1914" s="65"/>
      <c r="L1914" s="224">
        <v>40910075</v>
      </c>
      <c r="M1914" s="223"/>
      <c r="N1914" s="223"/>
      <c r="O1914" s="61"/>
      <c r="P1914" s="69" t="str">
        <f t="shared" si="133"/>
        <v>BNI IDR 768</v>
      </c>
      <c r="Q1914" s="61"/>
    </row>
    <row r="1915" spans="1:17" hidden="1" x14ac:dyDescent="0.25">
      <c r="A1915" s="60" t="str">
        <f t="shared" si="131"/>
        <v>437112</v>
      </c>
      <c r="B1915" s="60">
        <f>COUNTIF($J$7:J1915,J1915)</f>
        <v>437</v>
      </c>
      <c r="C1915" s="60" t="str">
        <f t="shared" si="132"/>
        <v>71112,4</v>
      </c>
      <c r="D1915" s="60">
        <f>COUNTIF($K$7:K1915,K1915)</f>
        <v>71</v>
      </c>
      <c r="E1915" s="61"/>
      <c r="F1915" s="239">
        <v>44595.400266203702</v>
      </c>
      <c r="G1915" s="164" t="s">
        <v>149</v>
      </c>
      <c r="H1915" s="73" t="s">
        <v>953</v>
      </c>
      <c r="I1915" s="240" t="s">
        <v>954</v>
      </c>
      <c r="J1915" s="64">
        <v>112</v>
      </c>
      <c r="K1915" s="80">
        <v>112.4</v>
      </c>
      <c r="L1915" s="224"/>
      <c r="M1915" s="223">
        <v>7785500</v>
      </c>
      <c r="N1915" s="223"/>
      <c r="O1915" s="61"/>
      <c r="P1915" s="69" t="str">
        <f t="shared" si="133"/>
        <v>Piutang Usaha</v>
      </c>
      <c r="Q1915" s="61"/>
    </row>
    <row r="1916" spans="1:17" hidden="1" x14ac:dyDescent="0.25">
      <c r="A1916" s="60" t="str">
        <f t="shared" si="131"/>
        <v>438112</v>
      </c>
      <c r="B1916" s="60">
        <f>COUNTIF($J$7:J1916,J1916)</f>
        <v>438</v>
      </c>
      <c r="C1916" s="60" t="str">
        <f t="shared" si="132"/>
        <v>8112,09</v>
      </c>
      <c r="D1916" s="60">
        <f>COUNTIF($K$7:K1916,K1916)</f>
        <v>8</v>
      </c>
      <c r="E1916" s="61"/>
      <c r="F1916" s="239">
        <v>44595.400266203702</v>
      </c>
      <c r="G1916" s="164" t="s">
        <v>149</v>
      </c>
      <c r="H1916" s="73" t="s">
        <v>955</v>
      </c>
      <c r="I1916" s="240" t="s">
        <v>956</v>
      </c>
      <c r="J1916" s="64">
        <v>112</v>
      </c>
      <c r="K1916" s="80">
        <v>112.09</v>
      </c>
      <c r="L1916" s="224"/>
      <c r="M1916" s="223">
        <v>237699000</v>
      </c>
      <c r="N1916" s="223"/>
      <c r="O1916" s="61"/>
      <c r="P1916" s="69" t="str">
        <f t="shared" si="133"/>
        <v>Piutang Usaha</v>
      </c>
      <c r="Q1916" s="61"/>
    </row>
    <row r="1917" spans="1:17" hidden="1" x14ac:dyDescent="0.25">
      <c r="A1917" s="60" t="str">
        <f t="shared" si="131"/>
        <v>439112</v>
      </c>
      <c r="B1917" s="60">
        <f>COUNTIF($J$7:J1917,J1917)</f>
        <v>439</v>
      </c>
      <c r="C1917" s="60" t="str">
        <f t="shared" si="132"/>
        <v>23112,45</v>
      </c>
      <c r="D1917" s="60">
        <f>COUNTIF($K$7:K1917,K1917)</f>
        <v>23</v>
      </c>
      <c r="E1917" s="61"/>
      <c r="F1917" s="239">
        <v>44595.578356481485</v>
      </c>
      <c r="G1917" s="164" t="s">
        <v>149</v>
      </c>
      <c r="H1917" s="73" t="s">
        <v>957</v>
      </c>
      <c r="I1917" s="240" t="s">
        <v>958</v>
      </c>
      <c r="J1917" s="64">
        <v>112</v>
      </c>
      <c r="K1917" s="80">
        <v>112.45</v>
      </c>
      <c r="L1917" s="224"/>
      <c r="M1917" s="223">
        <v>9837500</v>
      </c>
      <c r="N1917" s="223"/>
      <c r="O1917" s="61"/>
      <c r="P1917" s="69" t="str">
        <f t="shared" si="133"/>
        <v>Piutang Usaha</v>
      </c>
      <c r="Q1917" s="61"/>
    </row>
    <row r="1918" spans="1:17" hidden="1" x14ac:dyDescent="0.25">
      <c r="A1918" s="60" t="str">
        <f t="shared" si="131"/>
        <v>440112</v>
      </c>
      <c r="B1918" s="60">
        <f>COUNTIF($J$7:J1918,J1918)</f>
        <v>440</v>
      </c>
      <c r="C1918" s="60" t="str">
        <f t="shared" si="132"/>
        <v>24112,45</v>
      </c>
      <c r="D1918" s="60">
        <f>COUNTIF($K$7:K1918,K1918)</f>
        <v>24</v>
      </c>
      <c r="E1918" s="61"/>
      <c r="F1918" s="239">
        <v>44595.606273148151</v>
      </c>
      <c r="G1918" s="164" t="s">
        <v>149</v>
      </c>
      <c r="H1918" s="73" t="s">
        <v>959</v>
      </c>
      <c r="I1918" s="240" t="s">
        <v>417</v>
      </c>
      <c r="J1918" s="64">
        <v>112</v>
      </c>
      <c r="K1918" s="80">
        <v>112.45</v>
      </c>
      <c r="L1918" s="224"/>
      <c r="M1918" s="223">
        <v>40910075</v>
      </c>
      <c r="N1918" s="223"/>
      <c r="O1918" s="61"/>
      <c r="P1918" s="69" t="str">
        <f t="shared" si="133"/>
        <v>Piutang Usaha</v>
      </c>
      <c r="Q1918" s="61"/>
    </row>
    <row r="1919" spans="1:17" hidden="1" x14ac:dyDescent="0.25">
      <c r="A1919" s="60" t="str">
        <f t="shared" si="131"/>
        <v>154111,01</v>
      </c>
      <c r="B1919" s="60">
        <f>COUNTIF($J$7:J1919,J1919)</f>
        <v>154</v>
      </c>
      <c r="C1919" s="60" t="str">
        <f t="shared" si="132"/>
        <v>0</v>
      </c>
      <c r="D1919" s="60">
        <f>COUNTIF($K$7:K1919,K1919)</f>
        <v>0</v>
      </c>
      <c r="E1919" s="61"/>
      <c r="F1919" s="239">
        <v>44595.629953703705</v>
      </c>
      <c r="G1919" s="72" t="s">
        <v>149</v>
      </c>
      <c r="H1919" s="73" t="s">
        <v>960</v>
      </c>
      <c r="I1919" s="240" t="s">
        <v>961</v>
      </c>
      <c r="J1919" s="67">
        <v>111.01</v>
      </c>
      <c r="K1919" s="65"/>
      <c r="L1919" s="224">
        <v>39722899</v>
      </c>
      <c r="M1919" s="223"/>
      <c r="N1919" s="223"/>
      <c r="O1919" s="61"/>
      <c r="P1919" s="69" t="str">
        <f t="shared" si="133"/>
        <v>BNI IDR 768</v>
      </c>
      <c r="Q1919" s="61"/>
    </row>
    <row r="1920" spans="1:17" hidden="1" x14ac:dyDescent="0.25">
      <c r="A1920" s="60" t="str">
        <f t="shared" si="131"/>
        <v>35810,01</v>
      </c>
      <c r="B1920" s="60">
        <f>COUNTIF($J$7:J1920,J1920)</f>
        <v>35</v>
      </c>
      <c r="C1920" s="60" t="str">
        <f t="shared" si="132"/>
        <v>0</v>
      </c>
      <c r="D1920" s="60">
        <f>COUNTIF($K$7:K1920,K1920)</f>
        <v>0</v>
      </c>
      <c r="E1920" s="61"/>
      <c r="F1920" s="239">
        <v>44595.629953703705</v>
      </c>
      <c r="G1920" s="72" t="s">
        <v>149</v>
      </c>
      <c r="H1920" s="73" t="s">
        <v>960</v>
      </c>
      <c r="I1920" s="240" t="s">
        <v>962</v>
      </c>
      <c r="J1920" s="67">
        <v>810.01</v>
      </c>
      <c r="K1920" s="65"/>
      <c r="L1920" s="224">
        <v>2500</v>
      </c>
      <c r="M1920" s="223"/>
      <c r="N1920" s="223"/>
      <c r="O1920" s="61"/>
      <c r="P1920" s="69" t="str">
        <f t="shared" si="133"/>
        <v>Biaya Admin Transfer dan Rek</v>
      </c>
      <c r="Q1920" s="61"/>
    </row>
    <row r="1921" spans="1:17" hidden="1" x14ac:dyDescent="0.25">
      <c r="A1921" s="60" t="str">
        <f t="shared" si="131"/>
        <v>441112</v>
      </c>
      <c r="B1921" s="60">
        <f>COUNTIF($J$7:J1921,J1921)</f>
        <v>441</v>
      </c>
      <c r="C1921" s="60" t="str">
        <f t="shared" si="132"/>
        <v>72112,4</v>
      </c>
      <c r="D1921" s="60">
        <f>COUNTIF($K$7:K1921,K1921)</f>
        <v>72</v>
      </c>
      <c r="E1921" s="61"/>
      <c r="F1921" s="239">
        <v>44595.629953703705</v>
      </c>
      <c r="G1921" s="164" t="s">
        <v>149</v>
      </c>
      <c r="H1921" s="73" t="s">
        <v>960</v>
      </c>
      <c r="I1921" s="240" t="s">
        <v>961</v>
      </c>
      <c r="J1921" s="64">
        <v>112</v>
      </c>
      <c r="K1921" s="80">
        <v>112.4</v>
      </c>
      <c r="L1921" s="224"/>
      <c r="M1921" s="223">
        <v>39725399</v>
      </c>
      <c r="N1921" s="223"/>
      <c r="O1921" s="61"/>
      <c r="P1921" s="69" t="str">
        <f t="shared" si="133"/>
        <v>Piutang Usaha</v>
      </c>
      <c r="Q1921" s="61"/>
    </row>
    <row r="1922" spans="1:17" hidden="1" x14ac:dyDescent="0.25">
      <c r="A1922" s="60" t="str">
        <f t="shared" si="131"/>
        <v>33119</v>
      </c>
      <c r="B1922" s="60">
        <f>COUNTIF($J$7:J1922,J1922)</f>
        <v>33</v>
      </c>
      <c r="C1922" s="60" t="str">
        <f t="shared" si="132"/>
        <v>14119,01</v>
      </c>
      <c r="D1922" s="60">
        <f>COUNTIF($K$7:K1922,K1922)</f>
        <v>14</v>
      </c>
      <c r="E1922" s="61"/>
      <c r="F1922" s="239">
        <v>44596.686412037037</v>
      </c>
      <c r="G1922" s="72" t="s">
        <v>149</v>
      </c>
      <c r="H1922" s="73" t="s">
        <v>963</v>
      </c>
      <c r="I1922" s="240" t="s">
        <v>964</v>
      </c>
      <c r="J1922" s="76">
        <v>119</v>
      </c>
      <c r="K1922" s="75">
        <v>119.01</v>
      </c>
      <c r="L1922" s="224">
        <v>2300000</v>
      </c>
      <c r="M1922" s="223"/>
      <c r="N1922" s="223"/>
      <c r="O1922" s="61"/>
      <c r="P1922" s="69" t="str">
        <f t="shared" si="133"/>
        <v>Uang Muka Biaya Pengiriman dan Perjalanan Dinas Marketing</v>
      </c>
      <c r="Q1922" s="61"/>
    </row>
    <row r="1923" spans="1:17" hidden="1" x14ac:dyDescent="0.25">
      <c r="A1923" s="60" t="str">
        <f t="shared" si="131"/>
        <v>155111,01</v>
      </c>
      <c r="B1923" s="60">
        <f>COUNTIF($J$7:J1923,J1923)</f>
        <v>155</v>
      </c>
      <c r="C1923" s="60" t="str">
        <f t="shared" si="132"/>
        <v>0</v>
      </c>
      <c r="D1923" s="60">
        <f>COUNTIF($K$7:K1923,K1923)</f>
        <v>0</v>
      </c>
      <c r="E1923" s="61"/>
      <c r="F1923" s="239">
        <v>44596.686412037037</v>
      </c>
      <c r="G1923" s="72" t="s">
        <v>149</v>
      </c>
      <c r="H1923" s="73" t="s">
        <v>963</v>
      </c>
      <c r="I1923" s="240" t="s">
        <v>964</v>
      </c>
      <c r="J1923" s="67">
        <v>111.01</v>
      </c>
      <c r="K1923" s="65"/>
      <c r="L1923" s="224"/>
      <c r="M1923" s="223">
        <v>2300000</v>
      </c>
      <c r="N1923" s="223"/>
      <c r="O1923" s="61"/>
      <c r="P1923" s="69" t="str">
        <f t="shared" si="133"/>
        <v>BNI IDR 768</v>
      </c>
      <c r="Q1923" s="61"/>
    </row>
    <row r="1924" spans="1:17" hidden="1" x14ac:dyDescent="0.25">
      <c r="A1924" s="60" t="str">
        <f t="shared" si="131"/>
        <v>156111,01</v>
      </c>
      <c r="B1924" s="60">
        <f>COUNTIF($J$7:J1924,J1924)</f>
        <v>156</v>
      </c>
      <c r="C1924" s="60" t="str">
        <f t="shared" si="132"/>
        <v>0</v>
      </c>
      <c r="D1924" s="60">
        <f>COUNTIF($K$7:K1924,K1924)</f>
        <v>0</v>
      </c>
      <c r="E1924" s="61"/>
      <c r="F1924" s="239">
        <v>44599.418206018519</v>
      </c>
      <c r="G1924" s="72" t="s">
        <v>149</v>
      </c>
      <c r="H1924" s="73" t="s">
        <v>965</v>
      </c>
      <c r="I1924" s="240" t="s">
        <v>966</v>
      </c>
      <c r="J1924" s="67">
        <v>111.01</v>
      </c>
      <c r="K1924" s="65"/>
      <c r="L1924" s="224">
        <v>303500</v>
      </c>
      <c r="M1924" s="223"/>
      <c r="N1924" s="223"/>
      <c r="O1924" s="61"/>
      <c r="P1924" s="69" t="str">
        <f t="shared" si="133"/>
        <v>BNI IDR 768</v>
      </c>
      <c r="Q1924" s="61"/>
    </row>
    <row r="1925" spans="1:17" hidden="1" x14ac:dyDescent="0.25">
      <c r="A1925" s="60" t="str">
        <f t="shared" si="131"/>
        <v>34119</v>
      </c>
      <c r="B1925" s="60">
        <f>COUNTIF($J$7:J1925,J1925)</f>
        <v>34</v>
      </c>
      <c r="C1925" s="60" t="str">
        <f t="shared" si="132"/>
        <v>15119,01</v>
      </c>
      <c r="D1925" s="60">
        <f>COUNTIF($K$7:K1925,K1925)</f>
        <v>15</v>
      </c>
      <c r="E1925" s="61"/>
      <c r="F1925" s="239">
        <v>44599.418206018519</v>
      </c>
      <c r="G1925" s="72" t="s">
        <v>149</v>
      </c>
      <c r="H1925" s="73" t="s">
        <v>965</v>
      </c>
      <c r="I1925" s="240" t="s">
        <v>966</v>
      </c>
      <c r="J1925" s="76">
        <v>119</v>
      </c>
      <c r="K1925" s="75">
        <v>119.01</v>
      </c>
      <c r="L1925" s="224"/>
      <c r="M1925" s="223">
        <v>303500</v>
      </c>
      <c r="N1925" s="223"/>
      <c r="O1925" s="61"/>
      <c r="P1925" s="69" t="str">
        <f t="shared" si="133"/>
        <v>Uang Muka Biaya Pengiriman dan Perjalanan Dinas Marketing</v>
      </c>
      <c r="Q1925" s="61"/>
    </row>
    <row r="1926" spans="1:17" hidden="1" x14ac:dyDescent="0.25">
      <c r="A1926" s="60" t="str">
        <f t="shared" si="131"/>
        <v>45220,03</v>
      </c>
      <c r="B1926" s="60">
        <f>COUNTIF($J$7:J1926,J1926)</f>
        <v>45</v>
      </c>
      <c r="C1926" s="60" t="str">
        <f t="shared" si="132"/>
        <v>0</v>
      </c>
      <c r="D1926" s="60">
        <f>COUNTIF($K$7:K1926,K1926)</f>
        <v>0</v>
      </c>
      <c r="E1926" s="61"/>
      <c r="F1926" s="239">
        <v>44599.666504629633</v>
      </c>
      <c r="G1926" s="72" t="s">
        <v>149</v>
      </c>
      <c r="H1926" s="73" t="s">
        <v>967</v>
      </c>
      <c r="I1926" s="240" t="s">
        <v>968</v>
      </c>
      <c r="J1926" s="235">
        <v>220.03</v>
      </c>
      <c r="K1926" s="65"/>
      <c r="L1926" s="224">
        <v>162000</v>
      </c>
      <c r="M1926" s="223"/>
      <c r="N1926" s="223"/>
      <c r="O1926" s="61"/>
      <c r="P1926" s="69" t="str">
        <f t="shared" si="133"/>
        <v>Hutang BIaya</v>
      </c>
      <c r="Q1926" s="61"/>
    </row>
    <row r="1927" spans="1:17" hidden="1" x14ac:dyDescent="0.25">
      <c r="A1927" s="60" t="str">
        <f t="shared" ref="A1927:A1990" si="134">B1927&amp;J1927</f>
        <v>46220,03</v>
      </c>
      <c r="B1927" s="60">
        <f>COUNTIF($J$7:J1927,J1927)</f>
        <v>46</v>
      </c>
      <c r="C1927" s="60" t="str">
        <f t="shared" ref="C1927:C1990" si="135">D1927&amp;K1927</f>
        <v>0</v>
      </c>
      <c r="D1927" s="60">
        <f>COUNTIF($K$7:K1927,K1927)</f>
        <v>0</v>
      </c>
      <c r="E1927" s="61"/>
      <c r="F1927" s="239">
        <v>44599.666504629633</v>
      </c>
      <c r="G1927" s="72" t="s">
        <v>149</v>
      </c>
      <c r="H1927" s="73" t="s">
        <v>969</v>
      </c>
      <c r="I1927" s="240" t="s">
        <v>970</v>
      </c>
      <c r="J1927" s="235">
        <v>220.03</v>
      </c>
      <c r="K1927" s="65"/>
      <c r="L1927" s="224">
        <v>1789000</v>
      </c>
      <c r="M1927" s="223"/>
      <c r="N1927" s="223"/>
      <c r="O1927" s="61"/>
      <c r="P1927" s="69" t="str">
        <f t="shared" ref="P1927:P1990" si="136">IF(J1927=0,"-",+VLOOKUP(J1927,DAF_AKUN,2,FALSE))</f>
        <v>Hutang BIaya</v>
      </c>
      <c r="Q1927" s="61"/>
    </row>
    <row r="1928" spans="1:17" hidden="1" x14ac:dyDescent="0.25">
      <c r="A1928" s="60" t="str">
        <f t="shared" si="134"/>
        <v>35119</v>
      </c>
      <c r="B1928" s="60">
        <f>COUNTIF($J$7:J1928,J1928)</f>
        <v>35</v>
      </c>
      <c r="C1928" s="60" t="str">
        <f t="shared" si="135"/>
        <v>16119,01</v>
      </c>
      <c r="D1928" s="60">
        <f>COUNTIF($K$7:K1928,K1928)</f>
        <v>16</v>
      </c>
      <c r="E1928" s="61"/>
      <c r="F1928" s="239">
        <v>44599.666516203702</v>
      </c>
      <c r="G1928" s="72" t="s">
        <v>149</v>
      </c>
      <c r="H1928" s="73" t="s">
        <v>971</v>
      </c>
      <c r="I1928" s="240" t="s">
        <v>972</v>
      </c>
      <c r="J1928" s="76">
        <v>119</v>
      </c>
      <c r="K1928" s="75">
        <v>119.01</v>
      </c>
      <c r="L1928" s="224">
        <v>2000000</v>
      </c>
      <c r="M1928" s="223"/>
      <c r="N1928" s="223"/>
      <c r="O1928" s="61"/>
      <c r="P1928" s="69" t="str">
        <f t="shared" si="136"/>
        <v>Uang Muka Biaya Pengiriman dan Perjalanan Dinas Marketing</v>
      </c>
      <c r="Q1928" s="61"/>
    </row>
    <row r="1929" spans="1:17" hidden="1" x14ac:dyDescent="0.25">
      <c r="A1929" s="60" t="str">
        <f t="shared" si="134"/>
        <v>47220,03</v>
      </c>
      <c r="B1929" s="60">
        <f>COUNTIF($J$7:J1929,J1929)</f>
        <v>47</v>
      </c>
      <c r="C1929" s="60" t="str">
        <f t="shared" si="135"/>
        <v>0</v>
      </c>
      <c r="D1929" s="60">
        <f>COUNTIF($K$7:K1929,K1929)</f>
        <v>0</v>
      </c>
      <c r="E1929" s="61"/>
      <c r="F1929" s="239">
        <v>44599.666516203702</v>
      </c>
      <c r="G1929" s="72" t="s">
        <v>149</v>
      </c>
      <c r="H1929" s="73" t="s">
        <v>973</v>
      </c>
      <c r="I1929" s="240" t="s">
        <v>974</v>
      </c>
      <c r="J1929" s="235">
        <v>220.03</v>
      </c>
      <c r="K1929" s="65"/>
      <c r="L1929" s="224">
        <v>162000</v>
      </c>
      <c r="M1929" s="223"/>
      <c r="N1929" s="223"/>
      <c r="O1929" s="61"/>
      <c r="P1929" s="69" t="str">
        <f t="shared" si="136"/>
        <v>Hutang BIaya</v>
      </c>
      <c r="Q1929" s="61"/>
    </row>
    <row r="1930" spans="1:17" hidden="1" x14ac:dyDescent="0.25">
      <c r="A1930" s="60" t="str">
        <f t="shared" si="134"/>
        <v>9610,09</v>
      </c>
      <c r="B1930" s="60">
        <f>COUNTIF($J$7:J1930,J1930)</f>
        <v>9</v>
      </c>
      <c r="C1930" s="60" t="str">
        <f t="shared" si="135"/>
        <v>0</v>
      </c>
      <c r="D1930" s="60">
        <f>COUNTIF($K$7:K1930,K1930)</f>
        <v>0</v>
      </c>
      <c r="E1930" s="61"/>
      <c r="F1930" s="239">
        <v>44599.666516203702</v>
      </c>
      <c r="G1930" s="72" t="s">
        <v>149</v>
      </c>
      <c r="H1930" s="73" t="s">
        <v>975</v>
      </c>
      <c r="I1930" s="240" t="s">
        <v>976</v>
      </c>
      <c r="J1930" s="221">
        <v>610.09</v>
      </c>
      <c r="K1930" s="65"/>
      <c r="L1930" s="224">
        <v>214290</v>
      </c>
      <c r="M1930" s="223"/>
      <c r="N1930" s="223"/>
      <c r="O1930" s="61"/>
      <c r="P1930" s="69" t="str">
        <f t="shared" si="136"/>
        <v>Biaya ATK &amp; Perlengkapan Kantor</v>
      </c>
      <c r="Q1930" s="61"/>
    </row>
    <row r="1931" spans="1:17" hidden="1" x14ac:dyDescent="0.25">
      <c r="A1931" s="60" t="str">
        <f t="shared" si="134"/>
        <v>36810,01</v>
      </c>
      <c r="B1931" s="60">
        <f>COUNTIF($J$7:J1931,J1931)</f>
        <v>36</v>
      </c>
      <c r="C1931" s="60" t="str">
        <f t="shared" si="135"/>
        <v>0</v>
      </c>
      <c r="D1931" s="60">
        <f>COUNTIF($K$7:K1931,K1931)</f>
        <v>0</v>
      </c>
      <c r="E1931" s="61"/>
      <c r="F1931" s="239">
        <v>44599</v>
      </c>
      <c r="G1931" s="72" t="s">
        <v>149</v>
      </c>
      <c r="H1931" s="73" t="s">
        <v>975</v>
      </c>
      <c r="I1931" s="240" t="s">
        <v>282</v>
      </c>
      <c r="J1931" s="67">
        <v>810.01</v>
      </c>
      <c r="K1931" s="65"/>
      <c r="L1931" s="224">
        <v>6500</v>
      </c>
      <c r="M1931" s="223"/>
      <c r="N1931" s="223"/>
      <c r="O1931" s="61"/>
      <c r="P1931" s="69" t="str">
        <f t="shared" si="136"/>
        <v>Biaya Admin Transfer dan Rek</v>
      </c>
      <c r="Q1931" s="61"/>
    </row>
    <row r="1932" spans="1:17" hidden="1" x14ac:dyDescent="0.25">
      <c r="A1932" s="60" t="str">
        <f t="shared" si="134"/>
        <v>36119</v>
      </c>
      <c r="B1932" s="60">
        <f>COUNTIF($J$7:J1932,J1932)</f>
        <v>36</v>
      </c>
      <c r="C1932" s="60" t="str">
        <f t="shared" si="135"/>
        <v>5119,07</v>
      </c>
      <c r="D1932" s="60">
        <f>COUNTIF($K$7:K1932,K1932)</f>
        <v>5</v>
      </c>
      <c r="E1932" s="61"/>
      <c r="F1932" s="239">
        <v>44599.666539351849</v>
      </c>
      <c r="G1932" s="72" t="s">
        <v>149</v>
      </c>
      <c r="H1932" s="73" t="s">
        <v>977</v>
      </c>
      <c r="I1932" s="240" t="s">
        <v>978</v>
      </c>
      <c r="J1932" s="76">
        <v>119</v>
      </c>
      <c r="K1932" s="80">
        <v>119.07</v>
      </c>
      <c r="L1932" s="224">
        <v>2100000</v>
      </c>
      <c r="M1932" s="223"/>
      <c r="N1932" s="223"/>
      <c r="O1932" s="61"/>
      <c r="P1932" s="69" t="str">
        <f t="shared" si="136"/>
        <v>Uang Muka Biaya Pengiriman dan Perjalanan Dinas Marketing</v>
      </c>
      <c r="Q1932" s="61"/>
    </row>
    <row r="1933" spans="1:17" hidden="1" x14ac:dyDescent="0.25">
      <c r="A1933" s="60" t="str">
        <f t="shared" si="134"/>
        <v>157111,01</v>
      </c>
      <c r="B1933" s="60">
        <f>COUNTIF($J$7:J1933,J1933)</f>
        <v>157</v>
      </c>
      <c r="C1933" s="60" t="str">
        <f t="shared" si="135"/>
        <v>0</v>
      </c>
      <c r="D1933" s="60">
        <f>COUNTIF($K$7:K1933,K1933)</f>
        <v>0</v>
      </c>
      <c r="E1933" s="61"/>
      <c r="F1933" s="239">
        <v>44599.666504629633</v>
      </c>
      <c r="G1933" s="72" t="s">
        <v>149</v>
      </c>
      <c r="H1933" s="73" t="s">
        <v>967</v>
      </c>
      <c r="I1933" s="240" t="s">
        <v>968</v>
      </c>
      <c r="J1933" s="67">
        <v>111.01</v>
      </c>
      <c r="K1933" s="65"/>
      <c r="L1933" s="224"/>
      <c r="M1933" s="223">
        <v>162000</v>
      </c>
      <c r="N1933" s="223"/>
      <c r="O1933" s="61"/>
      <c r="P1933" s="69" t="str">
        <f t="shared" si="136"/>
        <v>BNI IDR 768</v>
      </c>
      <c r="Q1933" s="61"/>
    </row>
    <row r="1934" spans="1:17" hidden="1" x14ac:dyDescent="0.25">
      <c r="A1934" s="60" t="str">
        <f t="shared" si="134"/>
        <v>158111,01</v>
      </c>
      <c r="B1934" s="60">
        <f>COUNTIF($J$7:J1934,J1934)</f>
        <v>158</v>
      </c>
      <c r="C1934" s="60" t="str">
        <f t="shared" si="135"/>
        <v>0</v>
      </c>
      <c r="D1934" s="60">
        <f>COUNTIF($K$7:K1934,K1934)</f>
        <v>0</v>
      </c>
      <c r="E1934" s="61"/>
      <c r="F1934" s="239">
        <v>44599.666504629633</v>
      </c>
      <c r="G1934" s="72" t="s">
        <v>149</v>
      </c>
      <c r="H1934" s="73" t="s">
        <v>969</v>
      </c>
      <c r="I1934" s="240" t="s">
        <v>970</v>
      </c>
      <c r="J1934" s="67">
        <v>111.01</v>
      </c>
      <c r="K1934" s="65"/>
      <c r="L1934" s="224"/>
      <c r="M1934" s="223">
        <v>1789000</v>
      </c>
      <c r="N1934" s="223"/>
      <c r="O1934" s="61"/>
      <c r="P1934" s="69" t="str">
        <f t="shared" si="136"/>
        <v>BNI IDR 768</v>
      </c>
      <c r="Q1934" s="61"/>
    </row>
    <row r="1935" spans="1:17" hidden="1" x14ac:dyDescent="0.25">
      <c r="A1935" s="60" t="str">
        <f t="shared" si="134"/>
        <v>159111,01</v>
      </c>
      <c r="B1935" s="60">
        <f>COUNTIF($J$7:J1935,J1935)</f>
        <v>159</v>
      </c>
      <c r="C1935" s="60" t="str">
        <f t="shared" si="135"/>
        <v>0</v>
      </c>
      <c r="D1935" s="60">
        <f>COUNTIF($K$7:K1935,K1935)</f>
        <v>0</v>
      </c>
      <c r="E1935" s="61"/>
      <c r="F1935" s="239">
        <v>44599.666516203702</v>
      </c>
      <c r="G1935" s="72" t="s">
        <v>149</v>
      </c>
      <c r="H1935" s="73" t="s">
        <v>971</v>
      </c>
      <c r="I1935" s="240" t="s">
        <v>972</v>
      </c>
      <c r="J1935" s="67">
        <v>111.01</v>
      </c>
      <c r="K1935" s="65"/>
      <c r="L1935" s="224"/>
      <c r="M1935" s="223">
        <v>2000000</v>
      </c>
      <c r="N1935" s="223"/>
      <c r="O1935" s="61"/>
      <c r="P1935" s="69" t="str">
        <f t="shared" si="136"/>
        <v>BNI IDR 768</v>
      </c>
      <c r="Q1935" s="61"/>
    </row>
    <row r="1936" spans="1:17" hidden="1" x14ac:dyDescent="0.25">
      <c r="A1936" s="60" t="str">
        <f t="shared" si="134"/>
        <v>160111,01</v>
      </c>
      <c r="B1936" s="60">
        <f>COUNTIF($J$7:J1936,J1936)</f>
        <v>160</v>
      </c>
      <c r="C1936" s="60" t="str">
        <f t="shared" si="135"/>
        <v>0</v>
      </c>
      <c r="D1936" s="60">
        <f>COUNTIF($K$7:K1936,K1936)</f>
        <v>0</v>
      </c>
      <c r="E1936" s="61"/>
      <c r="F1936" s="239">
        <v>44599.666516203702</v>
      </c>
      <c r="G1936" s="72" t="s">
        <v>149</v>
      </c>
      <c r="H1936" s="73" t="s">
        <v>973</v>
      </c>
      <c r="I1936" s="240" t="s">
        <v>974</v>
      </c>
      <c r="J1936" s="67">
        <v>111.01</v>
      </c>
      <c r="K1936" s="65"/>
      <c r="L1936" s="224"/>
      <c r="M1936" s="223">
        <v>162000</v>
      </c>
      <c r="N1936" s="223"/>
      <c r="O1936" s="61"/>
      <c r="P1936" s="69" t="str">
        <f t="shared" si="136"/>
        <v>BNI IDR 768</v>
      </c>
      <c r="Q1936" s="61"/>
    </row>
    <row r="1937" spans="1:17" hidden="1" x14ac:dyDescent="0.25">
      <c r="A1937" s="60" t="str">
        <f t="shared" si="134"/>
        <v>161111,01</v>
      </c>
      <c r="B1937" s="60">
        <f>COUNTIF($J$7:J1937,J1937)</f>
        <v>161</v>
      </c>
      <c r="C1937" s="60" t="str">
        <f t="shared" si="135"/>
        <v>0</v>
      </c>
      <c r="D1937" s="60">
        <f>COUNTIF($K$7:K1937,K1937)</f>
        <v>0</v>
      </c>
      <c r="E1937" s="61"/>
      <c r="F1937" s="239">
        <v>44599.666516203702</v>
      </c>
      <c r="G1937" s="72" t="s">
        <v>149</v>
      </c>
      <c r="H1937" s="73" t="s">
        <v>975</v>
      </c>
      <c r="I1937" s="240" t="s">
        <v>979</v>
      </c>
      <c r="J1937" s="67">
        <v>111.01</v>
      </c>
      <c r="K1937" s="65"/>
      <c r="L1937" s="224"/>
      <c r="M1937" s="223">
        <v>214290</v>
      </c>
      <c r="N1937" s="223"/>
      <c r="O1937" s="61"/>
      <c r="P1937" s="69" t="str">
        <f t="shared" si="136"/>
        <v>BNI IDR 768</v>
      </c>
      <c r="Q1937" s="61"/>
    </row>
    <row r="1938" spans="1:17" hidden="1" x14ac:dyDescent="0.25">
      <c r="A1938" s="60" t="str">
        <f t="shared" si="134"/>
        <v>162111,01</v>
      </c>
      <c r="B1938" s="60">
        <f>COUNTIF($J$7:J1938,J1938)</f>
        <v>162</v>
      </c>
      <c r="C1938" s="60" t="str">
        <f t="shared" si="135"/>
        <v>0</v>
      </c>
      <c r="D1938" s="60">
        <f>COUNTIF($K$7:K1938,K1938)</f>
        <v>0</v>
      </c>
      <c r="E1938" s="61"/>
      <c r="F1938" s="239">
        <v>44599</v>
      </c>
      <c r="G1938" s="72" t="s">
        <v>149</v>
      </c>
      <c r="H1938" s="73" t="s">
        <v>975</v>
      </c>
      <c r="I1938" s="240" t="s">
        <v>282</v>
      </c>
      <c r="J1938" s="67">
        <v>111.01</v>
      </c>
      <c r="K1938" s="65"/>
      <c r="L1938" s="224"/>
      <c r="M1938" s="223">
        <v>6500</v>
      </c>
      <c r="N1938" s="223"/>
      <c r="O1938" s="61"/>
      <c r="P1938" s="69" t="str">
        <f t="shared" si="136"/>
        <v>BNI IDR 768</v>
      </c>
      <c r="Q1938" s="61"/>
    </row>
    <row r="1939" spans="1:17" hidden="1" x14ac:dyDescent="0.25">
      <c r="A1939" s="60" t="str">
        <f t="shared" si="134"/>
        <v>163111,01</v>
      </c>
      <c r="B1939" s="60">
        <f>COUNTIF($J$7:J1939,J1939)</f>
        <v>163</v>
      </c>
      <c r="C1939" s="60" t="str">
        <f t="shared" si="135"/>
        <v>0</v>
      </c>
      <c r="D1939" s="60">
        <f>COUNTIF($K$7:K1939,K1939)</f>
        <v>0</v>
      </c>
      <c r="E1939" s="61"/>
      <c r="F1939" s="239">
        <v>44599.666539351849</v>
      </c>
      <c r="G1939" s="72" t="s">
        <v>149</v>
      </c>
      <c r="H1939" s="73" t="s">
        <v>977</v>
      </c>
      <c r="I1939" s="240" t="s">
        <v>978</v>
      </c>
      <c r="J1939" s="67">
        <v>111.01</v>
      </c>
      <c r="K1939" s="65"/>
      <c r="L1939" s="224"/>
      <c r="M1939" s="223">
        <v>2100000</v>
      </c>
      <c r="N1939" s="223"/>
      <c r="O1939" s="61"/>
      <c r="P1939" s="69" t="str">
        <f t="shared" si="136"/>
        <v>BNI IDR 768</v>
      </c>
      <c r="Q1939" s="61"/>
    </row>
    <row r="1940" spans="1:17" hidden="1" x14ac:dyDescent="0.25">
      <c r="A1940" s="60" t="str">
        <f t="shared" si="134"/>
        <v>164111,01</v>
      </c>
      <c r="B1940" s="60">
        <f>COUNTIF($J$7:J1940,J1940)</f>
        <v>164</v>
      </c>
      <c r="C1940" s="60" t="str">
        <f t="shared" si="135"/>
        <v>0</v>
      </c>
      <c r="D1940" s="60">
        <f>COUNTIF($K$7:K1940,K1940)</f>
        <v>0</v>
      </c>
      <c r="E1940" s="61"/>
      <c r="F1940" s="239">
        <v>44599.77920138889</v>
      </c>
      <c r="G1940" s="72" t="s">
        <v>149</v>
      </c>
      <c r="H1940" s="73" t="s">
        <v>980</v>
      </c>
      <c r="I1940" s="240" t="s">
        <v>981</v>
      </c>
      <c r="J1940" s="67">
        <v>111.01</v>
      </c>
      <c r="K1940" s="65"/>
      <c r="L1940" s="224">
        <v>162000</v>
      </c>
      <c r="M1940" s="223"/>
      <c r="N1940" s="223"/>
      <c r="O1940" s="61"/>
      <c r="P1940" s="69" t="str">
        <f t="shared" si="136"/>
        <v>BNI IDR 768</v>
      </c>
      <c r="Q1940" s="61"/>
    </row>
    <row r="1941" spans="1:17" hidden="1" x14ac:dyDescent="0.25">
      <c r="A1941" s="60" t="str">
        <f t="shared" si="134"/>
        <v>48220,03</v>
      </c>
      <c r="B1941" s="60">
        <f>COUNTIF($J$7:J1941,J1941)</f>
        <v>48</v>
      </c>
      <c r="C1941" s="60" t="str">
        <f t="shared" si="135"/>
        <v>0</v>
      </c>
      <c r="D1941" s="60">
        <f>COUNTIF($K$7:K1941,K1941)</f>
        <v>0</v>
      </c>
      <c r="E1941" s="61"/>
      <c r="F1941" s="239">
        <v>44599.77920138889</v>
      </c>
      <c r="G1941" s="72" t="s">
        <v>149</v>
      </c>
      <c r="H1941" s="73" t="s">
        <v>980</v>
      </c>
      <c r="I1941" s="240" t="s">
        <v>981</v>
      </c>
      <c r="J1941" s="235">
        <v>220.03</v>
      </c>
      <c r="K1941" s="65"/>
      <c r="L1941" s="224"/>
      <c r="M1941" s="223">
        <v>162000</v>
      </c>
      <c r="N1941" s="223"/>
      <c r="O1941" s="61"/>
      <c r="P1941" s="69" t="str">
        <f t="shared" si="136"/>
        <v>Hutang BIaya</v>
      </c>
      <c r="Q1941" s="61"/>
    </row>
    <row r="1942" spans="1:17" hidden="1" x14ac:dyDescent="0.25">
      <c r="A1942" s="60" t="str">
        <f t="shared" si="134"/>
        <v>37119</v>
      </c>
      <c r="B1942" s="60">
        <f>COUNTIF($J$7:J1942,J1942)</f>
        <v>37</v>
      </c>
      <c r="C1942" s="60" t="str">
        <f t="shared" si="135"/>
        <v>1119,03</v>
      </c>
      <c r="D1942" s="60">
        <f>COUNTIF($K$7:K1942,K1942)</f>
        <v>1</v>
      </c>
      <c r="E1942" s="61"/>
      <c r="F1942" s="239">
        <v>44600.565370370372</v>
      </c>
      <c r="G1942" s="72" t="s">
        <v>149</v>
      </c>
      <c r="H1942" s="73" t="s">
        <v>982</v>
      </c>
      <c r="I1942" s="240" t="s">
        <v>983</v>
      </c>
      <c r="J1942" s="76">
        <v>119</v>
      </c>
      <c r="K1942" s="75">
        <v>119.03</v>
      </c>
      <c r="L1942" s="224">
        <v>1000000</v>
      </c>
      <c r="M1942" s="223"/>
      <c r="N1942" s="223"/>
      <c r="O1942" s="61"/>
      <c r="P1942" s="69" t="str">
        <f t="shared" si="136"/>
        <v>Uang Muka Biaya Pengiriman dan Perjalanan Dinas Marketing</v>
      </c>
      <c r="Q1942" s="61"/>
    </row>
    <row r="1943" spans="1:17" hidden="1" x14ac:dyDescent="0.25">
      <c r="A1943" s="60" t="str">
        <f t="shared" si="134"/>
        <v>165111,01</v>
      </c>
      <c r="B1943" s="60">
        <f>COUNTIF($J$7:J1943,J1943)</f>
        <v>165</v>
      </c>
      <c r="C1943" s="60" t="str">
        <f t="shared" si="135"/>
        <v>0</v>
      </c>
      <c r="D1943" s="60">
        <f>COUNTIF($K$7:K1943,K1943)</f>
        <v>0</v>
      </c>
      <c r="E1943" s="61"/>
      <c r="F1943" s="239">
        <v>44600.565370370372</v>
      </c>
      <c r="G1943" s="72" t="s">
        <v>149</v>
      </c>
      <c r="H1943" s="73" t="s">
        <v>982</v>
      </c>
      <c r="I1943" s="240" t="s">
        <v>983</v>
      </c>
      <c r="J1943" s="67">
        <v>111.01</v>
      </c>
      <c r="K1943" s="65"/>
      <c r="L1943" s="224"/>
      <c r="M1943" s="223">
        <v>1000000</v>
      </c>
      <c r="N1943" s="223"/>
      <c r="O1943" s="61"/>
      <c r="P1943" s="69" t="str">
        <f t="shared" si="136"/>
        <v>BNI IDR 768</v>
      </c>
      <c r="Q1943" s="61"/>
    </row>
    <row r="1944" spans="1:17" hidden="1" x14ac:dyDescent="0.25">
      <c r="A1944" s="60" t="str">
        <f t="shared" si="134"/>
        <v>166111,01</v>
      </c>
      <c r="B1944" s="60">
        <f>COUNTIF($J$7:J1944,J1944)</f>
        <v>166</v>
      </c>
      <c r="C1944" s="60" t="str">
        <f t="shared" si="135"/>
        <v>0</v>
      </c>
      <c r="D1944" s="60">
        <f>COUNTIF($K$7:K1944,K1944)</f>
        <v>0</v>
      </c>
      <c r="E1944" s="61"/>
      <c r="F1944" s="239">
        <v>44600.599120370367</v>
      </c>
      <c r="G1944" s="72" t="s">
        <v>149</v>
      </c>
      <c r="H1944" s="73" t="s">
        <v>984</v>
      </c>
      <c r="I1944" s="240" t="s">
        <v>985</v>
      </c>
      <c r="J1944" s="67">
        <v>111.01</v>
      </c>
      <c r="K1944" s="65"/>
      <c r="L1944" s="224">
        <v>59397100</v>
      </c>
      <c r="M1944" s="223"/>
      <c r="N1944" s="223"/>
      <c r="O1944" s="61"/>
      <c r="P1944" s="69" t="str">
        <f t="shared" si="136"/>
        <v>BNI IDR 768</v>
      </c>
      <c r="Q1944" s="61"/>
    </row>
    <row r="1945" spans="1:17" hidden="1" x14ac:dyDescent="0.25">
      <c r="A1945" s="60" t="str">
        <f t="shared" si="134"/>
        <v>442112</v>
      </c>
      <c r="B1945" s="60">
        <f>COUNTIF($J$7:J1945,J1945)</f>
        <v>442</v>
      </c>
      <c r="C1945" s="60" t="str">
        <f t="shared" si="135"/>
        <v>7112,23</v>
      </c>
      <c r="D1945" s="60">
        <f>COUNTIF($K$7:K1945,K1945)</f>
        <v>7</v>
      </c>
      <c r="E1945" s="61"/>
      <c r="F1945" s="239">
        <v>44600.599120370367</v>
      </c>
      <c r="G1945" s="164" t="s">
        <v>149</v>
      </c>
      <c r="H1945" s="73" t="s">
        <v>984</v>
      </c>
      <c r="I1945" s="240" t="s">
        <v>985</v>
      </c>
      <c r="J1945" s="64">
        <v>112</v>
      </c>
      <c r="K1945" s="80">
        <v>112.23</v>
      </c>
      <c r="L1945" s="224"/>
      <c r="M1945" s="223">
        <v>59397100</v>
      </c>
      <c r="N1945" s="223"/>
      <c r="O1945" s="61"/>
      <c r="P1945" s="69" t="str">
        <f t="shared" si="136"/>
        <v>Piutang Usaha</v>
      </c>
      <c r="Q1945" s="61"/>
    </row>
    <row r="1946" spans="1:17" hidden="1" x14ac:dyDescent="0.25">
      <c r="A1946" s="60" t="str">
        <f t="shared" si="134"/>
        <v>10610,09</v>
      </c>
      <c r="B1946" s="60">
        <f>COUNTIF($J$7:J1946,J1946)</f>
        <v>10</v>
      </c>
      <c r="C1946" s="60" t="str">
        <f t="shared" si="135"/>
        <v>0</v>
      </c>
      <c r="D1946" s="60">
        <f>COUNTIF($K$7:K1946,K1946)</f>
        <v>0</v>
      </c>
      <c r="E1946" s="61"/>
      <c r="F1946" s="239">
        <v>44601.819328703707</v>
      </c>
      <c r="G1946" s="72" t="s">
        <v>149</v>
      </c>
      <c r="H1946" s="73" t="s">
        <v>984</v>
      </c>
      <c r="I1946" s="240" t="s">
        <v>986</v>
      </c>
      <c r="J1946" s="221">
        <v>610.09</v>
      </c>
      <c r="K1946" s="80"/>
      <c r="L1946" s="224">
        <v>360400</v>
      </c>
      <c r="M1946" s="223"/>
      <c r="N1946" s="223"/>
      <c r="O1946" s="61"/>
      <c r="P1946" s="69" t="str">
        <f t="shared" si="136"/>
        <v>Biaya ATK &amp; Perlengkapan Kantor</v>
      </c>
      <c r="Q1946" s="61"/>
    </row>
    <row r="1947" spans="1:17" hidden="1" x14ac:dyDescent="0.25">
      <c r="A1947" s="60" t="str">
        <f t="shared" si="134"/>
        <v>38119</v>
      </c>
      <c r="B1947" s="60">
        <f>COUNTIF($J$7:J1947,J1947)</f>
        <v>38</v>
      </c>
      <c r="C1947" s="60" t="str">
        <f t="shared" si="135"/>
        <v>12119,02</v>
      </c>
      <c r="D1947" s="60">
        <f>COUNTIF($K$7:K1947,K1947)</f>
        <v>12</v>
      </c>
      <c r="E1947" s="61"/>
      <c r="F1947" s="239">
        <v>44601.819328703707</v>
      </c>
      <c r="G1947" s="72" t="s">
        <v>149</v>
      </c>
      <c r="H1947" s="73" t="s">
        <v>987</v>
      </c>
      <c r="I1947" s="240" t="s">
        <v>988</v>
      </c>
      <c r="J1947" s="76">
        <v>119</v>
      </c>
      <c r="K1947" s="75">
        <v>119.02</v>
      </c>
      <c r="L1947" s="224">
        <v>2000000</v>
      </c>
      <c r="M1947" s="223"/>
      <c r="N1947" s="223"/>
      <c r="O1947" s="61"/>
      <c r="P1947" s="69" t="str">
        <f t="shared" si="136"/>
        <v>Uang Muka Biaya Pengiriman dan Perjalanan Dinas Marketing</v>
      </c>
      <c r="Q1947" s="61"/>
    </row>
    <row r="1948" spans="1:17" hidden="1" x14ac:dyDescent="0.25">
      <c r="A1948" s="60" t="str">
        <f t="shared" si="134"/>
        <v>49220,03</v>
      </c>
      <c r="B1948" s="60">
        <f>COUNTIF($J$7:J1948,J1948)</f>
        <v>49</v>
      </c>
      <c r="C1948" s="60" t="str">
        <f t="shared" si="135"/>
        <v>0</v>
      </c>
      <c r="D1948" s="60">
        <f>COUNTIF($K$7:K1948,K1948)</f>
        <v>0</v>
      </c>
      <c r="E1948" s="61"/>
      <c r="F1948" s="239">
        <v>44601.819328703707</v>
      </c>
      <c r="G1948" s="72" t="s">
        <v>149</v>
      </c>
      <c r="H1948" s="73" t="s">
        <v>989</v>
      </c>
      <c r="I1948" s="240" t="s">
        <v>990</v>
      </c>
      <c r="J1948" s="235">
        <v>220.03</v>
      </c>
      <c r="K1948" s="80"/>
      <c r="L1948" s="224">
        <v>12656300</v>
      </c>
      <c r="M1948" s="223"/>
      <c r="N1948" s="223"/>
      <c r="O1948" s="61"/>
      <c r="P1948" s="69" t="str">
        <f t="shared" si="136"/>
        <v>Hutang BIaya</v>
      </c>
      <c r="Q1948" s="61"/>
    </row>
    <row r="1949" spans="1:17" hidden="1" x14ac:dyDescent="0.25">
      <c r="A1949" s="60" t="str">
        <f t="shared" si="134"/>
        <v>37810,01</v>
      </c>
      <c r="B1949" s="60">
        <f>COUNTIF($J$7:J1949,J1949)</f>
        <v>37</v>
      </c>
      <c r="C1949" s="60" t="str">
        <f t="shared" si="135"/>
        <v>0</v>
      </c>
      <c r="D1949" s="60">
        <f>COUNTIF($K$7:K1949,K1949)</f>
        <v>0</v>
      </c>
      <c r="E1949" s="61"/>
      <c r="F1949" s="239">
        <v>44601</v>
      </c>
      <c r="G1949" s="72" t="s">
        <v>149</v>
      </c>
      <c r="H1949" s="73" t="s">
        <v>989</v>
      </c>
      <c r="I1949" s="240" t="s">
        <v>282</v>
      </c>
      <c r="J1949" s="64">
        <v>810.01</v>
      </c>
      <c r="K1949" s="80"/>
      <c r="L1949" s="224">
        <v>6500</v>
      </c>
      <c r="M1949" s="223"/>
      <c r="N1949" s="223"/>
      <c r="O1949" s="61"/>
      <c r="P1949" s="69" t="str">
        <f t="shared" si="136"/>
        <v>Biaya Admin Transfer dan Rek</v>
      </c>
      <c r="Q1949" s="61"/>
    </row>
    <row r="1950" spans="1:17" hidden="1" x14ac:dyDescent="0.25">
      <c r="A1950" s="60" t="str">
        <f t="shared" si="134"/>
        <v>3610,03</v>
      </c>
      <c r="B1950" s="60">
        <f>COUNTIF($J$7:J1950,J1950)</f>
        <v>3</v>
      </c>
      <c r="C1950" s="60" t="str">
        <f t="shared" si="135"/>
        <v>0</v>
      </c>
      <c r="D1950" s="60">
        <f>COUNTIF($K$7:K1950,K1950)</f>
        <v>0</v>
      </c>
      <c r="E1950" s="61"/>
      <c r="F1950" s="239">
        <v>44601.819328703707</v>
      </c>
      <c r="G1950" s="72" t="s">
        <v>149</v>
      </c>
      <c r="H1950" s="73" t="s">
        <v>991</v>
      </c>
      <c r="I1950" s="240" t="s">
        <v>992</v>
      </c>
      <c r="J1950" s="221">
        <v>610.03</v>
      </c>
      <c r="K1950" s="80"/>
      <c r="L1950" s="224">
        <v>2853032</v>
      </c>
      <c r="M1950" s="223"/>
      <c r="N1950" s="223"/>
      <c r="O1950" s="61"/>
      <c r="P1950" s="69" t="str">
        <f t="shared" si="136"/>
        <v>Biaya BPJS Kesehatan Dan Ketenagakerjaan</v>
      </c>
      <c r="Q1950" s="61"/>
    </row>
    <row r="1951" spans="1:17" hidden="1" x14ac:dyDescent="0.25">
      <c r="A1951" s="60" t="str">
        <f t="shared" si="134"/>
        <v>1512,05</v>
      </c>
      <c r="B1951" s="60">
        <f>COUNTIF($J$7:J1951,J1951)</f>
        <v>1</v>
      </c>
      <c r="C1951" s="60" t="str">
        <f t="shared" si="135"/>
        <v>0</v>
      </c>
      <c r="D1951" s="60">
        <f>COUNTIF($K$7:K1951,K1951)</f>
        <v>0</v>
      </c>
      <c r="E1951" s="61"/>
      <c r="F1951" s="239">
        <v>44601.819328703707</v>
      </c>
      <c r="G1951" s="72" t="s">
        <v>149</v>
      </c>
      <c r="H1951" s="73" t="s">
        <v>993</v>
      </c>
      <c r="I1951" s="240" t="s">
        <v>994</v>
      </c>
      <c r="J1951" s="238">
        <v>512.04999999999995</v>
      </c>
      <c r="K1951" s="80"/>
      <c r="L1951" s="224">
        <v>2500000</v>
      </c>
      <c r="M1951" s="223"/>
      <c r="N1951" s="223"/>
      <c r="O1951" s="61"/>
      <c r="P1951" s="69" t="str">
        <f t="shared" si="136"/>
        <v>Beban Operasional Marketing Lainnya</v>
      </c>
      <c r="Q1951" s="61"/>
    </row>
    <row r="1952" spans="1:17" hidden="1" x14ac:dyDescent="0.25">
      <c r="A1952" s="60" t="str">
        <f t="shared" si="134"/>
        <v>38810,01</v>
      </c>
      <c r="B1952" s="60">
        <f>COUNTIF($J$7:J1952,J1952)</f>
        <v>38</v>
      </c>
      <c r="C1952" s="60" t="str">
        <f t="shared" si="135"/>
        <v>0</v>
      </c>
      <c r="D1952" s="60">
        <f>COUNTIF($K$7:K1952,K1952)</f>
        <v>0</v>
      </c>
      <c r="E1952" s="61"/>
      <c r="F1952" s="239">
        <v>44601</v>
      </c>
      <c r="G1952" s="72" t="s">
        <v>149</v>
      </c>
      <c r="H1952" s="73" t="s">
        <v>993</v>
      </c>
      <c r="I1952" s="240" t="s">
        <v>282</v>
      </c>
      <c r="J1952" s="64">
        <v>810.01</v>
      </c>
      <c r="K1952" s="80"/>
      <c r="L1952" s="224">
        <v>6500</v>
      </c>
      <c r="M1952" s="223"/>
      <c r="N1952" s="223"/>
      <c r="O1952" s="61"/>
      <c r="P1952" s="69" t="str">
        <f t="shared" si="136"/>
        <v>Biaya Admin Transfer dan Rek</v>
      </c>
      <c r="Q1952" s="61"/>
    </row>
    <row r="1953" spans="1:17" hidden="1" x14ac:dyDescent="0.25">
      <c r="A1953" s="60" t="str">
        <f t="shared" si="134"/>
        <v>50220,03</v>
      </c>
      <c r="B1953" s="60">
        <f>COUNTIF($J$7:J1953,J1953)</f>
        <v>50</v>
      </c>
      <c r="C1953" s="60" t="str">
        <f t="shared" si="135"/>
        <v>0</v>
      </c>
      <c r="D1953" s="60">
        <f>COUNTIF($K$7:K1953,K1953)</f>
        <v>0</v>
      </c>
      <c r="E1953" s="61"/>
      <c r="F1953" s="239">
        <v>44601.819340277776</v>
      </c>
      <c r="G1953" s="72" t="s">
        <v>149</v>
      </c>
      <c r="H1953" s="73" t="s">
        <v>995</v>
      </c>
      <c r="I1953" s="240" t="s">
        <v>996</v>
      </c>
      <c r="J1953" s="235">
        <v>220.03</v>
      </c>
      <c r="K1953" s="80"/>
      <c r="L1953" s="224">
        <f>10647300+2000000</f>
        <v>12647300</v>
      </c>
      <c r="M1953" s="223"/>
      <c r="N1953" s="223"/>
      <c r="O1953" s="61"/>
      <c r="P1953" s="69" t="str">
        <f t="shared" si="136"/>
        <v>Hutang BIaya</v>
      </c>
      <c r="Q1953" s="61"/>
    </row>
    <row r="1954" spans="1:17" hidden="1" x14ac:dyDescent="0.25">
      <c r="A1954" s="60" t="str">
        <f t="shared" si="134"/>
        <v>3114</v>
      </c>
      <c r="B1954" s="60">
        <f>COUNTIF($J$7:J1954,J1954)</f>
        <v>3</v>
      </c>
      <c r="C1954" s="60" t="str">
        <f t="shared" si="135"/>
        <v>0</v>
      </c>
      <c r="D1954" s="60">
        <f>COUNTIF($K$7:K1954,K1954)</f>
        <v>0</v>
      </c>
      <c r="E1954" s="61"/>
      <c r="F1954" s="239">
        <v>44601.819340277776</v>
      </c>
      <c r="G1954" s="72" t="s">
        <v>149</v>
      </c>
      <c r="H1954" s="73" t="s">
        <v>995</v>
      </c>
      <c r="I1954" s="240" t="s">
        <v>997</v>
      </c>
      <c r="J1954" s="76">
        <v>114</v>
      </c>
      <c r="K1954" s="80"/>
      <c r="L1954" s="61"/>
      <c r="M1954" s="223">
        <v>2000000</v>
      </c>
      <c r="N1954" s="223"/>
      <c r="O1954" s="61"/>
      <c r="P1954" s="69" t="str">
        <f t="shared" si="136"/>
        <v>Piutang Lain - Lain</v>
      </c>
      <c r="Q1954" s="61"/>
    </row>
    <row r="1955" spans="1:17" hidden="1" x14ac:dyDescent="0.25">
      <c r="A1955" s="60" t="str">
        <f t="shared" si="134"/>
        <v>39810,01</v>
      </c>
      <c r="B1955" s="60">
        <f>COUNTIF($J$7:J1955,J1955)</f>
        <v>39</v>
      </c>
      <c r="C1955" s="60" t="str">
        <f t="shared" si="135"/>
        <v>0</v>
      </c>
      <c r="D1955" s="60">
        <f>COUNTIF($K$7:K1955,K1955)</f>
        <v>0</v>
      </c>
      <c r="E1955" s="61"/>
      <c r="F1955" s="239">
        <v>44601</v>
      </c>
      <c r="G1955" s="72" t="s">
        <v>149</v>
      </c>
      <c r="H1955" s="73" t="s">
        <v>995</v>
      </c>
      <c r="I1955" s="240" t="s">
        <v>282</v>
      </c>
      <c r="J1955" s="64">
        <v>810.01</v>
      </c>
      <c r="K1955" s="80"/>
      <c r="L1955" s="224">
        <v>6500</v>
      </c>
      <c r="M1955" s="223"/>
      <c r="N1955" s="223"/>
      <c r="O1955" s="61"/>
      <c r="P1955" s="69" t="str">
        <f t="shared" si="136"/>
        <v>Biaya Admin Transfer dan Rek</v>
      </c>
      <c r="Q1955" s="61"/>
    </row>
    <row r="1956" spans="1:17" hidden="1" x14ac:dyDescent="0.25">
      <c r="A1956" s="60" t="str">
        <f t="shared" si="134"/>
        <v>18610,1</v>
      </c>
      <c r="B1956" s="60">
        <f>COUNTIF($J$7:J1956,J1956)</f>
        <v>18</v>
      </c>
      <c r="C1956" s="60" t="str">
        <f t="shared" si="135"/>
        <v>0</v>
      </c>
      <c r="D1956" s="60">
        <f>COUNTIF($K$7:K1956,K1956)</f>
        <v>0</v>
      </c>
      <c r="E1956" s="61"/>
      <c r="F1956" s="239">
        <v>44601.819340277776</v>
      </c>
      <c r="G1956" s="72" t="s">
        <v>149</v>
      </c>
      <c r="H1956" s="73" t="s">
        <v>998</v>
      </c>
      <c r="I1956" s="240" t="s">
        <v>999</v>
      </c>
      <c r="J1956" s="238">
        <v>610.1</v>
      </c>
      <c r="K1956" s="80"/>
      <c r="L1956" s="224">
        <v>25000</v>
      </c>
      <c r="M1956" s="223"/>
      <c r="N1956" s="223"/>
      <c r="O1956" s="61"/>
      <c r="P1956" s="69" t="str">
        <f t="shared" si="136"/>
        <v>Biaya Rumah Tangga Kantor</v>
      </c>
      <c r="Q1956" s="61"/>
    </row>
    <row r="1957" spans="1:17" hidden="1" x14ac:dyDescent="0.25">
      <c r="A1957" s="60" t="str">
        <f t="shared" si="134"/>
        <v>8512,03</v>
      </c>
      <c r="B1957" s="60">
        <f>COUNTIF($J$7:J1957,J1957)</f>
        <v>8</v>
      </c>
      <c r="C1957" s="60" t="str">
        <f t="shared" si="135"/>
        <v>0</v>
      </c>
      <c r="D1957" s="60">
        <f>COUNTIF($K$7:K1957,K1957)</f>
        <v>0</v>
      </c>
      <c r="E1957" s="61"/>
      <c r="F1957" s="239">
        <v>44601.819340277776</v>
      </c>
      <c r="G1957" s="72" t="s">
        <v>149</v>
      </c>
      <c r="H1957" s="73" t="s">
        <v>1000</v>
      </c>
      <c r="I1957" s="240" t="s">
        <v>1001</v>
      </c>
      <c r="J1957" s="241">
        <v>512.03</v>
      </c>
      <c r="K1957" s="80"/>
      <c r="L1957" s="224">
        <v>300000</v>
      </c>
      <c r="M1957" s="223"/>
      <c r="N1957" s="223"/>
      <c r="O1957" s="61"/>
      <c r="P1957" s="69" t="str">
        <f t="shared" si="136"/>
        <v>Beban Gasoline Marketing (Bensin, Parkir, Tol)</v>
      </c>
      <c r="Q1957" s="61"/>
    </row>
    <row r="1958" spans="1:17" hidden="1" x14ac:dyDescent="0.25">
      <c r="A1958" s="60" t="str">
        <f t="shared" si="134"/>
        <v>11610,09</v>
      </c>
      <c r="B1958" s="60">
        <f>COUNTIF($J$7:J1958,J1958)</f>
        <v>11</v>
      </c>
      <c r="C1958" s="60" t="str">
        <f t="shared" si="135"/>
        <v>0</v>
      </c>
      <c r="D1958" s="60">
        <f>COUNTIF($K$7:K1958,K1958)</f>
        <v>0</v>
      </c>
      <c r="E1958" s="61"/>
      <c r="F1958" s="239">
        <v>44601.819340277776</v>
      </c>
      <c r="G1958" s="72" t="s">
        <v>149</v>
      </c>
      <c r="H1958" s="73" t="s">
        <v>1002</v>
      </c>
      <c r="I1958" s="240" t="s">
        <v>1003</v>
      </c>
      <c r="J1958" s="64">
        <v>610.09</v>
      </c>
      <c r="K1958" s="80"/>
      <c r="L1958" s="224">
        <v>244000</v>
      </c>
      <c r="M1958" s="223"/>
      <c r="N1958" s="223"/>
      <c r="O1958" s="61"/>
      <c r="P1958" s="69" t="str">
        <f t="shared" si="136"/>
        <v>Biaya ATK &amp; Perlengkapan Kantor</v>
      </c>
      <c r="Q1958" s="61"/>
    </row>
    <row r="1959" spans="1:17" hidden="1" x14ac:dyDescent="0.25">
      <c r="A1959" s="60" t="str">
        <f t="shared" si="134"/>
        <v>4610,03</v>
      </c>
      <c r="B1959" s="60">
        <f>COUNTIF($J$7:J1959,J1959)</f>
        <v>4</v>
      </c>
      <c r="C1959" s="60" t="str">
        <f t="shared" si="135"/>
        <v>0</v>
      </c>
      <c r="D1959" s="60">
        <f>COUNTIF($K$7:K1959,K1959)</f>
        <v>0</v>
      </c>
      <c r="E1959" s="61"/>
      <c r="F1959" s="239">
        <v>44601.819340277776</v>
      </c>
      <c r="G1959" s="72" t="s">
        <v>149</v>
      </c>
      <c r="H1959" s="73" t="s">
        <v>1004</v>
      </c>
      <c r="I1959" s="240" t="s">
        <v>1005</v>
      </c>
      <c r="J1959" s="221">
        <v>610.03</v>
      </c>
      <c r="K1959" s="80"/>
      <c r="L1959" s="224">
        <v>1672752</v>
      </c>
      <c r="M1959" s="223"/>
      <c r="N1959" s="223"/>
      <c r="O1959" s="61"/>
      <c r="P1959" s="69" t="str">
        <f t="shared" si="136"/>
        <v>Biaya BPJS Kesehatan Dan Ketenagakerjaan</v>
      </c>
      <c r="Q1959" s="61"/>
    </row>
    <row r="1960" spans="1:17" hidden="1" x14ac:dyDescent="0.25">
      <c r="A1960" s="60" t="str">
        <f t="shared" si="134"/>
        <v>3220,01</v>
      </c>
      <c r="B1960" s="60">
        <f>COUNTIF($J$7:J1960,J1960)</f>
        <v>3</v>
      </c>
      <c r="C1960" s="60" t="str">
        <f t="shared" si="135"/>
        <v>0</v>
      </c>
      <c r="D1960" s="60">
        <f>COUNTIF($K$7:K1960,K1960)</f>
        <v>0</v>
      </c>
      <c r="E1960" s="61"/>
      <c r="F1960" s="239">
        <v>44601.819340277776</v>
      </c>
      <c r="G1960" s="72" t="s">
        <v>149</v>
      </c>
      <c r="H1960" s="73" t="s">
        <v>1006</v>
      </c>
      <c r="I1960" s="240" t="s">
        <v>1007</v>
      </c>
      <c r="J1960" s="67">
        <v>220.01</v>
      </c>
      <c r="K1960" s="80"/>
      <c r="L1960" s="224">
        <v>10762100</v>
      </c>
      <c r="M1960" s="223"/>
      <c r="N1960" s="223"/>
      <c r="O1960" s="61"/>
      <c r="P1960" s="69" t="str">
        <f t="shared" si="136"/>
        <v>Hutang Bank/Leasing</v>
      </c>
      <c r="Q1960" s="61"/>
    </row>
    <row r="1961" spans="1:17" hidden="1" x14ac:dyDescent="0.25">
      <c r="A1961" s="60" t="str">
        <f t="shared" si="134"/>
        <v>40810,01</v>
      </c>
      <c r="B1961" s="60">
        <f>COUNTIF($J$7:J1961,J1961)</f>
        <v>40</v>
      </c>
      <c r="C1961" s="60" t="str">
        <f t="shared" si="135"/>
        <v>0</v>
      </c>
      <c r="D1961" s="60">
        <f>COUNTIF($K$7:K1961,K1961)</f>
        <v>0</v>
      </c>
      <c r="E1961" s="61"/>
      <c r="F1961" s="239">
        <v>44601</v>
      </c>
      <c r="G1961" s="72" t="s">
        <v>149</v>
      </c>
      <c r="H1961" s="73" t="s">
        <v>1006</v>
      </c>
      <c r="I1961" s="240" t="s">
        <v>282</v>
      </c>
      <c r="J1961" s="64">
        <v>810.01</v>
      </c>
      <c r="K1961" s="80"/>
      <c r="L1961" s="224">
        <v>6500</v>
      </c>
      <c r="M1961" s="223"/>
      <c r="N1961" s="223"/>
      <c r="O1961" s="61"/>
      <c r="P1961" s="69" t="str">
        <f t="shared" si="136"/>
        <v>Biaya Admin Transfer dan Rek</v>
      </c>
      <c r="Q1961" s="61"/>
    </row>
    <row r="1962" spans="1:17" hidden="1" x14ac:dyDescent="0.25">
      <c r="A1962" s="60" t="str">
        <f t="shared" si="134"/>
        <v>56511,04</v>
      </c>
      <c r="B1962" s="60">
        <f>COUNTIF($J$7:J1962,J1962)</f>
        <v>56</v>
      </c>
      <c r="C1962" s="60" t="str">
        <f t="shared" si="135"/>
        <v>0</v>
      </c>
      <c r="D1962" s="60">
        <f>COUNTIF($K$7:K1962,K1962)</f>
        <v>0</v>
      </c>
      <c r="E1962" s="61"/>
      <c r="F1962" s="239">
        <v>44601.819340277776</v>
      </c>
      <c r="G1962" s="72" t="s">
        <v>149</v>
      </c>
      <c r="H1962" s="73" t="s">
        <v>1008</v>
      </c>
      <c r="I1962" s="240" t="s">
        <v>1009</v>
      </c>
      <c r="J1962" s="64">
        <v>511.04</v>
      </c>
      <c r="K1962" s="80"/>
      <c r="L1962" s="224">
        <v>965500</v>
      </c>
      <c r="M1962" s="223"/>
      <c r="N1962" s="223"/>
      <c r="O1962" s="61"/>
      <c r="P1962" s="69" t="str">
        <f t="shared" si="136"/>
        <v>Biaya pengiriman Via Online (Gojek,Grab), Kuli</v>
      </c>
      <c r="Q1962" s="61"/>
    </row>
    <row r="1963" spans="1:17" hidden="1" x14ac:dyDescent="0.25">
      <c r="A1963" s="60" t="str">
        <f t="shared" si="134"/>
        <v>41810,01</v>
      </c>
      <c r="B1963" s="60">
        <f>COUNTIF($J$7:J1963,J1963)</f>
        <v>41</v>
      </c>
      <c r="C1963" s="60" t="str">
        <f t="shared" si="135"/>
        <v>0</v>
      </c>
      <c r="D1963" s="60">
        <f>COUNTIF($K$7:K1963,K1963)</f>
        <v>0</v>
      </c>
      <c r="E1963" s="61"/>
      <c r="F1963" s="239">
        <v>44601</v>
      </c>
      <c r="G1963" s="72" t="s">
        <v>149</v>
      </c>
      <c r="H1963" s="73" t="s">
        <v>1008</v>
      </c>
      <c r="I1963" s="240" t="s">
        <v>282</v>
      </c>
      <c r="J1963" s="64">
        <v>810.01</v>
      </c>
      <c r="K1963" s="80"/>
      <c r="L1963" s="224">
        <v>6500</v>
      </c>
      <c r="M1963" s="223"/>
      <c r="N1963" s="223"/>
      <c r="O1963" s="61"/>
      <c r="P1963" s="69" t="str">
        <f t="shared" si="136"/>
        <v>Biaya Admin Transfer dan Rek</v>
      </c>
      <c r="Q1963" s="61"/>
    </row>
    <row r="1964" spans="1:17" hidden="1" x14ac:dyDescent="0.25">
      <c r="A1964" s="60" t="str">
        <f t="shared" si="134"/>
        <v>9512,03</v>
      </c>
      <c r="B1964" s="60">
        <f>COUNTIF($J$7:J1964,J1964)</f>
        <v>9</v>
      </c>
      <c r="C1964" s="60" t="str">
        <f t="shared" si="135"/>
        <v>0</v>
      </c>
      <c r="D1964" s="60">
        <f>COUNTIF($K$7:K1964,K1964)</f>
        <v>0</v>
      </c>
      <c r="E1964" s="61"/>
      <c r="F1964" s="239">
        <v>44601.819351851853</v>
      </c>
      <c r="G1964" s="72" t="s">
        <v>149</v>
      </c>
      <c r="H1964" s="73" t="s">
        <v>1010</v>
      </c>
      <c r="I1964" s="240" t="s">
        <v>1011</v>
      </c>
      <c r="J1964" s="238">
        <v>512.03</v>
      </c>
      <c r="K1964" s="80"/>
      <c r="L1964" s="224">
        <v>2338298</v>
      </c>
      <c r="M1964" s="223"/>
      <c r="N1964" s="223"/>
      <c r="O1964" s="61"/>
      <c r="P1964" s="69" t="str">
        <f t="shared" si="136"/>
        <v>Beban Gasoline Marketing (Bensin, Parkir, Tol)</v>
      </c>
      <c r="Q1964" s="61"/>
    </row>
    <row r="1965" spans="1:17" hidden="1" x14ac:dyDescent="0.25">
      <c r="A1965" s="60" t="str">
        <f t="shared" si="134"/>
        <v>10512,03</v>
      </c>
      <c r="B1965" s="60">
        <f>COUNTIF($J$7:J1965,J1965)</f>
        <v>10</v>
      </c>
      <c r="C1965" s="60" t="str">
        <f t="shared" si="135"/>
        <v>0</v>
      </c>
      <c r="D1965" s="60">
        <f>COUNTIF($K$7:K1965,K1965)</f>
        <v>0</v>
      </c>
      <c r="E1965" s="61"/>
      <c r="F1965" s="239">
        <v>44601.819363425922</v>
      </c>
      <c r="G1965" s="72" t="s">
        <v>149</v>
      </c>
      <c r="H1965" s="73" t="s">
        <v>1012</v>
      </c>
      <c r="I1965" s="240" t="s">
        <v>1013</v>
      </c>
      <c r="J1965" s="238">
        <v>512.03</v>
      </c>
      <c r="K1965" s="80"/>
      <c r="L1965" s="224">
        <v>628400</v>
      </c>
      <c r="M1965" s="223"/>
      <c r="N1965" s="223"/>
      <c r="O1965" s="61"/>
      <c r="P1965" s="69" t="str">
        <f t="shared" si="136"/>
        <v>Beban Gasoline Marketing (Bensin, Parkir, Tol)</v>
      </c>
      <c r="Q1965" s="61"/>
    </row>
    <row r="1966" spans="1:17" hidden="1" x14ac:dyDescent="0.25">
      <c r="A1966" s="60" t="str">
        <f t="shared" si="134"/>
        <v>12610,09</v>
      </c>
      <c r="B1966" s="60">
        <f>COUNTIF($J$7:J1966,J1966)</f>
        <v>12</v>
      </c>
      <c r="C1966" s="60" t="str">
        <f t="shared" si="135"/>
        <v>0</v>
      </c>
      <c r="D1966" s="60">
        <f>COUNTIF($K$7:K1966,K1966)</f>
        <v>0</v>
      </c>
      <c r="E1966" s="61"/>
      <c r="F1966" s="239">
        <v>44601.819363425922</v>
      </c>
      <c r="G1966" s="72" t="s">
        <v>149</v>
      </c>
      <c r="H1966" s="73" t="s">
        <v>1014</v>
      </c>
      <c r="I1966" s="240" t="s">
        <v>1015</v>
      </c>
      <c r="J1966" s="221">
        <v>610.09</v>
      </c>
      <c r="K1966" s="80"/>
      <c r="L1966" s="224">
        <v>2555088</v>
      </c>
      <c r="M1966" s="223"/>
      <c r="N1966" s="223"/>
      <c r="O1966" s="61"/>
      <c r="P1966" s="69" t="str">
        <f t="shared" si="136"/>
        <v>Biaya ATK &amp; Perlengkapan Kantor</v>
      </c>
      <c r="Q1966" s="61"/>
    </row>
    <row r="1967" spans="1:17" hidden="1" x14ac:dyDescent="0.25">
      <c r="A1967" s="60" t="str">
        <f t="shared" si="134"/>
        <v>167111,01</v>
      </c>
      <c r="B1967" s="60">
        <f>COUNTIF($J$7:J1967,J1967)</f>
        <v>167</v>
      </c>
      <c r="C1967" s="60" t="str">
        <f t="shared" si="135"/>
        <v>0</v>
      </c>
      <c r="D1967" s="60">
        <f>COUNTIF($K$7:K1967,K1967)</f>
        <v>0</v>
      </c>
      <c r="E1967" s="61"/>
      <c r="F1967" s="239">
        <v>44601.819328703707</v>
      </c>
      <c r="G1967" s="72" t="s">
        <v>149</v>
      </c>
      <c r="H1967" s="73" t="s">
        <v>984</v>
      </c>
      <c r="I1967" s="240" t="s">
        <v>986</v>
      </c>
      <c r="J1967" s="67">
        <v>111.01</v>
      </c>
      <c r="K1967" s="242"/>
      <c r="L1967" s="243"/>
      <c r="M1967" s="223">
        <v>360400</v>
      </c>
      <c r="N1967" s="223"/>
      <c r="O1967" s="61"/>
      <c r="P1967" s="69" t="str">
        <f t="shared" si="136"/>
        <v>BNI IDR 768</v>
      </c>
      <c r="Q1967" s="61"/>
    </row>
    <row r="1968" spans="1:17" hidden="1" x14ac:dyDescent="0.25">
      <c r="A1968" s="60" t="str">
        <f t="shared" si="134"/>
        <v>168111,01</v>
      </c>
      <c r="B1968" s="60">
        <f>COUNTIF($J$7:J1968,J1968)</f>
        <v>168</v>
      </c>
      <c r="C1968" s="60" t="str">
        <f t="shared" si="135"/>
        <v>0</v>
      </c>
      <c r="D1968" s="60">
        <f>COUNTIF($K$7:K1968,K1968)</f>
        <v>0</v>
      </c>
      <c r="E1968" s="61"/>
      <c r="F1968" s="239">
        <v>44601.819328703707</v>
      </c>
      <c r="G1968" s="72" t="s">
        <v>149</v>
      </c>
      <c r="H1968" s="73" t="s">
        <v>987</v>
      </c>
      <c r="I1968" s="240" t="s">
        <v>988</v>
      </c>
      <c r="J1968" s="67">
        <v>111.01</v>
      </c>
      <c r="K1968" s="242"/>
      <c r="L1968" s="243"/>
      <c r="M1968" s="223">
        <v>2000000</v>
      </c>
      <c r="N1968" s="223"/>
      <c r="O1968" s="61"/>
      <c r="P1968" s="69" t="str">
        <f t="shared" si="136"/>
        <v>BNI IDR 768</v>
      </c>
      <c r="Q1968" s="61"/>
    </row>
    <row r="1969" spans="1:17" hidden="1" x14ac:dyDescent="0.25">
      <c r="A1969" s="60" t="str">
        <f t="shared" si="134"/>
        <v>169111,01</v>
      </c>
      <c r="B1969" s="60">
        <f>COUNTIF($J$7:J1969,J1969)</f>
        <v>169</v>
      </c>
      <c r="C1969" s="60" t="str">
        <f t="shared" si="135"/>
        <v>0</v>
      </c>
      <c r="D1969" s="60">
        <f>COUNTIF($K$7:K1969,K1969)</f>
        <v>0</v>
      </c>
      <c r="E1969" s="61"/>
      <c r="F1969" s="239">
        <v>44601.819328703707</v>
      </c>
      <c r="G1969" s="72" t="s">
        <v>149</v>
      </c>
      <c r="H1969" s="73" t="s">
        <v>989</v>
      </c>
      <c r="I1969" s="240" t="s">
        <v>990</v>
      </c>
      <c r="J1969" s="67">
        <v>111.01</v>
      </c>
      <c r="K1969" s="242"/>
      <c r="L1969" s="243"/>
      <c r="M1969" s="223">
        <v>12656300</v>
      </c>
      <c r="N1969" s="223"/>
      <c r="O1969" s="61"/>
      <c r="P1969" s="69" t="str">
        <f t="shared" si="136"/>
        <v>BNI IDR 768</v>
      </c>
      <c r="Q1969" s="61"/>
    </row>
    <row r="1970" spans="1:17" hidden="1" x14ac:dyDescent="0.25">
      <c r="A1970" s="60" t="str">
        <f t="shared" si="134"/>
        <v>170111,01</v>
      </c>
      <c r="B1970" s="60">
        <f>COUNTIF($J$7:J1970,J1970)</f>
        <v>170</v>
      </c>
      <c r="C1970" s="60" t="str">
        <f t="shared" si="135"/>
        <v>0</v>
      </c>
      <c r="D1970" s="60">
        <f>COUNTIF($K$7:K1970,K1970)</f>
        <v>0</v>
      </c>
      <c r="E1970" s="61"/>
      <c r="F1970" s="239">
        <v>44601</v>
      </c>
      <c r="G1970" s="72" t="s">
        <v>149</v>
      </c>
      <c r="H1970" s="73" t="s">
        <v>989</v>
      </c>
      <c r="I1970" s="240" t="s">
        <v>282</v>
      </c>
      <c r="J1970" s="67">
        <v>111.01</v>
      </c>
      <c r="K1970" s="242"/>
      <c r="L1970" s="243"/>
      <c r="M1970" s="223">
        <v>6500</v>
      </c>
      <c r="N1970" s="223"/>
      <c r="O1970" s="61"/>
      <c r="P1970" s="69" t="str">
        <f t="shared" si="136"/>
        <v>BNI IDR 768</v>
      </c>
      <c r="Q1970" s="61"/>
    </row>
    <row r="1971" spans="1:17" hidden="1" x14ac:dyDescent="0.25">
      <c r="A1971" s="60" t="str">
        <f t="shared" si="134"/>
        <v>171111,01</v>
      </c>
      <c r="B1971" s="60">
        <f>COUNTIF($J$7:J1971,J1971)</f>
        <v>171</v>
      </c>
      <c r="C1971" s="60" t="str">
        <f t="shared" si="135"/>
        <v>0</v>
      </c>
      <c r="D1971" s="60">
        <f>COUNTIF($K$7:K1971,K1971)</f>
        <v>0</v>
      </c>
      <c r="E1971" s="61"/>
      <c r="F1971" s="239">
        <v>44601.819328703707</v>
      </c>
      <c r="G1971" s="72" t="s">
        <v>149</v>
      </c>
      <c r="H1971" s="73" t="s">
        <v>991</v>
      </c>
      <c r="I1971" s="240" t="s">
        <v>992</v>
      </c>
      <c r="J1971" s="67">
        <v>111.01</v>
      </c>
      <c r="K1971" s="242"/>
      <c r="L1971" s="243"/>
      <c r="M1971" s="223">
        <v>2853032</v>
      </c>
      <c r="N1971" s="223"/>
      <c r="O1971" s="61"/>
      <c r="P1971" s="69" t="str">
        <f t="shared" si="136"/>
        <v>BNI IDR 768</v>
      </c>
      <c r="Q1971" s="61"/>
    </row>
    <row r="1972" spans="1:17" hidden="1" x14ac:dyDescent="0.25">
      <c r="A1972" s="60" t="str">
        <f t="shared" si="134"/>
        <v>172111,01</v>
      </c>
      <c r="B1972" s="60">
        <f>COUNTIF($J$7:J1972,J1972)</f>
        <v>172</v>
      </c>
      <c r="C1972" s="60" t="str">
        <f t="shared" si="135"/>
        <v>0</v>
      </c>
      <c r="D1972" s="60">
        <f>COUNTIF($K$7:K1972,K1972)</f>
        <v>0</v>
      </c>
      <c r="E1972" s="61"/>
      <c r="F1972" s="239">
        <v>44601.819328703707</v>
      </c>
      <c r="G1972" s="72" t="s">
        <v>149</v>
      </c>
      <c r="H1972" s="73" t="s">
        <v>993</v>
      </c>
      <c r="I1972" s="240" t="s">
        <v>994</v>
      </c>
      <c r="J1972" s="67">
        <v>111.01</v>
      </c>
      <c r="K1972" s="242"/>
      <c r="L1972" s="243"/>
      <c r="M1972" s="223">
        <v>2500000</v>
      </c>
      <c r="N1972" s="223"/>
      <c r="O1972" s="61"/>
      <c r="P1972" s="69" t="str">
        <f t="shared" si="136"/>
        <v>BNI IDR 768</v>
      </c>
      <c r="Q1972" s="61"/>
    </row>
    <row r="1973" spans="1:17" hidden="1" x14ac:dyDescent="0.25">
      <c r="A1973" s="60" t="str">
        <f t="shared" si="134"/>
        <v>173111,01</v>
      </c>
      <c r="B1973" s="60">
        <f>COUNTIF($J$7:J1973,J1973)</f>
        <v>173</v>
      </c>
      <c r="C1973" s="60" t="str">
        <f t="shared" si="135"/>
        <v>0</v>
      </c>
      <c r="D1973" s="60">
        <f>COUNTIF($K$7:K1973,K1973)</f>
        <v>0</v>
      </c>
      <c r="E1973" s="61"/>
      <c r="F1973" s="239">
        <v>44601</v>
      </c>
      <c r="G1973" s="72" t="s">
        <v>149</v>
      </c>
      <c r="H1973" s="73" t="s">
        <v>993</v>
      </c>
      <c r="I1973" s="240" t="s">
        <v>282</v>
      </c>
      <c r="J1973" s="67">
        <v>111.01</v>
      </c>
      <c r="K1973" s="242"/>
      <c r="L1973" s="243"/>
      <c r="M1973" s="223">
        <v>6500</v>
      </c>
      <c r="N1973" s="223"/>
      <c r="O1973" s="61"/>
      <c r="P1973" s="69" t="str">
        <f t="shared" si="136"/>
        <v>BNI IDR 768</v>
      </c>
      <c r="Q1973" s="61"/>
    </row>
    <row r="1974" spans="1:17" hidden="1" x14ac:dyDescent="0.25">
      <c r="A1974" s="60" t="str">
        <f t="shared" si="134"/>
        <v>174111,01</v>
      </c>
      <c r="B1974" s="60">
        <f>COUNTIF($J$7:J1974,J1974)</f>
        <v>174</v>
      </c>
      <c r="C1974" s="60" t="str">
        <f t="shared" si="135"/>
        <v>0</v>
      </c>
      <c r="D1974" s="60">
        <f>COUNTIF($K$7:K1974,K1974)</f>
        <v>0</v>
      </c>
      <c r="E1974" s="61"/>
      <c r="F1974" s="239">
        <v>44601.819340277776</v>
      </c>
      <c r="G1974" s="72" t="s">
        <v>149</v>
      </c>
      <c r="H1974" s="73" t="s">
        <v>995</v>
      </c>
      <c r="I1974" s="240" t="s">
        <v>996</v>
      </c>
      <c r="J1974" s="67">
        <v>111.01</v>
      </c>
      <c r="K1974" s="242"/>
      <c r="L1974" s="243"/>
      <c r="M1974" s="223">
        <v>10647300</v>
      </c>
      <c r="N1974" s="223"/>
      <c r="O1974" s="61"/>
      <c r="P1974" s="69" t="str">
        <f t="shared" si="136"/>
        <v>BNI IDR 768</v>
      </c>
      <c r="Q1974" s="61"/>
    </row>
    <row r="1975" spans="1:17" hidden="1" x14ac:dyDescent="0.25">
      <c r="A1975" s="60" t="str">
        <f t="shared" si="134"/>
        <v>175111,01</v>
      </c>
      <c r="B1975" s="60">
        <f>COUNTIF($J$7:J1975,J1975)</f>
        <v>175</v>
      </c>
      <c r="C1975" s="60" t="str">
        <f t="shared" si="135"/>
        <v>0</v>
      </c>
      <c r="D1975" s="60">
        <f>COUNTIF($K$7:K1975,K1975)</f>
        <v>0</v>
      </c>
      <c r="E1975" s="61"/>
      <c r="F1975" s="239">
        <v>44601</v>
      </c>
      <c r="G1975" s="72" t="s">
        <v>149</v>
      </c>
      <c r="H1975" s="73" t="s">
        <v>995</v>
      </c>
      <c r="I1975" s="240" t="s">
        <v>282</v>
      </c>
      <c r="J1975" s="67">
        <v>111.01</v>
      </c>
      <c r="K1975" s="242"/>
      <c r="L1975" s="243"/>
      <c r="M1975" s="223">
        <v>6500</v>
      </c>
      <c r="N1975" s="223"/>
      <c r="O1975" s="61"/>
      <c r="P1975" s="69" t="str">
        <f t="shared" si="136"/>
        <v>BNI IDR 768</v>
      </c>
      <c r="Q1975" s="61"/>
    </row>
    <row r="1976" spans="1:17" hidden="1" x14ac:dyDescent="0.25">
      <c r="A1976" s="60" t="str">
        <f t="shared" si="134"/>
        <v>176111,01</v>
      </c>
      <c r="B1976" s="60">
        <f>COUNTIF($J$7:J1976,J1976)</f>
        <v>176</v>
      </c>
      <c r="C1976" s="60" t="str">
        <f t="shared" si="135"/>
        <v>0</v>
      </c>
      <c r="D1976" s="60">
        <f>COUNTIF($K$7:K1976,K1976)</f>
        <v>0</v>
      </c>
      <c r="E1976" s="61"/>
      <c r="F1976" s="239">
        <v>44601.819340277776</v>
      </c>
      <c r="G1976" s="72" t="s">
        <v>149</v>
      </c>
      <c r="H1976" s="73" t="s">
        <v>998</v>
      </c>
      <c r="I1976" s="240" t="s">
        <v>999</v>
      </c>
      <c r="J1976" s="67">
        <v>111.01</v>
      </c>
      <c r="K1976" s="242"/>
      <c r="L1976" s="243"/>
      <c r="M1976" s="223">
        <v>25000</v>
      </c>
      <c r="N1976" s="223"/>
      <c r="O1976" s="61"/>
      <c r="P1976" s="69" t="str">
        <f t="shared" si="136"/>
        <v>BNI IDR 768</v>
      </c>
      <c r="Q1976" s="61"/>
    </row>
    <row r="1977" spans="1:17" hidden="1" x14ac:dyDescent="0.25">
      <c r="A1977" s="60" t="str">
        <f t="shared" si="134"/>
        <v>177111,01</v>
      </c>
      <c r="B1977" s="60">
        <f>COUNTIF($J$7:J1977,J1977)</f>
        <v>177</v>
      </c>
      <c r="C1977" s="60" t="str">
        <f t="shared" si="135"/>
        <v>0</v>
      </c>
      <c r="D1977" s="60">
        <f>COUNTIF($K$7:K1977,K1977)</f>
        <v>0</v>
      </c>
      <c r="E1977" s="61"/>
      <c r="F1977" s="239">
        <v>44601.819340277776</v>
      </c>
      <c r="G1977" s="72" t="s">
        <v>149</v>
      </c>
      <c r="H1977" s="73" t="s">
        <v>1000</v>
      </c>
      <c r="I1977" s="240" t="s">
        <v>1001</v>
      </c>
      <c r="J1977" s="67">
        <v>111.01</v>
      </c>
      <c r="K1977" s="242"/>
      <c r="L1977" s="243"/>
      <c r="M1977" s="223">
        <v>300000</v>
      </c>
      <c r="N1977" s="223"/>
      <c r="O1977" s="61"/>
      <c r="P1977" s="69" t="str">
        <f t="shared" si="136"/>
        <v>BNI IDR 768</v>
      </c>
      <c r="Q1977" s="61"/>
    </row>
    <row r="1978" spans="1:17" hidden="1" x14ac:dyDescent="0.25">
      <c r="A1978" s="60" t="str">
        <f t="shared" si="134"/>
        <v>178111,01</v>
      </c>
      <c r="B1978" s="60">
        <f>COUNTIF($J$7:J1978,J1978)</f>
        <v>178</v>
      </c>
      <c r="C1978" s="60" t="str">
        <f t="shared" si="135"/>
        <v>0</v>
      </c>
      <c r="D1978" s="60">
        <f>COUNTIF($K$7:K1978,K1978)</f>
        <v>0</v>
      </c>
      <c r="E1978" s="61"/>
      <c r="F1978" s="239">
        <v>44601.819340277776</v>
      </c>
      <c r="G1978" s="72" t="s">
        <v>149</v>
      </c>
      <c r="H1978" s="73" t="s">
        <v>1002</v>
      </c>
      <c r="I1978" s="240" t="s">
        <v>1003</v>
      </c>
      <c r="J1978" s="67">
        <v>111.01</v>
      </c>
      <c r="K1978" s="242"/>
      <c r="L1978" s="243"/>
      <c r="M1978" s="223">
        <v>244000</v>
      </c>
      <c r="N1978" s="223"/>
      <c r="O1978" s="61"/>
      <c r="P1978" s="69" t="str">
        <f t="shared" si="136"/>
        <v>BNI IDR 768</v>
      </c>
      <c r="Q1978" s="61"/>
    </row>
    <row r="1979" spans="1:17" hidden="1" x14ac:dyDescent="0.25">
      <c r="A1979" s="60" t="str">
        <f t="shared" si="134"/>
        <v>179111,01</v>
      </c>
      <c r="B1979" s="60">
        <f>COUNTIF($J$7:J1979,J1979)</f>
        <v>179</v>
      </c>
      <c r="C1979" s="60" t="str">
        <f t="shared" si="135"/>
        <v>0</v>
      </c>
      <c r="D1979" s="60">
        <f>COUNTIF($K$7:K1979,K1979)</f>
        <v>0</v>
      </c>
      <c r="E1979" s="61"/>
      <c r="F1979" s="239">
        <v>44601.819340277776</v>
      </c>
      <c r="G1979" s="72" t="s">
        <v>149</v>
      </c>
      <c r="H1979" s="73" t="s">
        <v>1004</v>
      </c>
      <c r="I1979" s="240" t="s">
        <v>1005</v>
      </c>
      <c r="J1979" s="67">
        <v>111.01</v>
      </c>
      <c r="K1979" s="242"/>
      <c r="L1979" s="243"/>
      <c r="M1979" s="223">
        <v>1672752</v>
      </c>
      <c r="N1979" s="223"/>
      <c r="O1979" s="61"/>
      <c r="P1979" s="69" t="str">
        <f t="shared" si="136"/>
        <v>BNI IDR 768</v>
      </c>
      <c r="Q1979" s="61"/>
    </row>
    <row r="1980" spans="1:17" hidden="1" x14ac:dyDescent="0.25">
      <c r="A1980" s="60" t="str">
        <f t="shared" si="134"/>
        <v>180111,01</v>
      </c>
      <c r="B1980" s="60">
        <f>COUNTIF($J$7:J1980,J1980)</f>
        <v>180</v>
      </c>
      <c r="C1980" s="60" t="str">
        <f t="shared" si="135"/>
        <v>0</v>
      </c>
      <c r="D1980" s="60">
        <f>COUNTIF($K$7:K1980,K1980)</f>
        <v>0</v>
      </c>
      <c r="E1980" s="61"/>
      <c r="F1980" s="239">
        <v>44601.819340277776</v>
      </c>
      <c r="G1980" s="72" t="s">
        <v>149</v>
      </c>
      <c r="H1980" s="73" t="s">
        <v>1006</v>
      </c>
      <c r="I1980" s="240" t="s">
        <v>1007</v>
      </c>
      <c r="J1980" s="67">
        <v>111.01</v>
      </c>
      <c r="K1980" s="242"/>
      <c r="L1980" s="243"/>
      <c r="M1980" s="223">
        <v>10762100</v>
      </c>
      <c r="N1980" s="223"/>
      <c r="O1980" s="61"/>
      <c r="P1980" s="69" t="str">
        <f t="shared" si="136"/>
        <v>BNI IDR 768</v>
      </c>
      <c r="Q1980" s="61"/>
    </row>
    <row r="1981" spans="1:17" hidden="1" x14ac:dyDescent="0.25">
      <c r="A1981" s="60" t="str">
        <f t="shared" si="134"/>
        <v>181111,01</v>
      </c>
      <c r="B1981" s="60">
        <f>COUNTIF($J$7:J1981,J1981)</f>
        <v>181</v>
      </c>
      <c r="C1981" s="60" t="str">
        <f t="shared" si="135"/>
        <v>0</v>
      </c>
      <c r="D1981" s="60">
        <f>COUNTIF($K$7:K1981,K1981)</f>
        <v>0</v>
      </c>
      <c r="E1981" s="61"/>
      <c r="F1981" s="239">
        <v>44601</v>
      </c>
      <c r="G1981" s="72" t="s">
        <v>149</v>
      </c>
      <c r="H1981" s="73" t="s">
        <v>1006</v>
      </c>
      <c r="I1981" s="240" t="s">
        <v>282</v>
      </c>
      <c r="J1981" s="67">
        <v>111.01</v>
      </c>
      <c r="K1981" s="242"/>
      <c r="L1981" s="243"/>
      <c r="M1981" s="223">
        <v>6500</v>
      </c>
      <c r="N1981" s="223"/>
      <c r="O1981" s="61"/>
      <c r="P1981" s="69" t="str">
        <f t="shared" si="136"/>
        <v>BNI IDR 768</v>
      </c>
      <c r="Q1981" s="61"/>
    </row>
    <row r="1982" spans="1:17" hidden="1" x14ac:dyDescent="0.25">
      <c r="A1982" s="60" t="str">
        <f t="shared" si="134"/>
        <v>182111,01</v>
      </c>
      <c r="B1982" s="60">
        <f>COUNTIF($J$7:J1982,J1982)</f>
        <v>182</v>
      </c>
      <c r="C1982" s="60" t="str">
        <f t="shared" si="135"/>
        <v>0</v>
      </c>
      <c r="D1982" s="60">
        <f>COUNTIF($K$7:K1982,K1982)</f>
        <v>0</v>
      </c>
      <c r="E1982" s="61"/>
      <c r="F1982" s="239">
        <v>44601.819340277776</v>
      </c>
      <c r="G1982" s="72" t="s">
        <v>149</v>
      </c>
      <c r="H1982" s="73" t="s">
        <v>1008</v>
      </c>
      <c r="I1982" s="240" t="s">
        <v>1009</v>
      </c>
      <c r="J1982" s="67">
        <v>111.01</v>
      </c>
      <c r="K1982" s="242"/>
      <c r="L1982" s="243"/>
      <c r="M1982" s="223">
        <v>965500</v>
      </c>
      <c r="N1982" s="223"/>
      <c r="O1982" s="61"/>
      <c r="P1982" s="69" t="str">
        <f t="shared" si="136"/>
        <v>BNI IDR 768</v>
      </c>
      <c r="Q1982" s="61"/>
    </row>
    <row r="1983" spans="1:17" hidden="1" x14ac:dyDescent="0.25">
      <c r="A1983" s="60" t="str">
        <f t="shared" si="134"/>
        <v>183111,01</v>
      </c>
      <c r="B1983" s="60">
        <f>COUNTIF($J$7:J1983,J1983)</f>
        <v>183</v>
      </c>
      <c r="C1983" s="60" t="str">
        <f t="shared" si="135"/>
        <v>0</v>
      </c>
      <c r="D1983" s="60">
        <f>COUNTIF($K$7:K1983,K1983)</f>
        <v>0</v>
      </c>
      <c r="E1983" s="61"/>
      <c r="F1983" s="239">
        <v>44601</v>
      </c>
      <c r="G1983" s="72" t="s">
        <v>149</v>
      </c>
      <c r="H1983" s="73" t="s">
        <v>1008</v>
      </c>
      <c r="I1983" s="240" t="s">
        <v>282</v>
      </c>
      <c r="J1983" s="67">
        <v>111.01</v>
      </c>
      <c r="K1983" s="242"/>
      <c r="L1983" s="243"/>
      <c r="M1983" s="223">
        <v>6500</v>
      </c>
      <c r="N1983" s="223"/>
      <c r="O1983" s="61"/>
      <c r="P1983" s="69" t="str">
        <f t="shared" si="136"/>
        <v>BNI IDR 768</v>
      </c>
      <c r="Q1983" s="61"/>
    </row>
    <row r="1984" spans="1:17" hidden="1" x14ac:dyDescent="0.25">
      <c r="A1984" s="60" t="str">
        <f t="shared" si="134"/>
        <v>184111,01</v>
      </c>
      <c r="B1984" s="60">
        <f>COUNTIF($J$7:J1984,J1984)</f>
        <v>184</v>
      </c>
      <c r="C1984" s="60" t="str">
        <f t="shared" si="135"/>
        <v>0</v>
      </c>
      <c r="D1984" s="60">
        <f>COUNTIF($K$7:K1984,K1984)</f>
        <v>0</v>
      </c>
      <c r="E1984" s="61"/>
      <c r="F1984" s="239">
        <v>44601.819351851853</v>
      </c>
      <c r="G1984" s="72" t="s">
        <v>149</v>
      </c>
      <c r="H1984" s="73" t="s">
        <v>1010</v>
      </c>
      <c r="I1984" s="240" t="s">
        <v>1011</v>
      </c>
      <c r="J1984" s="67">
        <v>111.01</v>
      </c>
      <c r="K1984" s="242"/>
      <c r="L1984" s="243"/>
      <c r="M1984" s="223">
        <v>2338298</v>
      </c>
      <c r="N1984" s="223"/>
      <c r="O1984" s="61"/>
      <c r="P1984" s="69" t="str">
        <f t="shared" si="136"/>
        <v>BNI IDR 768</v>
      </c>
      <c r="Q1984" s="61"/>
    </row>
    <row r="1985" spans="1:17" hidden="1" x14ac:dyDescent="0.25">
      <c r="A1985" s="60" t="str">
        <f t="shared" si="134"/>
        <v>185111,01</v>
      </c>
      <c r="B1985" s="60">
        <f>COUNTIF($J$7:J1985,J1985)</f>
        <v>185</v>
      </c>
      <c r="C1985" s="60" t="str">
        <f t="shared" si="135"/>
        <v>0</v>
      </c>
      <c r="D1985" s="60">
        <f>COUNTIF($K$7:K1985,K1985)</f>
        <v>0</v>
      </c>
      <c r="E1985" s="61"/>
      <c r="F1985" s="239">
        <v>44601.819363425922</v>
      </c>
      <c r="G1985" s="72" t="s">
        <v>149</v>
      </c>
      <c r="H1985" s="73" t="s">
        <v>1012</v>
      </c>
      <c r="I1985" s="240" t="s">
        <v>1013</v>
      </c>
      <c r="J1985" s="67">
        <v>111.01</v>
      </c>
      <c r="K1985" s="242"/>
      <c r="L1985" s="243"/>
      <c r="M1985" s="223">
        <v>628400</v>
      </c>
      <c r="N1985" s="223"/>
      <c r="O1985" s="61"/>
      <c r="P1985" s="69" t="str">
        <f t="shared" si="136"/>
        <v>BNI IDR 768</v>
      </c>
      <c r="Q1985" s="61"/>
    </row>
    <row r="1986" spans="1:17" hidden="1" x14ac:dyDescent="0.25">
      <c r="A1986" s="60" t="str">
        <f t="shared" si="134"/>
        <v>186111,01</v>
      </c>
      <c r="B1986" s="60">
        <f>COUNTIF($J$7:J1986,J1986)</f>
        <v>186</v>
      </c>
      <c r="C1986" s="60" t="str">
        <f t="shared" si="135"/>
        <v>0</v>
      </c>
      <c r="D1986" s="60">
        <f>COUNTIF($K$7:K1986,K1986)</f>
        <v>0</v>
      </c>
      <c r="E1986" s="61"/>
      <c r="F1986" s="239">
        <v>44601.819363425922</v>
      </c>
      <c r="G1986" s="72" t="s">
        <v>149</v>
      </c>
      <c r="H1986" s="73" t="s">
        <v>1014</v>
      </c>
      <c r="I1986" s="240" t="s">
        <v>1015</v>
      </c>
      <c r="J1986" s="67">
        <v>111.01</v>
      </c>
      <c r="K1986" s="242"/>
      <c r="L1986" s="243"/>
      <c r="M1986" s="223">
        <v>2555088</v>
      </c>
      <c r="N1986" s="223"/>
      <c r="O1986" s="61"/>
      <c r="P1986" s="69" t="str">
        <f t="shared" si="136"/>
        <v>BNI IDR 768</v>
      </c>
      <c r="Q1986" s="61"/>
    </row>
    <row r="1987" spans="1:17" hidden="1" x14ac:dyDescent="0.25">
      <c r="A1987" s="60" t="str">
        <f t="shared" si="134"/>
        <v>187111,01</v>
      </c>
      <c r="B1987" s="60">
        <f>COUNTIF($J$7:J1987,J1987)</f>
        <v>187</v>
      </c>
      <c r="C1987" s="60" t="str">
        <f t="shared" si="135"/>
        <v>0</v>
      </c>
      <c r="D1987" s="60">
        <f>COUNTIF($K$7:K1987,K1987)</f>
        <v>0</v>
      </c>
      <c r="E1987" s="61"/>
      <c r="F1987" s="239">
        <v>44602.44494212963</v>
      </c>
      <c r="G1987" s="72" t="s">
        <v>149</v>
      </c>
      <c r="H1987" s="73" t="s">
        <v>1016</v>
      </c>
      <c r="I1987" s="240" t="s">
        <v>1017</v>
      </c>
      <c r="J1987" s="67">
        <v>111.01</v>
      </c>
      <c r="K1987" s="242"/>
      <c r="L1987" s="224">
        <v>12273500</v>
      </c>
      <c r="M1987" s="223"/>
      <c r="N1987" s="223"/>
      <c r="O1987" s="61"/>
      <c r="P1987" s="69" t="str">
        <f t="shared" si="136"/>
        <v>BNI IDR 768</v>
      </c>
      <c r="Q1987" s="61"/>
    </row>
    <row r="1988" spans="1:17" hidden="1" x14ac:dyDescent="0.25">
      <c r="A1988" s="60" t="str">
        <f t="shared" si="134"/>
        <v>443112</v>
      </c>
      <c r="B1988" s="60">
        <f>COUNTIF($J$7:J1988,J1988)</f>
        <v>443</v>
      </c>
      <c r="C1988" s="60" t="str">
        <f t="shared" si="135"/>
        <v>73112,4</v>
      </c>
      <c r="D1988" s="60">
        <f>COUNTIF($K$7:K1988,K1988)</f>
        <v>73</v>
      </c>
      <c r="E1988" s="61"/>
      <c r="F1988" s="239">
        <v>44602.44494212963</v>
      </c>
      <c r="G1988" s="164" t="s">
        <v>149</v>
      </c>
      <c r="H1988" s="73" t="s">
        <v>1016</v>
      </c>
      <c r="I1988" s="240" t="s">
        <v>1017</v>
      </c>
      <c r="J1988" s="64">
        <v>112</v>
      </c>
      <c r="K1988" s="80">
        <v>112.4</v>
      </c>
      <c r="L1988" s="224"/>
      <c r="M1988" s="223">
        <v>12273500</v>
      </c>
      <c r="N1988" s="223"/>
      <c r="O1988" s="61"/>
      <c r="P1988" s="69" t="str">
        <f t="shared" si="136"/>
        <v>Piutang Usaha</v>
      </c>
      <c r="Q1988" s="61"/>
    </row>
    <row r="1989" spans="1:17" hidden="1" x14ac:dyDescent="0.25">
      <c r="A1989" s="60" t="str">
        <f t="shared" si="134"/>
        <v>6610,07</v>
      </c>
      <c r="B1989" s="60">
        <f>COUNTIF($J$7:J1989,J1989)</f>
        <v>6</v>
      </c>
      <c r="C1989" s="60" t="str">
        <f t="shared" si="135"/>
        <v>0</v>
      </c>
      <c r="D1989" s="60">
        <f>COUNTIF($K$7:K1989,K1989)</f>
        <v>0</v>
      </c>
      <c r="E1989" s="61"/>
      <c r="F1989" s="239">
        <v>44602.51902777778</v>
      </c>
      <c r="G1989" s="72" t="s">
        <v>149</v>
      </c>
      <c r="H1989" s="73" t="s">
        <v>1018</v>
      </c>
      <c r="I1989" s="240" t="s">
        <v>1019</v>
      </c>
      <c r="J1989" s="221">
        <v>610.07000000000005</v>
      </c>
      <c r="K1989" s="242"/>
      <c r="L1989" s="224">
        <v>1029160</v>
      </c>
      <c r="M1989" s="223"/>
      <c r="N1989" s="223"/>
      <c r="O1989" s="61"/>
      <c r="P1989" s="69" t="str">
        <f t="shared" si="136"/>
        <v>Biaya PAM/Air Gedung</v>
      </c>
      <c r="Q1989" s="61"/>
    </row>
    <row r="1990" spans="1:17" hidden="1" x14ac:dyDescent="0.25">
      <c r="A1990" s="60" t="str">
        <f t="shared" si="134"/>
        <v>42810,01</v>
      </c>
      <c r="B1990" s="60">
        <f>COUNTIF($J$7:J1990,J1990)</f>
        <v>42</v>
      </c>
      <c r="C1990" s="60" t="str">
        <f t="shared" si="135"/>
        <v>0</v>
      </c>
      <c r="D1990" s="60">
        <f>COUNTIF($K$7:K1990,K1990)</f>
        <v>0</v>
      </c>
      <c r="E1990" s="61"/>
      <c r="F1990" s="239">
        <v>44602</v>
      </c>
      <c r="G1990" s="72" t="s">
        <v>149</v>
      </c>
      <c r="H1990" s="73" t="s">
        <v>1018</v>
      </c>
      <c r="I1990" s="240" t="s">
        <v>282</v>
      </c>
      <c r="J1990" s="67">
        <v>810.01</v>
      </c>
      <c r="K1990" s="242"/>
      <c r="L1990" s="224">
        <v>6500</v>
      </c>
      <c r="M1990" s="223"/>
      <c r="N1990" s="223"/>
      <c r="O1990" s="61"/>
      <c r="P1990" s="69" t="str">
        <f t="shared" si="136"/>
        <v>Biaya Admin Transfer dan Rek</v>
      </c>
      <c r="Q1990" s="61"/>
    </row>
    <row r="1991" spans="1:17" hidden="1" x14ac:dyDescent="0.25">
      <c r="A1991" s="60" t="str">
        <f t="shared" ref="A1991:A2054" si="137">B1991&amp;J1991</f>
        <v>8610,15</v>
      </c>
      <c r="B1991" s="60">
        <f>COUNTIF($J$7:J1991,J1991)</f>
        <v>8</v>
      </c>
      <c r="C1991" s="60" t="str">
        <f t="shared" ref="C1991:C2054" si="138">D1991&amp;K1991</f>
        <v>0</v>
      </c>
      <c r="D1991" s="60">
        <f>COUNTIF($K$7:K1991,K1991)</f>
        <v>0</v>
      </c>
      <c r="E1991" s="61"/>
      <c r="F1991" s="239">
        <v>44602.51902777778</v>
      </c>
      <c r="G1991" s="72" t="s">
        <v>149</v>
      </c>
      <c r="H1991" s="73" t="s">
        <v>1020</v>
      </c>
      <c r="I1991" s="240" t="s">
        <v>1021</v>
      </c>
      <c r="J1991" s="221">
        <v>610.15</v>
      </c>
      <c r="K1991" s="242"/>
      <c r="L1991" s="224">
        <v>1000000</v>
      </c>
      <c r="M1991" s="223"/>
      <c r="N1991" s="223"/>
      <c r="O1991" s="61"/>
      <c r="P1991" s="69" t="str">
        <f t="shared" ref="P1991:P2054" si="139">IF(J1991=0,"-",+VLOOKUP(J1991,DAF_AKUN,2,FALSE))</f>
        <v>Biaya Pemeliharaan Lingkungan (Keamanan dan Kebersihan)</v>
      </c>
      <c r="Q1991" s="61"/>
    </row>
    <row r="1992" spans="1:17" hidden="1" x14ac:dyDescent="0.25">
      <c r="A1992" s="60" t="str">
        <f t="shared" si="137"/>
        <v>7610,07</v>
      </c>
      <c r="B1992" s="60">
        <f>COUNTIF($J$7:J1992,J1992)</f>
        <v>7</v>
      </c>
      <c r="C1992" s="60" t="str">
        <f t="shared" si="138"/>
        <v>0</v>
      </c>
      <c r="D1992" s="60">
        <f>COUNTIF($K$7:K1992,K1992)</f>
        <v>0</v>
      </c>
      <c r="E1992" s="61"/>
      <c r="F1992" s="239">
        <v>44602.51902777778</v>
      </c>
      <c r="G1992" s="72" t="s">
        <v>149</v>
      </c>
      <c r="H1992" s="73" t="s">
        <v>1020</v>
      </c>
      <c r="I1992" s="240" t="s">
        <v>1022</v>
      </c>
      <c r="J1992" s="221">
        <v>610.07000000000005</v>
      </c>
      <c r="K1992" s="242"/>
      <c r="L1992" s="224">
        <v>52800</v>
      </c>
      <c r="M1992" s="223"/>
      <c r="N1992" s="223"/>
      <c r="O1992" s="61"/>
      <c r="P1992" s="69" t="str">
        <f t="shared" si="139"/>
        <v>Biaya PAM/Air Gedung</v>
      </c>
      <c r="Q1992" s="61"/>
    </row>
    <row r="1993" spans="1:17" hidden="1" x14ac:dyDescent="0.25">
      <c r="A1993" s="60" t="str">
        <f t="shared" si="137"/>
        <v>9610,15</v>
      </c>
      <c r="B1993" s="60">
        <f>COUNTIF($J$7:J1993,J1993)</f>
        <v>9</v>
      </c>
      <c r="C1993" s="60" t="str">
        <f t="shared" si="138"/>
        <v>0</v>
      </c>
      <c r="D1993" s="60">
        <f>COUNTIF($K$7:K1993,K1993)</f>
        <v>0</v>
      </c>
      <c r="E1993" s="61"/>
      <c r="F1993" s="239">
        <v>44602.51902777778</v>
      </c>
      <c r="G1993" s="72" t="s">
        <v>149</v>
      </c>
      <c r="H1993" s="73" t="s">
        <v>1020</v>
      </c>
      <c r="I1993" s="240" t="s">
        <v>1023</v>
      </c>
      <c r="J1993" s="221">
        <v>610.15</v>
      </c>
      <c r="K1993" s="242"/>
      <c r="L1993" s="224">
        <v>1000000</v>
      </c>
      <c r="M1993" s="223"/>
      <c r="N1993" s="223"/>
      <c r="O1993" s="61"/>
      <c r="P1993" s="69" t="str">
        <f t="shared" si="139"/>
        <v>Biaya Pemeliharaan Lingkungan (Keamanan dan Kebersihan)</v>
      </c>
      <c r="Q1993" s="61"/>
    </row>
    <row r="1994" spans="1:17" hidden="1" x14ac:dyDescent="0.25">
      <c r="A1994" s="60" t="str">
        <f t="shared" si="137"/>
        <v>8610,07</v>
      </c>
      <c r="B1994" s="60">
        <f>COUNTIF($J$7:J1994,J1994)</f>
        <v>8</v>
      </c>
      <c r="C1994" s="60" t="str">
        <f t="shared" si="138"/>
        <v>0</v>
      </c>
      <c r="D1994" s="60">
        <f>COUNTIF($K$7:K1994,K1994)</f>
        <v>0</v>
      </c>
      <c r="E1994" s="61"/>
      <c r="F1994" s="239">
        <v>44602.51902777778</v>
      </c>
      <c r="G1994" s="72" t="s">
        <v>149</v>
      </c>
      <c r="H1994" s="73" t="s">
        <v>1020</v>
      </c>
      <c r="I1994" s="240" t="s">
        <v>1024</v>
      </c>
      <c r="J1994" s="221">
        <v>610.07000000000005</v>
      </c>
      <c r="K1994" s="242"/>
      <c r="L1994" s="224">
        <v>145200</v>
      </c>
      <c r="M1994" s="223"/>
      <c r="N1994" s="223"/>
      <c r="O1994" s="61"/>
      <c r="P1994" s="69" t="str">
        <f t="shared" si="139"/>
        <v>Biaya PAM/Air Gedung</v>
      </c>
      <c r="Q1994" s="61"/>
    </row>
    <row r="1995" spans="1:17" hidden="1" x14ac:dyDescent="0.25">
      <c r="A1995" s="60" t="str">
        <f t="shared" si="137"/>
        <v>10610,15</v>
      </c>
      <c r="B1995" s="60">
        <f>COUNTIF($J$7:J1995,J1995)</f>
        <v>10</v>
      </c>
      <c r="C1995" s="60" t="str">
        <f t="shared" si="138"/>
        <v>0</v>
      </c>
      <c r="D1995" s="60">
        <f>COUNTIF($K$7:K1995,K1995)</f>
        <v>0</v>
      </c>
      <c r="E1995" s="61"/>
      <c r="F1995" s="239">
        <v>44602.51902777778</v>
      </c>
      <c r="G1995" s="72" t="s">
        <v>149</v>
      </c>
      <c r="H1995" s="73" t="s">
        <v>1020</v>
      </c>
      <c r="I1995" s="240" t="s">
        <v>1025</v>
      </c>
      <c r="J1995" s="221">
        <v>610.15</v>
      </c>
      <c r="K1995" s="242"/>
      <c r="L1995" s="224">
        <v>644000</v>
      </c>
      <c r="M1995" s="223"/>
      <c r="N1995" s="223"/>
      <c r="O1995" s="61"/>
      <c r="P1995" s="69" t="str">
        <f t="shared" si="139"/>
        <v>Biaya Pemeliharaan Lingkungan (Keamanan dan Kebersihan)</v>
      </c>
      <c r="Q1995" s="61"/>
    </row>
    <row r="1996" spans="1:17" hidden="1" x14ac:dyDescent="0.25">
      <c r="A1996" s="60" t="str">
        <f t="shared" si="137"/>
        <v>9610,07</v>
      </c>
      <c r="B1996" s="60">
        <f>COUNTIF($J$7:J1996,J1996)</f>
        <v>9</v>
      </c>
      <c r="C1996" s="60" t="str">
        <f t="shared" si="138"/>
        <v>0</v>
      </c>
      <c r="D1996" s="60">
        <f>COUNTIF($K$7:K1996,K1996)</f>
        <v>0</v>
      </c>
      <c r="E1996" s="61"/>
      <c r="F1996" s="239">
        <v>44602.51902777778</v>
      </c>
      <c r="G1996" s="72" t="s">
        <v>149</v>
      </c>
      <c r="H1996" s="73" t="s">
        <v>1020</v>
      </c>
      <c r="I1996" s="240" t="s">
        <v>1026</v>
      </c>
      <c r="J1996" s="221">
        <v>610.07000000000005</v>
      </c>
      <c r="K1996" s="242"/>
      <c r="L1996" s="224">
        <v>64000</v>
      </c>
      <c r="M1996" s="223"/>
      <c r="N1996" s="223"/>
      <c r="O1996" s="61"/>
      <c r="P1996" s="69" t="str">
        <f t="shared" si="139"/>
        <v>Biaya PAM/Air Gedung</v>
      </c>
      <c r="Q1996" s="61"/>
    </row>
    <row r="1997" spans="1:17" hidden="1" x14ac:dyDescent="0.25">
      <c r="A1997" s="60" t="str">
        <f t="shared" si="137"/>
        <v>43810,01</v>
      </c>
      <c r="B1997" s="60">
        <f>COUNTIF($J$7:J1997,J1997)</f>
        <v>43</v>
      </c>
      <c r="C1997" s="60" t="str">
        <f t="shared" si="138"/>
        <v>0</v>
      </c>
      <c r="D1997" s="60">
        <f>COUNTIF($K$7:K1997,K1997)</f>
        <v>0</v>
      </c>
      <c r="E1997" s="61"/>
      <c r="F1997" s="239">
        <v>44602</v>
      </c>
      <c r="G1997" s="72" t="s">
        <v>149</v>
      </c>
      <c r="H1997" s="73" t="s">
        <v>1020</v>
      </c>
      <c r="I1997" s="240" t="s">
        <v>282</v>
      </c>
      <c r="J1997" s="67">
        <v>810.01</v>
      </c>
      <c r="K1997" s="242"/>
      <c r="L1997" s="224">
        <v>6500</v>
      </c>
      <c r="M1997" s="223"/>
      <c r="N1997" s="223"/>
      <c r="O1997" s="61"/>
      <c r="P1997" s="69" t="str">
        <f t="shared" si="139"/>
        <v>Biaya Admin Transfer dan Rek</v>
      </c>
      <c r="Q1997" s="61"/>
    </row>
    <row r="1998" spans="1:17" hidden="1" x14ac:dyDescent="0.25">
      <c r="A1998" s="60" t="str">
        <f t="shared" si="137"/>
        <v>4610,05</v>
      </c>
      <c r="B1998" s="60">
        <f>COUNTIF($J$7:J1998,J1998)</f>
        <v>4</v>
      </c>
      <c r="C1998" s="60" t="str">
        <f t="shared" si="138"/>
        <v>0</v>
      </c>
      <c r="D1998" s="60">
        <f>COUNTIF($K$7:K1998,K1998)</f>
        <v>0</v>
      </c>
      <c r="E1998" s="61"/>
      <c r="F1998" s="239">
        <v>44602.51903935185</v>
      </c>
      <c r="G1998" s="72" t="s">
        <v>149</v>
      </c>
      <c r="H1998" s="73" t="s">
        <v>1027</v>
      </c>
      <c r="I1998" s="240" t="s">
        <v>1028</v>
      </c>
      <c r="J1998" s="221">
        <v>610.04999999999995</v>
      </c>
      <c r="K1998" s="242"/>
      <c r="L1998" s="224">
        <v>1003076</v>
      </c>
      <c r="M1998" s="223"/>
      <c r="N1998" s="223"/>
      <c r="O1998" s="61"/>
      <c r="P1998" s="69" t="str">
        <f t="shared" si="139"/>
        <v>Biaya Listrik</v>
      </c>
      <c r="Q1998" s="61"/>
    </row>
    <row r="1999" spans="1:17" hidden="1" x14ac:dyDescent="0.25">
      <c r="A1999" s="60" t="str">
        <f t="shared" si="137"/>
        <v>5610,05</v>
      </c>
      <c r="B1999" s="60">
        <f>COUNTIF($J$7:J1999,J1999)</f>
        <v>5</v>
      </c>
      <c r="C1999" s="60" t="str">
        <f t="shared" si="138"/>
        <v>0</v>
      </c>
      <c r="D1999" s="60">
        <f>COUNTIF($K$7:K1999,K1999)</f>
        <v>0</v>
      </c>
      <c r="E1999" s="61"/>
      <c r="F1999" s="239">
        <v>44602.51903935185</v>
      </c>
      <c r="G1999" s="72" t="s">
        <v>149</v>
      </c>
      <c r="H1999" s="73" t="s">
        <v>1029</v>
      </c>
      <c r="I1999" s="240" t="s">
        <v>1030</v>
      </c>
      <c r="J1999" s="221">
        <v>610.04999999999995</v>
      </c>
      <c r="K1999" s="242"/>
      <c r="L1999" s="224">
        <v>503325</v>
      </c>
      <c r="M1999" s="223"/>
      <c r="N1999" s="223"/>
      <c r="O1999" s="61"/>
      <c r="P1999" s="69" t="str">
        <f t="shared" si="139"/>
        <v>Biaya Listrik</v>
      </c>
      <c r="Q1999" s="61"/>
    </row>
    <row r="2000" spans="1:17" hidden="1" x14ac:dyDescent="0.25">
      <c r="A2000" s="60" t="str">
        <f t="shared" si="137"/>
        <v>4610,06</v>
      </c>
      <c r="B2000" s="60">
        <f>COUNTIF($J$7:J2000,J2000)</f>
        <v>4</v>
      </c>
      <c r="C2000" s="60" t="str">
        <f t="shared" si="138"/>
        <v>0</v>
      </c>
      <c r="D2000" s="60">
        <f>COUNTIF($K$7:K2000,K2000)</f>
        <v>0</v>
      </c>
      <c r="E2000" s="61"/>
      <c r="F2000" s="239">
        <v>44602.519050925926</v>
      </c>
      <c r="G2000" s="72" t="s">
        <v>149</v>
      </c>
      <c r="H2000" s="73" t="s">
        <v>1031</v>
      </c>
      <c r="I2000" s="240" t="s">
        <v>1032</v>
      </c>
      <c r="J2000" s="221">
        <v>610.05999999999995</v>
      </c>
      <c r="K2000" s="242"/>
      <c r="L2000" s="224">
        <v>432298</v>
      </c>
      <c r="M2000" s="223"/>
      <c r="N2000" s="223"/>
      <c r="O2000" s="61"/>
      <c r="P2000" s="69" t="str">
        <f t="shared" si="139"/>
        <v>Biaya Telp, Pulsa  &amp; Internet</v>
      </c>
      <c r="Q2000" s="61"/>
    </row>
    <row r="2001" spans="1:17" hidden="1" x14ac:dyDescent="0.25">
      <c r="A2001" s="60" t="str">
        <f t="shared" si="137"/>
        <v>44810,01</v>
      </c>
      <c r="B2001" s="60">
        <f>COUNTIF($J$7:J2001,J2001)</f>
        <v>44</v>
      </c>
      <c r="C2001" s="60" t="str">
        <f t="shared" si="138"/>
        <v>0</v>
      </c>
      <c r="D2001" s="60">
        <f>COUNTIF($K$7:K2001,K2001)</f>
        <v>0</v>
      </c>
      <c r="E2001" s="61"/>
      <c r="F2001" s="239">
        <v>44602.519050925926</v>
      </c>
      <c r="G2001" s="72" t="s">
        <v>149</v>
      </c>
      <c r="H2001" s="73" t="s">
        <v>1031</v>
      </c>
      <c r="I2001" s="240" t="s">
        <v>1033</v>
      </c>
      <c r="J2001" s="67">
        <v>810.01</v>
      </c>
      <c r="K2001" s="242"/>
      <c r="L2001" s="224">
        <v>2500</v>
      </c>
      <c r="M2001" s="223"/>
      <c r="N2001" s="223"/>
      <c r="O2001" s="61"/>
      <c r="P2001" s="69" t="str">
        <f t="shared" si="139"/>
        <v>Biaya Admin Transfer dan Rek</v>
      </c>
      <c r="Q2001" s="61"/>
    </row>
    <row r="2002" spans="1:17" hidden="1" x14ac:dyDescent="0.25">
      <c r="A2002" s="60" t="str">
        <f t="shared" si="137"/>
        <v>5610,06</v>
      </c>
      <c r="B2002" s="60">
        <f>COUNTIF($J$7:J2002,J2002)</f>
        <v>5</v>
      </c>
      <c r="C2002" s="60" t="str">
        <f t="shared" si="138"/>
        <v>0</v>
      </c>
      <c r="D2002" s="60">
        <f>COUNTIF($K$7:K2002,K2002)</f>
        <v>0</v>
      </c>
      <c r="E2002" s="61"/>
      <c r="F2002" s="239">
        <v>44602.519050925926</v>
      </c>
      <c r="G2002" s="72" t="s">
        <v>149</v>
      </c>
      <c r="H2002" s="73" t="s">
        <v>1034</v>
      </c>
      <c r="I2002" s="240" t="s">
        <v>1035</v>
      </c>
      <c r="J2002" s="221">
        <v>610.05999999999995</v>
      </c>
      <c r="K2002" s="242"/>
      <c r="L2002" s="224">
        <v>537605</v>
      </c>
      <c r="M2002" s="223"/>
      <c r="N2002" s="223"/>
      <c r="O2002" s="61"/>
      <c r="P2002" s="69" t="str">
        <f t="shared" si="139"/>
        <v>Biaya Telp, Pulsa  &amp; Internet</v>
      </c>
      <c r="Q2002" s="61"/>
    </row>
    <row r="2003" spans="1:17" hidden="1" x14ac:dyDescent="0.25">
      <c r="A2003" s="60" t="str">
        <f t="shared" si="137"/>
        <v>45810,01</v>
      </c>
      <c r="B2003" s="60">
        <f>COUNTIF($J$7:J2003,J2003)</f>
        <v>45</v>
      </c>
      <c r="C2003" s="60" t="str">
        <f t="shared" si="138"/>
        <v>0</v>
      </c>
      <c r="D2003" s="60">
        <f>COUNTIF($K$7:K2003,K2003)</f>
        <v>0</v>
      </c>
      <c r="E2003" s="61"/>
      <c r="F2003" s="239">
        <v>44602.519050925926</v>
      </c>
      <c r="G2003" s="72" t="s">
        <v>149</v>
      </c>
      <c r="H2003" s="73" t="s">
        <v>1034</v>
      </c>
      <c r="I2003" s="240" t="s">
        <v>1036</v>
      </c>
      <c r="J2003" s="67">
        <v>810.01</v>
      </c>
      <c r="K2003" s="242"/>
      <c r="L2003" s="224">
        <v>2500</v>
      </c>
      <c r="M2003" s="223"/>
      <c r="N2003" s="223"/>
      <c r="O2003" s="61"/>
      <c r="P2003" s="69" t="str">
        <f t="shared" si="139"/>
        <v>Biaya Admin Transfer dan Rek</v>
      </c>
      <c r="Q2003" s="61"/>
    </row>
    <row r="2004" spans="1:17" hidden="1" x14ac:dyDescent="0.25">
      <c r="A2004" s="60" t="str">
        <f t="shared" si="137"/>
        <v>51220,03</v>
      </c>
      <c r="B2004" s="60">
        <f>COUNTIF($J$7:J2004,J2004)</f>
        <v>51</v>
      </c>
      <c r="C2004" s="60" t="str">
        <f t="shared" si="138"/>
        <v>0</v>
      </c>
      <c r="D2004" s="60">
        <f>COUNTIF($K$7:K2004,K2004)</f>
        <v>0</v>
      </c>
      <c r="E2004" s="61"/>
      <c r="F2004" s="239">
        <v>44602.519050925926</v>
      </c>
      <c r="G2004" s="72" t="s">
        <v>149</v>
      </c>
      <c r="H2004" s="73" t="s">
        <v>1037</v>
      </c>
      <c r="I2004" s="240" t="s">
        <v>1038</v>
      </c>
      <c r="J2004" s="235">
        <v>220.03</v>
      </c>
      <c r="K2004" s="242"/>
      <c r="L2004" s="224">
        <f>1950000-39000</f>
        <v>1911000</v>
      </c>
      <c r="M2004" s="223"/>
      <c r="N2004" s="223"/>
      <c r="O2004" s="61"/>
      <c r="P2004" s="69" t="str">
        <f t="shared" si="139"/>
        <v>Hutang BIaya</v>
      </c>
      <c r="Q2004" s="61"/>
    </row>
    <row r="2005" spans="1:17" hidden="1" x14ac:dyDescent="0.25">
      <c r="A2005" s="60" t="str">
        <f t="shared" si="137"/>
        <v>15211,04</v>
      </c>
      <c r="B2005" s="60">
        <f>COUNTIF($J$7:J2005,J2005)</f>
        <v>15</v>
      </c>
      <c r="C2005" s="60" t="str">
        <f t="shared" si="138"/>
        <v>0</v>
      </c>
      <c r="D2005" s="60">
        <f>COUNTIF($K$7:K2005,K2005)</f>
        <v>0</v>
      </c>
      <c r="E2005" s="61"/>
      <c r="F2005" s="239">
        <v>44602.519050925926</v>
      </c>
      <c r="G2005" s="72" t="s">
        <v>149</v>
      </c>
      <c r="H2005" s="73" t="s">
        <v>1037</v>
      </c>
      <c r="I2005" s="240" t="s">
        <v>1039</v>
      </c>
      <c r="J2005" s="67">
        <v>211.04</v>
      </c>
      <c r="K2005" s="242"/>
      <c r="L2005" s="224">
        <v>39000</v>
      </c>
      <c r="M2005" s="223"/>
      <c r="N2005" s="223"/>
      <c r="O2005" s="61"/>
      <c r="P2005" s="69" t="str">
        <f t="shared" si="139"/>
        <v>Hutang PPh 23</v>
      </c>
      <c r="Q2005" s="61"/>
    </row>
    <row r="2006" spans="1:17" hidden="1" x14ac:dyDescent="0.25">
      <c r="A2006" s="60" t="str">
        <f t="shared" si="137"/>
        <v>46810,01</v>
      </c>
      <c r="B2006" s="60">
        <f>COUNTIF($J$7:J2006,J2006)</f>
        <v>46</v>
      </c>
      <c r="C2006" s="60" t="str">
        <f t="shared" si="138"/>
        <v>0</v>
      </c>
      <c r="D2006" s="60">
        <f>COUNTIF($K$7:K2006,K2006)</f>
        <v>0</v>
      </c>
      <c r="E2006" s="61"/>
      <c r="F2006" s="239">
        <v>44602</v>
      </c>
      <c r="G2006" s="72" t="s">
        <v>149</v>
      </c>
      <c r="H2006" s="73" t="s">
        <v>1037</v>
      </c>
      <c r="I2006" s="240" t="s">
        <v>282</v>
      </c>
      <c r="J2006" s="67">
        <v>810.01</v>
      </c>
      <c r="K2006" s="242"/>
      <c r="L2006" s="224">
        <v>6500</v>
      </c>
      <c r="M2006" s="223"/>
      <c r="N2006" s="223"/>
      <c r="O2006" s="61"/>
      <c r="P2006" s="69" t="str">
        <f t="shared" si="139"/>
        <v>Biaya Admin Transfer dan Rek</v>
      </c>
      <c r="Q2006" s="61"/>
    </row>
    <row r="2007" spans="1:17" hidden="1" x14ac:dyDescent="0.25">
      <c r="A2007" s="60" t="str">
        <f t="shared" si="137"/>
        <v>6610,05</v>
      </c>
      <c r="B2007" s="60">
        <f>COUNTIF($J$7:J2007,J2007)</f>
        <v>6</v>
      </c>
      <c r="C2007" s="60" t="str">
        <f t="shared" si="138"/>
        <v>0</v>
      </c>
      <c r="D2007" s="60">
        <f>COUNTIF($K$7:K2007,K2007)</f>
        <v>0</v>
      </c>
      <c r="E2007" s="61"/>
      <c r="F2007" s="239">
        <v>44602.519050925926</v>
      </c>
      <c r="G2007" s="72" t="s">
        <v>149</v>
      </c>
      <c r="H2007" s="73" t="s">
        <v>1040</v>
      </c>
      <c r="I2007" s="240" t="s">
        <v>1041</v>
      </c>
      <c r="J2007" s="221">
        <v>610.04999999999995</v>
      </c>
      <c r="K2007" s="242"/>
      <c r="L2007" s="224">
        <v>502985</v>
      </c>
      <c r="M2007" s="223"/>
      <c r="N2007" s="223"/>
      <c r="O2007" s="61"/>
      <c r="P2007" s="69" t="str">
        <f t="shared" si="139"/>
        <v>Biaya Listrik</v>
      </c>
      <c r="Q2007" s="61"/>
    </row>
    <row r="2008" spans="1:17" hidden="1" x14ac:dyDescent="0.25">
      <c r="A2008" s="60" t="str">
        <f t="shared" si="137"/>
        <v>10610,07</v>
      </c>
      <c r="B2008" s="60">
        <f>COUNTIF($J$7:J2008,J2008)</f>
        <v>10</v>
      </c>
      <c r="C2008" s="60" t="str">
        <f t="shared" si="138"/>
        <v>0</v>
      </c>
      <c r="D2008" s="60">
        <f>COUNTIF($K$7:K2008,K2008)</f>
        <v>0</v>
      </c>
      <c r="E2008" s="61"/>
      <c r="F2008" s="239">
        <v>44602.519050925926</v>
      </c>
      <c r="G2008" s="72" t="s">
        <v>149</v>
      </c>
      <c r="H2008" s="73" t="s">
        <v>1042</v>
      </c>
      <c r="I2008" s="240" t="s">
        <v>1043</v>
      </c>
      <c r="J2008" s="221">
        <v>610.07000000000005</v>
      </c>
      <c r="K2008" s="242"/>
      <c r="L2008" s="224">
        <v>22000</v>
      </c>
      <c r="M2008" s="223"/>
      <c r="N2008" s="223"/>
      <c r="O2008" s="61"/>
      <c r="P2008" s="69" t="str">
        <f t="shared" si="139"/>
        <v>Biaya PAM/Air Gedung</v>
      </c>
      <c r="Q2008" s="61"/>
    </row>
    <row r="2009" spans="1:17" hidden="1" x14ac:dyDescent="0.25">
      <c r="A2009" s="60" t="str">
        <f t="shared" si="137"/>
        <v>47810,01</v>
      </c>
      <c r="B2009" s="60">
        <f>COUNTIF($J$7:J2009,J2009)</f>
        <v>47</v>
      </c>
      <c r="C2009" s="60" t="str">
        <f t="shared" si="138"/>
        <v>0</v>
      </c>
      <c r="D2009" s="60">
        <f>COUNTIF($K$7:K2009,K2009)</f>
        <v>0</v>
      </c>
      <c r="E2009" s="61"/>
      <c r="F2009" s="239">
        <v>44602</v>
      </c>
      <c r="G2009" s="72" t="s">
        <v>149</v>
      </c>
      <c r="H2009" s="73" t="s">
        <v>1042</v>
      </c>
      <c r="I2009" s="240" t="s">
        <v>282</v>
      </c>
      <c r="J2009" s="67">
        <v>810.01</v>
      </c>
      <c r="K2009" s="242"/>
      <c r="L2009" s="224">
        <v>6500</v>
      </c>
      <c r="M2009" s="223"/>
      <c r="N2009" s="223"/>
      <c r="O2009" s="61"/>
      <c r="P2009" s="69" t="str">
        <f t="shared" si="139"/>
        <v>Biaya Admin Transfer dan Rek</v>
      </c>
      <c r="Q2009" s="61"/>
    </row>
    <row r="2010" spans="1:17" hidden="1" x14ac:dyDescent="0.25">
      <c r="A2010" s="60" t="str">
        <f t="shared" si="137"/>
        <v>3511,01</v>
      </c>
      <c r="B2010" s="60">
        <f>COUNTIF($J$7:J2010,J2010)</f>
        <v>3</v>
      </c>
      <c r="C2010" s="60" t="str">
        <f t="shared" si="138"/>
        <v>0</v>
      </c>
      <c r="D2010" s="60">
        <f>COUNTIF($K$7:K2010,K2010)</f>
        <v>0</v>
      </c>
      <c r="E2010" s="61"/>
      <c r="F2010" s="239">
        <v>44602.519062500003</v>
      </c>
      <c r="G2010" s="72" t="s">
        <v>149</v>
      </c>
      <c r="H2010" s="73" t="s">
        <v>1044</v>
      </c>
      <c r="I2010" s="240" t="s">
        <v>1045</v>
      </c>
      <c r="J2010" s="221">
        <v>511.01</v>
      </c>
      <c r="K2010" s="242"/>
      <c r="L2010" s="224">
        <v>241500</v>
      </c>
      <c r="M2010" s="223"/>
      <c r="N2010" s="223"/>
      <c r="O2010" s="61"/>
      <c r="P2010" s="69" t="str">
        <f t="shared" si="139"/>
        <v>Biaya Packing</v>
      </c>
      <c r="Q2010" s="61"/>
    </row>
    <row r="2011" spans="1:17" hidden="1" x14ac:dyDescent="0.25">
      <c r="A2011" s="60" t="str">
        <f t="shared" si="137"/>
        <v>48810,01</v>
      </c>
      <c r="B2011" s="60">
        <f>COUNTIF($J$7:J2011,J2011)</f>
        <v>48</v>
      </c>
      <c r="C2011" s="60" t="str">
        <f t="shared" si="138"/>
        <v>0</v>
      </c>
      <c r="D2011" s="60">
        <f>COUNTIF($K$7:K2011,K2011)</f>
        <v>0</v>
      </c>
      <c r="E2011" s="61"/>
      <c r="F2011" s="239">
        <v>44602</v>
      </c>
      <c r="G2011" s="72" t="s">
        <v>149</v>
      </c>
      <c r="H2011" s="73" t="s">
        <v>1044</v>
      </c>
      <c r="I2011" s="240" t="s">
        <v>282</v>
      </c>
      <c r="J2011" s="67">
        <v>810.01</v>
      </c>
      <c r="K2011" s="242"/>
      <c r="L2011" s="224">
        <v>6500</v>
      </c>
      <c r="M2011" s="223"/>
      <c r="N2011" s="223"/>
      <c r="O2011" s="61"/>
      <c r="P2011" s="69" t="str">
        <f t="shared" si="139"/>
        <v>Biaya Admin Transfer dan Rek</v>
      </c>
      <c r="Q2011" s="61"/>
    </row>
    <row r="2012" spans="1:17" hidden="1" x14ac:dyDescent="0.25">
      <c r="A2012" s="60" t="str">
        <f t="shared" si="137"/>
        <v>6610,06</v>
      </c>
      <c r="B2012" s="60">
        <f>COUNTIF($J$7:J2012,J2012)</f>
        <v>6</v>
      </c>
      <c r="C2012" s="60" t="str">
        <f t="shared" si="138"/>
        <v>0</v>
      </c>
      <c r="D2012" s="60">
        <f>COUNTIF($K$7:K2012,K2012)</f>
        <v>0</v>
      </c>
      <c r="E2012" s="61"/>
      <c r="F2012" s="239">
        <v>44602.519074074073</v>
      </c>
      <c r="G2012" s="72" t="s">
        <v>149</v>
      </c>
      <c r="H2012" s="73" t="s">
        <v>1046</v>
      </c>
      <c r="I2012" s="240" t="s">
        <v>1047</v>
      </c>
      <c r="J2012" s="221">
        <v>610.05999999999995</v>
      </c>
      <c r="K2012" s="242"/>
      <c r="L2012" s="224">
        <v>552086</v>
      </c>
      <c r="M2012" s="223"/>
      <c r="N2012" s="223"/>
      <c r="O2012" s="61"/>
      <c r="P2012" s="69" t="str">
        <f t="shared" si="139"/>
        <v>Biaya Telp, Pulsa  &amp; Internet</v>
      </c>
      <c r="Q2012" s="61"/>
    </row>
    <row r="2013" spans="1:17" hidden="1" x14ac:dyDescent="0.25">
      <c r="A2013" s="60" t="str">
        <f t="shared" si="137"/>
        <v>7610,06</v>
      </c>
      <c r="B2013" s="60">
        <f>COUNTIF($J$7:J2013,J2013)</f>
        <v>7</v>
      </c>
      <c r="C2013" s="60" t="str">
        <f t="shared" si="138"/>
        <v>0</v>
      </c>
      <c r="D2013" s="60">
        <f>COUNTIF($K$7:K2013,K2013)</f>
        <v>0</v>
      </c>
      <c r="E2013" s="61"/>
      <c r="F2013" s="239">
        <v>44602.519085648149</v>
      </c>
      <c r="G2013" s="72" t="s">
        <v>149</v>
      </c>
      <c r="H2013" s="73" t="s">
        <v>1048</v>
      </c>
      <c r="I2013" s="240" t="s">
        <v>1049</v>
      </c>
      <c r="J2013" s="221">
        <v>610.05999999999995</v>
      </c>
      <c r="K2013" s="242"/>
      <c r="L2013" s="224">
        <v>440000</v>
      </c>
      <c r="M2013" s="223"/>
      <c r="N2013" s="223"/>
      <c r="O2013" s="61"/>
      <c r="P2013" s="69" t="str">
        <f t="shared" si="139"/>
        <v>Biaya Telp, Pulsa  &amp; Internet</v>
      </c>
      <c r="Q2013" s="61"/>
    </row>
    <row r="2014" spans="1:17" hidden="1" x14ac:dyDescent="0.25">
      <c r="A2014" s="60" t="str">
        <f t="shared" si="137"/>
        <v>49810,01</v>
      </c>
      <c r="B2014" s="60">
        <f>COUNTIF($J$7:J2014,J2014)</f>
        <v>49</v>
      </c>
      <c r="C2014" s="60" t="str">
        <f t="shared" si="138"/>
        <v>0</v>
      </c>
      <c r="D2014" s="60">
        <f>COUNTIF($K$7:K2014,K2014)</f>
        <v>0</v>
      </c>
      <c r="E2014" s="61"/>
      <c r="F2014" s="239">
        <v>44602.519085648149</v>
      </c>
      <c r="G2014" s="72" t="s">
        <v>149</v>
      </c>
      <c r="H2014" s="73" t="s">
        <v>1048</v>
      </c>
      <c r="I2014" s="240" t="s">
        <v>1050</v>
      </c>
      <c r="J2014" s="67">
        <v>810.01</v>
      </c>
      <c r="K2014" s="242"/>
      <c r="L2014" s="224">
        <v>2500</v>
      </c>
      <c r="M2014" s="223"/>
      <c r="N2014" s="223"/>
      <c r="O2014" s="61"/>
      <c r="P2014" s="69" t="str">
        <f t="shared" si="139"/>
        <v>Biaya Admin Transfer dan Rek</v>
      </c>
      <c r="Q2014" s="61"/>
    </row>
    <row r="2015" spans="1:17" hidden="1" x14ac:dyDescent="0.25">
      <c r="A2015" s="60" t="str">
        <f t="shared" si="137"/>
        <v>188111,01</v>
      </c>
      <c r="B2015" s="60">
        <f>COUNTIF($J$7:J2015,J2015)</f>
        <v>188</v>
      </c>
      <c r="C2015" s="60" t="str">
        <f t="shared" si="138"/>
        <v>0</v>
      </c>
      <c r="D2015" s="60">
        <f>COUNTIF($K$7:K2015,K2015)</f>
        <v>0</v>
      </c>
      <c r="E2015" s="61"/>
      <c r="F2015" s="239">
        <v>44602.51902777778</v>
      </c>
      <c r="G2015" s="72" t="s">
        <v>149</v>
      </c>
      <c r="H2015" s="73" t="s">
        <v>1018</v>
      </c>
      <c r="I2015" s="240" t="s">
        <v>1051</v>
      </c>
      <c r="J2015" s="67">
        <v>111.01</v>
      </c>
      <c r="K2015" s="242"/>
      <c r="L2015" s="243"/>
      <c r="M2015" s="223">
        <v>1029160</v>
      </c>
      <c r="N2015" s="223"/>
      <c r="O2015" s="61"/>
      <c r="P2015" s="69" t="str">
        <f t="shared" si="139"/>
        <v>BNI IDR 768</v>
      </c>
      <c r="Q2015" s="61"/>
    </row>
    <row r="2016" spans="1:17" hidden="1" x14ac:dyDescent="0.25">
      <c r="A2016" s="60" t="str">
        <f t="shared" si="137"/>
        <v>189111,01</v>
      </c>
      <c r="B2016" s="60">
        <f>COUNTIF($J$7:J2016,J2016)</f>
        <v>189</v>
      </c>
      <c r="C2016" s="60" t="str">
        <f t="shared" si="138"/>
        <v>0</v>
      </c>
      <c r="D2016" s="60">
        <f>COUNTIF($K$7:K2016,K2016)</f>
        <v>0</v>
      </c>
      <c r="E2016" s="61"/>
      <c r="F2016" s="239">
        <v>44602</v>
      </c>
      <c r="G2016" s="72" t="s">
        <v>149</v>
      </c>
      <c r="H2016" s="73" t="s">
        <v>1018</v>
      </c>
      <c r="I2016" s="240" t="s">
        <v>282</v>
      </c>
      <c r="J2016" s="67">
        <v>111.01</v>
      </c>
      <c r="K2016" s="242"/>
      <c r="L2016" s="243"/>
      <c r="M2016" s="223">
        <v>6500</v>
      </c>
      <c r="N2016" s="223"/>
      <c r="O2016" s="61"/>
      <c r="P2016" s="69" t="str">
        <f t="shared" si="139"/>
        <v>BNI IDR 768</v>
      </c>
      <c r="Q2016" s="61"/>
    </row>
    <row r="2017" spans="1:17" hidden="1" x14ac:dyDescent="0.25">
      <c r="A2017" s="60" t="str">
        <f t="shared" si="137"/>
        <v>190111,01</v>
      </c>
      <c r="B2017" s="60">
        <f>COUNTIF($J$7:J2017,J2017)</f>
        <v>190</v>
      </c>
      <c r="C2017" s="60" t="str">
        <f t="shared" si="138"/>
        <v>0</v>
      </c>
      <c r="D2017" s="60">
        <f>COUNTIF($K$7:K2017,K2017)</f>
        <v>0</v>
      </c>
      <c r="E2017" s="61"/>
      <c r="F2017" s="239">
        <v>44602.51902777778</v>
      </c>
      <c r="G2017" s="72" t="s">
        <v>149</v>
      </c>
      <c r="H2017" s="73" t="s">
        <v>1020</v>
      </c>
      <c r="I2017" s="240" t="s">
        <v>1052</v>
      </c>
      <c r="J2017" s="67">
        <v>111.01</v>
      </c>
      <c r="K2017" s="242"/>
      <c r="L2017" s="243"/>
      <c r="M2017" s="223">
        <v>2906000</v>
      </c>
      <c r="N2017" s="223"/>
      <c r="O2017" s="61"/>
      <c r="P2017" s="69" t="str">
        <f t="shared" si="139"/>
        <v>BNI IDR 768</v>
      </c>
      <c r="Q2017" s="61"/>
    </row>
    <row r="2018" spans="1:17" hidden="1" x14ac:dyDescent="0.25">
      <c r="A2018" s="60" t="str">
        <f t="shared" si="137"/>
        <v>191111,01</v>
      </c>
      <c r="B2018" s="60">
        <f>COUNTIF($J$7:J2018,J2018)</f>
        <v>191</v>
      </c>
      <c r="C2018" s="60" t="str">
        <f t="shared" si="138"/>
        <v>0</v>
      </c>
      <c r="D2018" s="60">
        <f>COUNTIF($K$7:K2018,K2018)</f>
        <v>0</v>
      </c>
      <c r="E2018" s="61"/>
      <c r="F2018" s="239">
        <v>44602</v>
      </c>
      <c r="G2018" s="72" t="s">
        <v>149</v>
      </c>
      <c r="H2018" s="73" t="s">
        <v>1020</v>
      </c>
      <c r="I2018" s="240" t="s">
        <v>282</v>
      </c>
      <c r="J2018" s="67">
        <v>111.01</v>
      </c>
      <c r="K2018" s="242"/>
      <c r="L2018" s="243"/>
      <c r="M2018" s="223">
        <v>6500</v>
      </c>
      <c r="N2018" s="223"/>
      <c r="O2018" s="61"/>
      <c r="P2018" s="69" t="str">
        <f t="shared" si="139"/>
        <v>BNI IDR 768</v>
      </c>
      <c r="Q2018" s="61"/>
    </row>
    <row r="2019" spans="1:17" hidden="1" x14ac:dyDescent="0.25">
      <c r="A2019" s="60" t="str">
        <f t="shared" si="137"/>
        <v>192111,01</v>
      </c>
      <c r="B2019" s="60">
        <f>COUNTIF($J$7:J2019,J2019)</f>
        <v>192</v>
      </c>
      <c r="C2019" s="60" t="str">
        <f t="shared" si="138"/>
        <v>0</v>
      </c>
      <c r="D2019" s="60">
        <f>COUNTIF($K$7:K2019,K2019)</f>
        <v>0</v>
      </c>
      <c r="E2019" s="61"/>
      <c r="F2019" s="239">
        <v>44602.51903935185</v>
      </c>
      <c r="G2019" s="72" t="s">
        <v>149</v>
      </c>
      <c r="H2019" s="73" t="s">
        <v>1027</v>
      </c>
      <c r="I2019" s="240" t="s">
        <v>1028</v>
      </c>
      <c r="J2019" s="67">
        <v>111.01</v>
      </c>
      <c r="K2019" s="242"/>
      <c r="L2019" s="243"/>
      <c r="M2019" s="223">
        <v>1003076</v>
      </c>
      <c r="N2019" s="223"/>
      <c r="O2019" s="61"/>
      <c r="P2019" s="69" t="str">
        <f t="shared" si="139"/>
        <v>BNI IDR 768</v>
      </c>
      <c r="Q2019" s="61"/>
    </row>
    <row r="2020" spans="1:17" hidden="1" x14ac:dyDescent="0.25">
      <c r="A2020" s="60" t="str">
        <f t="shared" si="137"/>
        <v>193111,01</v>
      </c>
      <c r="B2020" s="60">
        <f>COUNTIF($J$7:J2020,J2020)</f>
        <v>193</v>
      </c>
      <c r="C2020" s="60" t="str">
        <f t="shared" si="138"/>
        <v>0</v>
      </c>
      <c r="D2020" s="60">
        <f>COUNTIF($K$7:K2020,K2020)</f>
        <v>0</v>
      </c>
      <c r="E2020" s="61"/>
      <c r="F2020" s="239">
        <v>44602.51903935185</v>
      </c>
      <c r="G2020" s="72" t="s">
        <v>149</v>
      </c>
      <c r="H2020" s="73" t="s">
        <v>1029</v>
      </c>
      <c r="I2020" s="240" t="s">
        <v>1030</v>
      </c>
      <c r="J2020" s="67">
        <v>111.01</v>
      </c>
      <c r="K2020" s="242"/>
      <c r="L2020" s="243"/>
      <c r="M2020" s="223">
        <v>503325</v>
      </c>
      <c r="N2020" s="223"/>
      <c r="O2020" s="61"/>
      <c r="P2020" s="69" t="str">
        <f t="shared" si="139"/>
        <v>BNI IDR 768</v>
      </c>
      <c r="Q2020" s="61"/>
    </row>
    <row r="2021" spans="1:17" hidden="1" x14ac:dyDescent="0.25">
      <c r="A2021" s="60" t="str">
        <f t="shared" si="137"/>
        <v>194111,01</v>
      </c>
      <c r="B2021" s="60">
        <f>COUNTIF($J$7:J2021,J2021)</f>
        <v>194</v>
      </c>
      <c r="C2021" s="60" t="str">
        <f t="shared" si="138"/>
        <v>0</v>
      </c>
      <c r="D2021" s="60">
        <f>COUNTIF($K$7:K2021,K2021)</f>
        <v>0</v>
      </c>
      <c r="E2021" s="61"/>
      <c r="F2021" s="239">
        <v>44602.519050925926</v>
      </c>
      <c r="G2021" s="72" t="s">
        <v>149</v>
      </c>
      <c r="H2021" s="73" t="s">
        <v>1031</v>
      </c>
      <c r="I2021" s="240" t="s">
        <v>1053</v>
      </c>
      <c r="J2021" s="67">
        <v>111.01</v>
      </c>
      <c r="K2021" s="242"/>
      <c r="L2021" s="243"/>
      <c r="M2021" s="223">
        <v>432298</v>
      </c>
      <c r="N2021" s="223"/>
      <c r="O2021" s="61"/>
      <c r="P2021" s="69" t="str">
        <f t="shared" si="139"/>
        <v>BNI IDR 768</v>
      </c>
      <c r="Q2021" s="61"/>
    </row>
    <row r="2022" spans="1:17" hidden="1" x14ac:dyDescent="0.25">
      <c r="A2022" s="60" t="str">
        <f t="shared" si="137"/>
        <v>195111,01</v>
      </c>
      <c r="B2022" s="60">
        <f>COUNTIF($J$7:J2022,J2022)</f>
        <v>195</v>
      </c>
      <c r="C2022" s="60" t="str">
        <f t="shared" si="138"/>
        <v>0</v>
      </c>
      <c r="D2022" s="60">
        <f>COUNTIF($K$7:K2022,K2022)</f>
        <v>0</v>
      </c>
      <c r="E2022" s="61"/>
      <c r="F2022" s="239">
        <v>44602.519050925926</v>
      </c>
      <c r="G2022" s="72" t="s">
        <v>149</v>
      </c>
      <c r="H2022" s="73" t="s">
        <v>1031</v>
      </c>
      <c r="I2022" s="240" t="s">
        <v>1033</v>
      </c>
      <c r="J2022" s="67">
        <v>111.01</v>
      </c>
      <c r="K2022" s="242"/>
      <c r="L2022" s="243"/>
      <c r="M2022" s="223">
        <v>2500</v>
      </c>
      <c r="N2022" s="223"/>
      <c r="O2022" s="61"/>
      <c r="P2022" s="69" t="str">
        <f t="shared" si="139"/>
        <v>BNI IDR 768</v>
      </c>
      <c r="Q2022" s="61"/>
    </row>
    <row r="2023" spans="1:17" hidden="1" x14ac:dyDescent="0.25">
      <c r="A2023" s="60" t="str">
        <f t="shared" si="137"/>
        <v>196111,01</v>
      </c>
      <c r="B2023" s="60">
        <f>COUNTIF($J$7:J2023,J2023)</f>
        <v>196</v>
      </c>
      <c r="C2023" s="60" t="str">
        <f t="shared" si="138"/>
        <v>0</v>
      </c>
      <c r="D2023" s="60">
        <f>COUNTIF($K$7:K2023,K2023)</f>
        <v>0</v>
      </c>
      <c r="E2023" s="61"/>
      <c r="F2023" s="239">
        <v>44602.519050925926</v>
      </c>
      <c r="G2023" s="72" t="s">
        <v>149</v>
      </c>
      <c r="H2023" s="73" t="s">
        <v>1034</v>
      </c>
      <c r="I2023" s="240" t="s">
        <v>1054</v>
      </c>
      <c r="J2023" s="67">
        <v>111.01</v>
      </c>
      <c r="K2023" s="242"/>
      <c r="L2023" s="243"/>
      <c r="M2023" s="223">
        <v>537605</v>
      </c>
      <c r="N2023" s="223"/>
      <c r="O2023" s="61"/>
      <c r="P2023" s="69" t="str">
        <f t="shared" si="139"/>
        <v>BNI IDR 768</v>
      </c>
      <c r="Q2023" s="61"/>
    </row>
    <row r="2024" spans="1:17" hidden="1" x14ac:dyDescent="0.25">
      <c r="A2024" s="60" t="str">
        <f t="shared" si="137"/>
        <v>197111,01</v>
      </c>
      <c r="B2024" s="60">
        <f>COUNTIF($J$7:J2024,J2024)</f>
        <v>197</v>
      </c>
      <c r="C2024" s="60" t="str">
        <f t="shared" si="138"/>
        <v>0</v>
      </c>
      <c r="D2024" s="60">
        <f>COUNTIF($K$7:K2024,K2024)</f>
        <v>0</v>
      </c>
      <c r="E2024" s="61"/>
      <c r="F2024" s="239">
        <v>44602.519050925926</v>
      </c>
      <c r="G2024" s="72" t="s">
        <v>149</v>
      </c>
      <c r="H2024" s="73" t="s">
        <v>1034</v>
      </c>
      <c r="I2024" s="240" t="s">
        <v>1036</v>
      </c>
      <c r="J2024" s="67">
        <v>111.01</v>
      </c>
      <c r="K2024" s="242"/>
      <c r="L2024" s="243"/>
      <c r="M2024" s="223">
        <v>2500</v>
      </c>
      <c r="N2024" s="223"/>
      <c r="O2024" s="61"/>
      <c r="P2024" s="69" t="str">
        <f t="shared" si="139"/>
        <v>BNI IDR 768</v>
      </c>
      <c r="Q2024" s="61"/>
    </row>
    <row r="2025" spans="1:17" hidden="1" x14ac:dyDescent="0.25">
      <c r="A2025" s="60" t="str">
        <f t="shared" si="137"/>
        <v>198111,01</v>
      </c>
      <c r="B2025" s="60">
        <f>COUNTIF($J$7:J2025,J2025)</f>
        <v>198</v>
      </c>
      <c r="C2025" s="60" t="str">
        <f t="shared" si="138"/>
        <v>0</v>
      </c>
      <c r="D2025" s="60">
        <f>COUNTIF($K$7:K2025,K2025)</f>
        <v>0</v>
      </c>
      <c r="E2025" s="61"/>
      <c r="F2025" s="239">
        <v>44602.519050925926</v>
      </c>
      <c r="G2025" s="72" t="s">
        <v>149</v>
      </c>
      <c r="H2025" s="73" t="s">
        <v>1037</v>
      </c>
      <c r="I2025" s="240" t="s">
        <v>1055</v>
      </c>
      <c r="J2025" s="67">
        <v>111.01</v>
      </c>
      <c r="K2025" s="242"/>
      <c r="L2025" s="243"/>
      <c r="M2025" s="223">
        <v>1950000</v>
      </c>
      <c r="N2025" s="223"/>
      <c r="O2025" s="61"/>
      <c r="P2025" s="69" t="str">
        <f t="shared" si="139"/>
        <v>BNI IDR 768</v>
      </c>
      <c r="Q2025" s="61"/>
    </row>
    <row r="2026" spans="1:17" hidden="1" x14ac:dyDescent="0.25">
      <c r="A2026" s="60" t="str">
        <f t="shared" si="137"/>
        <v>199111,01</v>
      </c>
      <c r="B2026" s="60">
        <f>COUNTIF($J$7:J2026,J2026)</f>
        <v>199</v>
      </c>
      <c r="C2026" s="60" t="str">
        <f t="shared" si="138"/>
        <v>0</v>
      </c>
      <c r="D2026" s="60">
        <f>COUNTIF($K$7:K2026,K2026)</f>
        <v>0</v>
      </c>
      <c r="E2026" s="61"/>
      <c r="F2026" s="239">
        <v>44602</v>
      </c>
      <c r="G2026" s="72" t="s">
        <v>149</v>
      </c>
      <c r="H2026" s="73" t="s">
        <v>1037</v>
      </c>
      <c r="I2026" s="240" t="s">
        <v>282</v>
      </c>
      <c r="J2026" s="67">
        <v>111.01</v>
      </c>
      <c r="K2026" s="242"/>
      <c r="L2026" s="243"/>
      <c r="M2026" s="223">
        <v>6500</v>
      </c>
      <c r="N2026" s="223"/>
      <c r="O2026" s="61"/>
      <c r="P2026" s="69" t="str">
        <f t="shared" si="139"/>
        <v>BNI IDR 768</v>
      </c>
      <c r="Q2026" s="61"/>
    </row>
    <row r="2027" spans="1:17" hidden="1" x14ac:dyDescent="0.25">
      <c r="A2027" s="60" t="str">
        <f t="shared" si="137"/>
        <v>200111,01</v>
      </c>
      <c r="B2027" s="60">
        <f>COUNTIF($J$7:J2027,J2027)</f>
        <v>200</v>
      </c>
      <c r="C2027" s="60" t="str">
        <f t="shared" si="138"/>
        <v>0</v>
      </c>
      <c r="D2027" s="60">
        <f>COUNTIF($K$7:K2027,K2027)</f>
        <v>0</v>
      </c>
      <c r="E2027" s="61"/>
      <c r="F2027" s="239">
        <v>44602.519050925926</v>
      </c>
      <c r="G2027" s="72" t="s">
        <v>149</v>
      </c>
      <c r="H2027" s="73" t="s">
        <v>1040</v>
      </c>
      <c r="I2027" s="240" t="s">
        <v>1041</v>
      </c>
      <c r="J2027" s="67">
        <v>111.01</v>
      </c>
      <c r="K2027" s="242"/>
      <c r="L2027" s="243"/>
      <c r="M2027" s="223">
        <v>502985</v>
      </c>
      <c r="N2027" s="223"/>
      <c r="O2027" s="61"/>
      <c r="P2027" s="69" t="str">
        <f t="shared" si="139"/>
        <v>BNI IDR 768</v>
      </c>
      <c r="Q2027" s="61"/>
    </row>
    <row r="2028" spans="1:17" hidden="1" x14ac:dyDescent="0.25">
      <c r="A2028" s="60" t="str">
        <f t="shared" si="137"/>
        <v>201111,01</v>
      </c>
      <c r="B2028" s="60">
        <f>COUNTIF($J$7:J2028,J2028)</f>
        <v>201</v>
      </c>
      <c r="C2028" s="60" t="str">
        <f t="shared" si="138"/>
        <v>0</v>
      </c>
      <c r="D2028" s="60">
        <f>COUNTIF($K$7:K2028,K2028)</f>
        <v>0</v>
      </c>
      <c r="E2028" s="61"/>
      <c r="F2028" s="239">
        <v>44602.519050925926</v>
      </c>
      <c r="G2028" s="72" t="s">
        <v>149</v>
      </c>
      <c r="H2028" s="73" t="s">
        <v>1042</v>
      </c>
      <c r="I2028" s="240" t="s">
        <v>1056</v>
      </c>
      <c r="J2028" s="67">
        <v>111.01</v>
      </c>
      <c r="K2028" s="242"/>
      <c r="L2028" s="243"/>
      <c r="M2028" s="223">
        <v>22000</v>
      </c>
      <c r="N2028" s="223"/>
      <c r="O2028" s="61"/>
      <c r="P2028" s="69" t="str">
        <f t="shared" si="139"/>
        <v>BNI IDR 768</v>
      </c>
      <c r="Q2028" s="61"/>
    </row>
    <row r="2029" spans="1:17" hidden="1" x14ac:dyDescent="0.25">
      <c r="A2029" s="60" t="str">
        <f t="shared" si="137"/>
        <v>202111,01</v>
      </c>
      <c r="B2029" s="60">
        <f>COUNTIF($J$7:J2029,J2029)</f>
        <v>202</v>
      </c>
      <c r="C2029" s="60" t="str">
        <f t="shared" si="138"/>
        <v>0</v>
      </c>
      <c r="D2029" s="60">
        <f>COUNTIF($K$7:K2029,K2029)</f>
        <v>0</v>
      </c>
      <c r="E2029" s="61"/>
      <c r="F2029" s="239">
        <v>44602</v>
      </c>
      <c r="G2029" s="72" t="s">
        <v>149</v>
      </c>
      <c r="H2029" s="73" t="s">
        <v>1042</v>
      </c>
      <c r="I2029" s="240" t="s">
        <v>282</v>
      </c>
      <c r="J2029" s="67">
        <v>111.01</v>
      </c>
      <c r="K2029" s="242"/>
      <c r="L2029" s="243"/>
      <c r="M2029" s="223">
        <v>6500</v>
      </c>
      <c r="N2029" s="223"/>
      <c r="O2029" s="61"/>
      <c r="P2029" s="69" t="str">
        <f t="shared" si="139"/>
        <v>BNI IDR 768</v>
      </c>
      <c r="Q2029" s="61"/>
    </row>
    <row r="2030" spans="1:17" hidden="1" x14ac:dyDescent="0.25">
      <c r="A2030" s="60" t="str">
        <f t="shared" si="137"/>
        <v>203111,01</v>
      </c>
      <c r="B2030" s="60">
        <f>COUNTIF($J$7:J2030,J2030)</f>
        <v>203</v>
      </c>
      <c r="C2030" s="60" t="str">
        <f t="shared" si="138"/>
        <v>0</v>
      </c>
      <c r="D2030" s="60">
        <f>COUNTIF($K$7:K2030,K2030)</f>
        <v>0</v>
      </c>
      <c r="E2030" s="61"/>
      <c r="F2030" s="239">
        <v>44602.519062500003</v>
      </c>
      <c r="G2030" s="72" t="s">
        <v>149</v>
      </c>
      <c r="H2030" s="73" t="s">
        <v>1044</v>
      </c>
      <c r="I2030" s="240" t="s">
        <v>1057</v>
      </c>
      <c r="J2030" s="67">
        <v>111.01</v>
      </c>
      <c r="K2030" s="242"/>
      <c r="L2030" s="243"/>
      <c r="M2030" s="223">
        <v>241500</v>
      </c>
      <c r="N2030" s="223"/>
      <c r="O2030" s="61"/>
      <c r="P2030" s="69" t="str">
        <f t="shared" si="139"/>
        <v>BNI IDR 768</v>
      </c>
      <c r="Q2030" s="61"/>
    </row>
    <row r="2031" spans="1:17" hidden="1" x14ac:dyDescent="0.25">
      <c r="A2031" s="60" t="str">
        <f t="shared" si="137"/>
        <v>204111,01</v>
      </c>
      <c r="B2031" s="60">
        <f>COUNTIF($J$7:J2031,J2031)</f>
        <v>204</v>
      </c>
      <c r="C2031" s="60" t="str">
        <f t="shared" si="138"/>
        <v>0</v>
      </c>
      <c r="D2031" s="60">
        <f>COUNTIF($K$7:K2031,K2031)</f>
        <v>0</v>
      </c>
      <c r="E2031" s="61"/>
      <c r="F2031" s="239">
        <v>44602</v>
      </c>
      <c r="G2031" s="72" t="s">
        <v>149</v>
      </c>
      <c r="H2031" s="73" t="s">
        <v>1044</v>
      </c>
      <c r="I2031" s="240" t="s">
        <v>282</v>
      </c>
      <c r="J2031" s="67">
        <v>111.01</v>
      </c>
      <c r="K2031" s="242"/>
      <c r="L2031" s="243"/>
      <c r="M2031" s="223">
        <v>6500</v>
      </c>
      <c r="N2031" s="223"/>
      <c r="O2031" s="61"/>
      <c r="P2031" s="69" t="str">
        <f t="shared" si="139"/>
        <v>BNI IDR 768</v>
      </c>
      <c r="Q2031" s="61"/>
    </row>
    <row r="2032" spans="1:17" hidden="1" x14ac:dyDescent="0.25">
      <c r="A2032" s="60" t="str">
        <f t="shared" si="137"/>
        <v>205111,01</v>
      </c>
      <c r="B2032" s="60">
        <f>COUNTIF($J$7:J2032,J2032)</f>
        <v>205</v>
      </c>
      <c r="C2032" s="60" t="str">
        <f t="shared" si="138"/>
        <v>0</v>
      </c>
      <c r="D2032" s="60">
        <f>COUNTIF($K$7:K2032,K2032)</f>
        <v>0</v>
      </c>
      <c r="E2032" s="61"/>
      <c r="F2032" s="239">
        <v>44602.519074074073</v>
      </c>
      <c r="G2032" s="72" t="s">
        <v>149</v>
      </c>
      <c r="H2032" s="73" t="s">
        <v>1046</v>
      </c>
      <c r="I2032" s="240" t="s">
        <v>1058</v>
      </c>
      <c r="J2032" s="67">
        <v>111.01</v>
      </c>
      <c r="K2032" s="242"/>
      <c r="L2032" s="243"/>
      <c r="M2032" s="223">
        <v>552086</v>
      </c>
      <c r="N2032" s="223"/>
      <c r="O2032" s="61"/>
      <c r="P2032" s="69" t="str">
        <f t="shared" si="139"/>
        <v>BNI IDR 768</v>
      </c>
      <c r="Q2032" s="61"/>
    </row>
    <row r="2033" spans="1:17" hidden="1" x14ac:dyDescent="0.25">
      <c r="A2033" s="60" t="str">
        <f t="shared" si="137"/>
        <v>206111,01</v>
      </c>
      <c r="B2033" s="60">
        <f>COUNTIF($J$7:J2033,J2033)</f>
        <v>206</v>
      </c>
      <c r="C2033" s="60" t="str">
        <f t="shared" si="138"/>
        <v>0</v>
      </c>
      <c r="D2033" s="60">
        <f>COUNTIF($K$7:K2033,K2033)</f>
        <v>0</v>
      </c>
      <c r="E2033" s="61"/>
      <c r="F2033" s="239">
        <v>44602.519085648149</v>
      </c>
      <c r="G2033" s="72" t="s">
        <v>149</v>
      </c>
      <c r="H2033" s="73" t="s">
        <v>1048</v>
      </c>
      <c r="I2033" s="240" t="s">
        <v>1059</v>
      </c>
      <c r="J2033" s="67">
        <v>111.01</v>
      </c>
      <c r="K2033" s="242"/>
      <c r="L2033" s="243"/>
      <c r="M2033" s="223">
        <v>440000</v>
      </c>
      <c r="N2033" s="223"/>
      <c r="O2033" s="61"/>
      <c r="P2033" s="69" t="str">
        <f t="shared" si="139"/>
        <v>BNI IDR 768</v>
      </c>
      <c r="Q2033" s="61"/>
    </row>
    <row r="2034" spans="1:17" hidden="1" x14ac:dyDescent="0.25">
      <c r="A2034" s="60" t="str">
        <f t="shared" si="137"/>
        <v>207111,01</v>
      </c>
      <c r="B2034" s="60">
        <f>COUNTIF($J$7:J2034,J2034)</f>
        <v>207</v>
      </c>
      <c r="C2034" s="60" t="str">
        <f t="shared" si="138"/>
        <v>0</v>
      </c>
      <c r="D2034" s="60">
        <f>COUNTIF($K$7:K2034,K2034)</f>
        <v>0</v>
      </c>
      <c r="E2034" s="61"/>
      <c r="F2034" s="239">
        <v>44602.519085648149</v>
      </c>
      <c r="G2034" s="72" t="s">
        <v>149</v>
      </c>
      <c r="H2034" s="73" t="s">
        <v>1048</v>
      </c>
      <c r="I2034" s="240" t="s">
        <v>1050</v>
      </c>
      <c r="J2034" s="67">
        <v>111.01</v>
      </c>
      <c r="K2034" s="242"/>
      <c r="L2034" s="243"/>
      <c r="M2034" s="223">
        <v>2500</v>
      </c>
      <c r="N2034" s="223"/>
      <c r="O2034" s="61"/>
      <c r="P2034" s="69" t="str">
        <f t="shared" si="139"/>
        <v>BNI IDR 768</v>
      </c>
      <c r="Q2034" s="61"/>
    </row>
    <row r="2035" spans="1:17" hidden="1" x14ac:dyDescent="0.25">
      <c r="A2035" s="60" t="str">
        <f t="shared" si="137"/>
        <v>208111,01</v>
      </c>
      <c r="B2035" s="60">
        <f>COUNTIF($J$7:J2035,J2035)</f>
        <v>208</v>
      </c>
      <c r="C2035" s="60" t="str">
        <f t="shared" si="138"/>
        <v>0</v>
      </c>
      <c r="D2035" s="60">
        <f>COUNTIF($K$7:K2035,K2035)</f>
        <v>0</v>
      </c>
      <c r="E2035" s="61"/>
      <c r="F2035" s="239">
        <v>44602.53943287037</v>
      </c>
      <c r="G2035" s="72" t="s">
        <v>149</v>
      </c>
      <c r="H2035" s="73" t="s">
        <v>1060</v>
      </c>
      <c r="I2035" s="240" t="s">
        <v>1061</v>
      </c>
      <c r="J2035" s="67">
        <v>111.01</v>
      </c>
      <c r="K2035" s="242"/>
      <c r="L2035" s="224">
        <v>34973787</v>
      </c>
      <c r="M2035" s="223"/>
      <c r="N2035" s="223"/>
      <c r="O2035" s="61"/>
      <c r="P2035" s="69" t="str">
        <f t="shared" si="139"/>
        <v>BNI IDR 768</v>
      </c>
      <c r="Q2035" s="61"/>
    </row>
    <row r="2036" spans="1:17" hidden="1" x14ac:dyDescent="0.25">
      <c r="A2036" s="60" t="str">
        <f t="shared" si="137"/>
        <v>50810,01</v>
      </c>
      <c r="B2036" s="60">
        <f>COUNTIF($J$7:J2036,J2036)</f>
        <v>50</v>
      </c>
      <c r="C2036" s="60" t="str">
        <f t="shared" si="138"/>
        <v>0</v>
      </c>
      <c r="D2036" s="60">
        <f>COUNTIF($K$7:K2036,K2036)</f>
        <v>0</v>
      </c>
      <c r="E2036" s="61"/>
      <c r="F2036" s="239">
        <v>44602.53943287037</v>
      </c>
      <c r="G2036" s="72" t="s">
        <v>149</v>
      </c>
      <c r="H2036" s="73" t="s">
        <v>1060</v>
      </c>
      <c r="I2036" s="240" t="s">
        <v>1061</v>
      </c>
      <c r="J2036" s="67">
        <v>810.01</v>
      </c>
      <c r="K2036" s="242"/>
      <c r="L2036" s="224">
        <v>2500</v>
      </c>
      <c r="M2036" s="223"/>
      <c r="N2036" s="223"/>
      <c r="O2036" s="61"/>
      <c r="P2036" s="69" t="str">
        <f t="shared" si="139"/>
        <v>Biaya Admin Transfer dan Rek</v>
      </c>
      <c r="Q2036" s="61"/>
    </row>
    <row r="2037" spans="1:17" hidden="1" x14ac:dyDescent="0.25">
      <c r="A2037" s="60" t="str">
        <f t="shared" si="137"/>
        <v>444112</v>
      </c>
      <c r="B2037" s="60">
        <f>COUNTIF($J$7:J2037,J2037)</f>
        <v>444</v>
      </c>
      <c r="C2037" s="60" t="str">
        <f t="shared" si="138"/>
        <v>74112,4</v>
      </c>
      <c r="D2037" s="60">
        <f>COUNTIF($K$7:K2037,K2037)</f>
        <v>74</v>
      </c>
      <c r="E2037" s="61"/>
      <c r="F2037" s="239">
        <v>44602.53943287037</v>
      </c>
      <c r="G2037" s="164" t="s">
        <v>149</v>
      </c>
      <c r="H2037" s="73" t="s">
        <v>1060</v>
      </c>
      <c r="I2037" s="240" t="s">
        <v>1061</v>
      </c>
      <c r="J2037" s="64">
        <v>112</v>
      </c>
      <c r="K2037" s="80">
        <v>112.4</v>
      </c>
      <c r="L2037" s="224"/>
      <c r="M2037" s="223">
        <v>34976287</v>
      </c>
      <c r="N2037" s="223"/>
      <c r="O2037" s="61"/>
      <c r="P2037" s="69" t="str">
        <f t="shared" si="139"/>
        <v>Piutang Usaha</v>
      </c>
      <c r="Q2037" s="61"/>
    </row>
    <row r="2038" spans="1:17" hidden="1" x14ac:dyDescent="0.25">
      <c r="A2038" s="60" t="str">
        <f t="shared" si="137"/>
        <v>18211,02</v>
      </c>
      <c r="B2038" s="60">
        <f>COUNTIF($J$7:J2038,J2038)</f>
        <v>18</v>
      </c>
      <c r="C2038" s="60" t="str">
        <f t="shared" si="138"/>
        <v>0</v>
      </c>
      <c r="D2038" s="60">
        <f>COUNTIF($K$7:K2038,K2038)</f>
        <v>0</v>
      </c>
      <c r="E2038" s="61"/>
      <c r="F2038" s="239">
        <v>44602.692557870374</v>
      </c>
      <c r="G2038" s="72" t="s">
        <v>149</v>
      </c>
      <c r="H2038" s="73" t="s">
        <v>1062</v>
      </c>
      <c r="I2038" s="240" t="s">
        <v>1063</v>
      </c>
      <c r="J2038" s="67">
        <v>211.02</v>
      </c>
      <c r="K2038" s="242"/>
      <c r="L2038" s="224">
        <v>798609</v>
      </c>
      <c r="M2038" s="223"/>
      <c r="N2038" s="223"/>
      <c r="O2038" s="61"/>
      <c r="P2038" s="69" t="str">
        <f t="shared" si="139"/>
        <v>Hutang PPh 21</v>
      </c>
      <c r="Q2038" s="61"/>
    </row>
    <row r="2039" spans="1:17" hidden="1" x14ac:dyDescent="0.25">
      <c r="A2039" s="60" t="str">
        <f t="shared" si="137"/>
        <v>16211,04</v>
      </c>
      <c r="B2039" s="60">
        <f>COUNTIF($J$7:J2039,J2039)</f>
        <v>16</v>
      </c>
      <c r="C2039" s="60" t="str">
        <f t="shared" si="138"/>
        <v>0</v>
      </c>
      <c r="D2039" s="60">
        <f>COUNTIF($K$7:K2039,K2039)</f>
        <v>0</v>
      </c>
      <c r="E2039" s="61"/>
      <c r="F2039" s="239">
        <v>44602.692557870374</v>
      </c>
      <c r="G2039" s="72" t="s">
        <v>149</v>
      </c>
      <c r="H2039" s="73" t="s">
        <v>1064</v>
      </c>
      <c r="I2039" s="240" t="s">
        <v>1065</v>
      </c>
      <c r="J2039" s="67">
        <v>211.04</v>
      </c>
      <c r="K2039" s="242"/>
      <c r="L2039" s="222">
        <v>1324267</v>
      </c>
      <c r="M2039" s="223"/>
      <c r="N2039" s="223"/>
      <c r="O2039" s="61"/>
      <c r="P2039" s="69" t="str">
        <f t="shared" si="139"/>
        <v>Hutang PPh 23</v>
      </c>
      <c r="Q2039" s="61"/>
    </row>
    <row r="2040" spans="1:17" hidden="1" x14ac:dyDescent="0.25">
      <c r="A2040" s="60" t="str">
        <f t="shared" si="137"/>
        <v>19211,02</v>
      </c>
      <c r="B2040" s="60">
        <f>COUNTIF($J$7:J2040,J2040)</f>
        <v>19</v>
      </c>
      <c r="C2040" s="60" t="str">
        <f t="shared" si="138"/>
        <v>0</v>
      </c>
      <c r="D2040" s="60">
        <f>COUNTIF($K$7:K2040,K2040)</f>
        <v>0</v>
      </c>
      <c r="E2040" s="61"/>
      <c r="F2040" s="239">
        <v>44602.692569444444</v>
      </c>
      <c r="G2040" s="72" t="s">
        <v>149</v>
      </c>
      <c r="H2040" s="73" t="s">
        <v>1066</v>
      </c>
      <c r="I2040" s="240" t="s">
        <v>1067</v>
      </c>
      <c r="J2040" s="67">
        <v>211.02</v>
      </c>
      <c r="K2040" s="242"/>
      <c r="L2040" s="224">
        <v>1815517</v>
      </c>
      <c r="M2040" s="223"/>
      <c r="N2040" s="223"/>
      <c r="O2040" s="61"/>
      <c r="P2040" s="69" t="str">
        <f t="shared" si="139"/>
        <v>Hutang PPh 21</v>
      </c>
      <c r="Q2040" s="61"/>
    </row>
    <row r="2041" spans="1:17" hidden="1" x14ac:dyDescent="0.25">
      <c r="A2041" s="60" t="str">
        <f t="shared" si="137"/>
        <v>4211,05</v>
      </c>
      <c r="B2041" s="60">
        <f>COUNTIF($J$7:J2041,J2041)</f>
        <v>4</v>
      </c>
      <c r="C2041" s="60" t="str">
        <f t="shared" si="138"/>
        <v>0</v>
      </c>
      <c r="D2041" s="60">
        <f>COUNTIF($K$7:K2041,K2041)</f>
        <v>0</v>
      </c>
      <c r="E2041" s="61"/>
      <c r="F2041" s="239">
        <v>44602.692569444444</v>
      </c>
      <c r="G2041" s="72" t="s">
        <v>149</v>
      </c>
      <c r="H2041" s="73" t="s">
        <v>1068</v>
      </c>
      <c r="I2041" s="240" t="s">
        <v>1069</v>
      </c>
      <c r="J2041" s="67">
        <v>211.05</v>
      </c>
      <c r="K2041" s="242"/>
      <c r="L2041" s="224">
        <v>18433780</v>
      </c>
      <c r="M2041" s="223"/>
      <c r="N2041" s="223"/>
      <c r="O2041" s="61"/>
      <c r="P2041" s="69" t="str">
        <f t="shared" si="139"/>
        <v>Hutang PPh 25</v>
      </c>
      <c r="Q2041" s="61"/>
    </row>
    <row r="2042" spans="1:17" hidden="1" x14ac:dyDescent="0.25">
      <c r="A2042" s="60" t="str">
        <f t="shared" si="137"/>
        <v>209111,01</v>
      </c>
      <c r="B2042" s="60">
        <f>COUNTIF($J$7:J2042,J2042)</f>
        <v>209</v>
      </c>
      <c r="C2042" s="60" t="str">
        <f t="shared" si="138"/>
        <v>0</v>
      </c>
      <c r="D2042" s="60">
        <f>COUNTIF($K$7:K2042,K2042)</f>
        <v>0</v>
      </c>
      <c r="E2042" s="61"/>
      <c r="F2042" s="239">
        <v>44602.692557870374</v>
      </c>
      <c r="G2042" s="72" t="s">
        <v>149</v>
      </c>
      <c r="H2042" s="73" t="s">
        <v>1062</v>
      </c>
      <c r="I2042" s="240" t="s">
        <v>1070</v>
      </c>
      <c r="J2042" s="67">
        <v>111.01</v>
      </c>
      <c r="K2042" s="242"/>
      <c r="L2042" s="243"/>
      <c r="M2042" s="223">
        <v>798609</v>
      </c>
      <c r="N2042" s="223"/>
      <c r="O2042" s="61"/>
      <c r="P2042" s="69" t="str">
        <f t="shared" si="139"/>
        <v>BNI IDR 768</v>
      </c>
      <c r="Q2042" s="61"/>
    </row>
    <row r="2043" spans="1:17" hidden="1" x14ac:dyDescent="0.25">
      <c r="A2043" s="60" t="str">
        <f t="shared" si="137"/>
        <v>210111,01</v>
      </c>
      <c r="B2043" s="60">
        <f>COUNTIF($J$7:J2043,J2043)</f>
        <v>210</v>
      </c>
      <c r="C2043" s="60" t="str">
        <f t="shared" si="138"/>
        <v>0</v>
      </c>
      <c r="D2043" s="60">
        <f>COUNTIF($K$7:K2043,K2043)</f>
        <v>0</v>
      </c>
      <c r="E2043" s="61"/>
      <c r="F2043" s="239">
        <v>44602.692557870374</v>
      </c>
      <c r="G2043" s="72" t="s">
        <v>149</v>
      </c>
      <c r="H2043" s="73" t="s">
        <v>1064</v>
      </c>
      <c r="I2043" s="240" t="s">
        <v>1071</v>
      </c>
      <c r="J2043" s="67">
        <v>111.01</v>
      </c>
      <c r="K2043" s="242"/>
      <c r="L2043" s="243"/>
      <c r="M2043" s="223">
        <v>1324267</v>
      </c>
      <c r="N2043" s="223"/>
      <c r="O2043" s="61"/>
      <c r="P2043" s="69" t="str">
        <f t="shared" si="139"/>
        <v>BNI IDR 768</v>
      </c>
      <c r="Q2043" s="61"/>
    </row>
    <row r="2044" spans="1:17" hidden="1" x14ac:dyDescent="0.25">
      <c r="A2044" s="60" t="str">
        <f t="shared" si="137"/>
        <v>211111,01</v>
      </c>
      <c r="B2044" s="60">
        <f>COUNTIF($J$7:J2044,J2044)</f>
        <v>211</v>
      </c>
      <c r="C2044" s="60" t="str">
        <f t="shared" si="138"/>
        <v>0</v>
      </c>
      <c r="D2044" s="60">
        <f>COUNTIF($K$7:K2044,K2044)</f>
        <v>0</v>
      </c>
      <c r="E2044" s="61"/>
      <c r="F2044" s="239">
        <v>44602.692569444444</v>
      </c>
      <c r="G2044" s="72" t="s">
        <v>149</v>
      </c>
      <c r="H2044" s="73" t="s">
        <v>1066</v>
      </c>
      <c r="I2044" s="240" t="s">
        <v>1072</v>
      </c>
      <c r="J2044" s="67">
        <v>111.01</v>
      </c>
      <c r="K2044" s="242"/>
      <c r="L2044" s="243"/>
      <c r="M2044" s="223">
        <v>1815517</v>
      </c>
      <c r="N2044" s="223"/>
      <c r="O2044" s="61"/>
      <c r="P2044" s="69" t="str">
        <f t="shared" si="139"/>
        <v>BNI IDR 768</v>
      </c>
      <c r="Q2044" s="61"/>
    </row>
    <row r="2045" spans="1:17" hidden="1" x14ac:dyDescent="0.25">
      <c r="A2045" s="60" t="str">
        <f t="shared" si="137"/>
        <v>212111,01</v>
      </c>
      <c r="B2045" s="60">
        <f>COUNTIF($J$7:J2045,J2045)</f>
        <v>212</v>
      </c>
      <c r="C2045" s="60" t="str">
        <f t="shared" si="138"/>
        <v>0</v>
      </c>
      <c r="D2045" s="60">
        <f>COUNTIF($K$7:K2045,K2045)</f>
        <v>0</v>
      </c>
      <c r="E2045" s="61"/>
      <c r="F2045" s="239">
        <v>44602.692569444444</v>
      </c>
      <c r="G2045" s="72" t="s">
        <v>149</v>
      </c>
      <c r="H2045" s="73" t="s">
        <v>1068</v>
      </c>
      <c r="I2045" s="240" t="s">
        <v>1069</v>
      </c>
      <c r="J2045" s="67">
        <v>111.01</v>
      </c>
      <c r="K2045" s="242"/>
      <c r="L2045" s="243"/>
      <c r="M2045" s="223">
        <v>18433780</v>
      </c>
      <c r="N2045" s="223"/>
      <c r="O2045" s="61"/>
      <c r="P2045" s="69" t="str">
        <f t="shared" si="139"/>
        <v>BNI IDR 768</v>
      </c>
      <c r="Q2045" s="61"/>
    </row>
    <row r="2046" spans="1:17" hidden="1" x14ac:dyDescent="0.25">
      <c r="A2046" s="60" t="str">
        <f t="shared" si="137"/>
        <v>4220,01</v>
      </c>
      <c r="B2046" s="60">
        <f>COUNTIF($J$7:J2046,J2046)</f>
        <v>4</v>
      </c>
      <c r="C2046" s="60" t="str">
        <f t="shared" si="138"/>
        <v>0</v>
      </c>
      <c r="D2046" s="60">
        <f>COUNTIF($K$7:K2046,K2046)</f>
        <v>0</v>
      </c>
      <c r="E2046" s="61"/>
      <c r="F2046" s="232">
        <v>44603.423796296294</v>
      </c>
      <c r="G2046" s="72" t="s">
        <v>149</v>
      </c>
      <c r="H2046" s="73" t="s">
        <v>1073</v>
      </c>
      <c r="I2046" s="243" t="s">
        <v>1074</v>
      </c>
      <c r="J2046" s="67">
        <v>220.01</v>
      </c>
      <c r="K2046" s="242"/>
      <c r="L2046" s="224">
        <f>'[1]Sewa &amp; Asuransi'!C138</f>
        <v>4393624</v>
      </c>
      <c r="M2046" s="223"/>
      <c r="N2046" s="223"/>
      <c r="O2046" s="61"/>
      <c r="P2046" s="69" t="str">
        <f t="shared" si="139"/>
        <v>Hutang Bank/Leasing</v>
      </c>
      <c r="Q2046" s="61"/>
    </row>
    <row r="2047" spans="1:17" hidden="1" x14ac:dyDescent="0.25">
      <c r="A2047" s="60" t="str">
        <f t="shared" si="137"/>
        <v>2810,03</v>
      </c>
      <c r="B2047" s="60">
        <f>COUNTIF($J$7:J2047,J2047)</f>
        <v>2</v>
      </c>
      <c r="C2047" s="60" t="str">
        <f t="shared" si="138"/>
        <v>0</v>
      </c>
      <c r="D2047" s="60">
        <f>COUNTIF($K$7:K2047,K2047)</f>
        <v>0</v>
      </c>
      <c r="E2047" s="61"/>
      <c r="F2047" s="232">
        <v>44603.423796296294</v>
      </c>
      <c r="G2047" s="72" t="s">
        <v>149</v>
      </c>
      <c r="H2047" s="73" t="s">
        <v>1073</v>
      </c>
      <c r="I2047" s="243" t="s">
        <v>1075</v>
      </c>
      <c r="J2047" s="221">
        <v>810.03</v>
      </c>
      <c r="K2047" s="242"/>
      <c r="L2047" s="224">
        <f>'[1]Sewa &amp; Asuransi'!B138</f>
        <v>588376</v>
      </c>
      <c r="M2047" s="223"/>
      <c r="N2047" s="223"/>
      <c r="O2047" s="61"/>
      <c r="P2047" s="69" t="str">
        <f t="shared" si="139"/>
        <v>Biaya Bunga Pinjaman Bank/Leasing</v>
      </c>
      <c r="Q2047" s="61"/>
    </row>
    <row r="2048" spans="1:17" hidden="1" x14ac:dyDescent="0.25">
      <c r="A2048" s="60" t="str">
        <f t="shared" si="137"/>
        <v>213111,01</v>
      </c>
      <c r="B2048" s="60">
        <f>COUNTIF($J$7:J2048,J2048)</f>
        <v>213</v>
      </c>
      <c r="C2048" s="60" t="str">
        <f t="shared" si="138"/>
        <v>0</v>
      </c>
      <c r="D2048" s="60">
        <f>COUNTIF($K$7:K2048,K2048)</f>
        <v>0</v>
      </c>
      <c r="E2048" s="61"/>
      <c r="F2048" s="232">
        <v>44603.423796296294</v>
      </c>
      <c r="G2048" s="72" t="s">
        <v>149</v>
      </c>
      <c r="H2048" s="73" t="s">
        <v>1073</v>
      </c>
      <c r="I2048" s="243" t="s">
        <v>1076</v>
      </c>
      <c r="J2048" s="67">
        <v>111.01</v>
      </c>
      <c r="K2048" s="242"/>
      <c r="L2048" s="243"/>
      <c r="M2048" s="223">
        <v>4982000</v>
      </c>
      <c r="N2048" s="223"/>
      <c r="O2048" s="61"/>
      <c r="P2048" s="69" t="str">
        <f t="shared" si="139"/>
        <v>BNI IDR 768</v>
      </c>
      <c r="Q2048" s="61"/>
    </row>
    <row r="2049" spans="1:17" hidden="1" x14ac:dyDescent="0.25">
      <c r="A2049" s="60" t="str">
        <f t="shared" si="137"/>
        <v>214111,01</v>
      </c>
      <c r="B2049" s="60">
        <f>COUNTIF($J$7:J2049,J2049)</f>
        <v>214</v>
      </c>
      <c r="C2049" s="60" t="str">
        <f t="shared" si="138"/>
        <v>0</v>
      </c>
      <c r="D2049" s="60">
        <f>COUNTIF($K$7:K2049,K2049)</f>
        <v>0</v>
      </c>
      <c r="E2049" s="61"/>
      <c r="F2049" s="232">
        <v>44603.605787037035</v>
      </c>
      <c r="G2049" s="72" t="s">
        <v>149</v>
      </c>
      <c r="H2049" s="73" t="s">
        <v>1077</v>
      </c>
      <c r="I2049" s="243" t="s">
        <v>1078</v>
      </c>
      <c r="J2049" s="67">
        <v>111.01</v>
      </c>
      <c r="K2049" s="242"/>
      <c r="L2049" s="224">
        <v>12656300</v>
      </c>
      <c r="M2049" s="223"/>
      <c r="N2049" s="223"/>
      <c r="O2049" s="61"/>
      <c r="P2049" s="69" t="str">
        <f t="shared" si="139"/>
        <v>BNI IDR 768</v>
      </c>
      <c r="Q2049" s="61"/>
    </row>
    <row r="2050" spans="1:17" hidden="1" x14ac:dyDescent="0.25">
      <c r="A2050" s="60" t="str">
        <f t="shared" si="137"/>
        <v>52220,03</v>
      </c>
      <c r="B2050" s="60">
        <f>COUNTIF($J$7:J2050,J2050)</f>
        <v>52</v>
      </c>
      <c r="C2050" s="60" t="str">
        <f t="shared" si="138"/>
        <v>0</v>
      </c>
      <c r="D2050" s="60">
        <f>COUNTIF($K$7:K2050,K2050)</f>
        <v>0</v>
      </c>
      <c r="E2050" s="61"/>
      <c r="F2050" s="232">
        <v>44603.605787037035</v>
      </c>
      <c r="G2050" s="72" t="s">
        <v>149</v>
      </c>
      <c r="H2050" s="73" t="s">
        <v>1077</v>
      </c>
      <c r="I2050" s="243" t="s">
        <v>1078</v>
      </c>
      <c r="J2050" s="67">
        <v>220.03</v>
      </c>
      <c r="K2050" s="242"/>
      <c r="L2050" s="224"/>
      <c r="M2050" s="223">
        <v>12656300</v>
      </c>
      <c r="N2050" s="223"/>
      <c r="O2050" s="61"/>
      <c r="P2050" s="69" t="str">
        <f t="shared" si="139"/>
        <v>Hutang BIaya</v>
      </c>
      <c r="Q2050" s="61"/>
    </row>
    <row r="2051" spans="1:17" hidden="1" x14ac:dyDescent="0.25">
      <c r="A2051" s="60" t="str">
        <f t="shared" si="137"/>
        <v>53220,03</v>
      </c>
      <c r="B2051" s="60">
        <f>COUNTIF($J$7:J2051,J2051)</f>
        <v>53</v>
      </c>
      <c r="C2051" s="60" t="str">
        <f t="shared" si="138"/>
        <v>0</v>
      </c>
      <c r="D2051" s="60">
        <f>COUNTIF($K$7:K2051,K2051)</f>
        <v>0</v>
      </c>
      <c r="E2051" s="61"/>
      <c r="F2051" s="232">
        <v>44603.73097222222</v>
      </c>
      <c r="G2051" s="72" t="s">
        <v>149</v>
      </c>
      <c r="H2051" s="73" t="s">
        <v>1079</v>
      </c>
      <c r="I2051" s="243" t="s">
        <v>1080</v>
      </c>
      <c r="J2051" s="235">
        <v>220.03</v>
      </c>
      <c r="K2051" s="242"/>
      <c r="L2051" s="224">
        <v>19730167</v>
      </c>
      <c r="M2051" s="223"/>
      <c r="N2051" s="223"/>
      <c r="O2051" s="61"/>
      <c r="P2051" s="69" t="str">
        <f t="shared" si="139"/>
        <v>Hutang BIaya</v>
      </c>
      <c r="Q2051" s="61"/>
    </row>
    <row r="2052" spans="1:17" hidden="1" x14ac:dyDescent="0.25">
      <c r="A2052" s="60" t="str">
        <f t="shared" si="137"/>
        <v>51810,01</v>
      </c>
      <c r="B2052" s="60">
        <f>COUNTIF($J$7:J2052,J2052)</f>
        <v>51</v>
      </c>
      <c r="C2052" s="60" t="str">
        <f t="shared" si="138"/>
        <v>0</v>
      </c>
      <c r="D2052" s="60">
        <f>COUNTIF($K$7:K2052,K2052)</f>
        <v>0</v>
      </c>
      <c r="E2052" s="61"/>
      <c r="F2052" s="232">
        <v>44603</v>
      </c>
      <c r="G2052" s="72" t="s">
        <v>149</v>
      </c>
      <c r="H2052" s="73" t="s">
        <v>1079</v>
      </c>
      <c r="I2052" s="243" t="s">
        <v>282</v>
      </c>
      <c r="J2052" s="67">
        <v>810.01</v>
      </c>
      <c r="K2052" s="242"/>
      <c r="L2052" s="224">
        <v>6500</v>
      </c>
      <c r="M2052" s="223"/>
      <c r="N2052" s="223"/>
      <c r="O2052" s="61"/>
      <c r="P2052" s="69" t="str">
        <f t="shared" si="139"/>
        <v>Biaya Admin Transfer dan Rek</v>
      </c>
      <c r="Q2052" s="61"/>
    </row>
    <row r="2053" spans="1:17" hidden="1" x14ac:dyDescent="0.25">
      <c r="A2053" s="60" t="str">
        <f t="shared" si="137"/>
        <v>19610,1</v>
      </c>
      <c r="B2053" s="60">
        <f>COUNTIF($J$7:J2053,J2053)</f>
        <v>19</v>
      </c>
      <c r="C2053" s="60" t="str">
        <f t="shared" si="138"/>
        <v>0</v>
      </c>
      <c r="D2053" s="60">
        <f>COUNTIF($K$7:K2053,K2053)</f>
        <v>0</v>
      </c>
      <c r="E2053" s="61"/>
      <c r="F2053" s="232">
        <v>44606.675763888888</v>
      </c>
      <c r="G2053" s="72" t="s">
        <v>149</v>
      </c>
      <c r="H2053" s="73" t="s">
        <v>1081</v>
      </c>
      <c r="I2053" s="243" t="s">
        <v>1082</v>
      </c>
      <c r="J2053" s="221">
        <v>610.1</v>
      </c>
      <c r="K2053" s="242"/>
      <c r="L2053" s="224">
        <v>342175</v>
      </c>
      <c r="M2053" s="223"/>
      <c r="N2053" s="223"/>
      <c r="O2053" s="61"/>
      <c r="P2053" s="69" t="str">
        <f t="shared" si="139"/>
        <v>Biaya Rumah Tangga Kantor</v>
      </c>
      <c r="Q2053" s="61"/>
    </row>
    <row r="2054" spans="1:17" hidden="1" x14ac:dyDescent="0.25">
      <c r="A2054" s="60" t="str">
        <f t="shared" si="137"/>
        <v>13610,09</v>
      </c>
      <c r="B2054" s="60">
        <f>COUNTIF($J$7:J2054,J2054)</f>
        <v>13</v>
      </c>
      <c r="C2054" s="60" t="str">
        <f t="shared" si="138"/>
        <v>0</v>
      </c>
      <c r="D2054" s="60">
        <f>COUNTIF($K$7:K2054,K2054)</f>
        <v>0</v>
      </c>
      <c r="E2054" s="61"/>
      <c r="F2054" s="232">
        <v>44606.675763888888</v>
      </c>
      <c r="G2054" s="72" t="s">
        <v>149</v>
      </c>
      <c r="H2054" s="73" t="s">
        <v>1083</v>
      </c>
      <c r="I2054" s="243" t="s">
        <v>1084</v>
      </c>
      <c r="J2054" s="221">
        <v>610.09</v>
      </c>
      <c r="K2054" s="242"/>
      <c r="L2054" s="224">
        <v>66967</v>
      </c>
      <c r="M2054" s="223"/>
      <c r="N2054" s="223"/>
      <c r="O2054" s="61"/>
      <c r="P2054" s="69" t="str">
        <f t="shared" si="139"/>
        <v>Biaya ATK &amp; Perlengkapan Kantor</v>
      </c>
      <c r="Q2054" s="61"/>
    </row>
    <row r="2055" spans="1:17" hidden="1" x14ac:dyDescent="0.25">
      <c r="A2055" s="60" t="str">
        <f t="shared" ref="A2055:A2118" si="140">B2055&amp;J2055</f>
        <v>14610,09</v>
      </c>
      <c r="B2055" s="60">
        <f>COUNTIF($J$7:J2055,J2055)</f>
        <v>14</v>
      </c>
      <c r="C2055" s="60" t="str">
        <f t="shared" ref="C2055:C2118" si="141">D2055&amp;K2055</f>
        <v>0</v>
      </c>
      <c r="D2055" s="60">
        <f>COUNTIF($K$7:K2055,K2055)</f>
        <v>0</v>
      </c>
      <c r="E2055" s="61"/>
      <c r="F2055" s="232">
        <v>44606.675763888888</v>
      </c>
      <c r="G2055" s="72" t="s">
        <v>149</v>
      </c>
      <c r="H2055" s="73" t="s">
        <v>1085</v>
      </c>
      <c r="I2055" s="243" t="s">
        <v>1086</v>
      </c>
      <c r="J2055" s="221">
        <v>610.09</v>
      </c>
      <c r="K2055" s="242"/>
      <c r="L2055" s="224">
        <v>57148</v>
      </c>
      <c r="M2055" s="223"/>
      <c r="N2055" s="223"/>
      <c r="O2055" s="61"/>
      <c r="P2055" s="69" t="str">
        <f t="shared" ref="P2055:P2118" si="142">IF(J2055=0,"-",+VLOOKUP(J2055,DAF_AKUN,2,FALSE))</f>
        <v>Biaya ATK &amp; Perlengkapan Kantor</v>
      </c>
      <c r="Q2055" s="61"/>
    </row>
    <row r="2056" spans="1:17" hidden="1" x14ac:dyDescent="0.25">
      <c r="A2056" s="60" t="str">
        <f t="shared" si="140"/>
        <v>11512,03</v>
      </c>
      <c r="B2056" s="60">
        <f>COUNTIF($J$7:J2056,J2056)</f>
        <v>11</v>
      </c>
      <c r="C2056" s="60" t="str">
        <f t="shared" si="141"/>
        <v>0</v>
      </c>
      <c r="D2056" s="60">
        <f>COUNTIF($K$7:K2056,K2056)</f>
        <v>0</v>
      </c>
      <c r="E2056" s="61"/>
      <c r="F2056" s="232">
        <v>44606.675763888888</v>
      </c>
      <c r="G2056" s="72" t="s">
        <v>149</v>
      </c>
      <c r="H2056" s="73" t="s">
        <v>1087</v>
      </c>
      <c r="I2056" s="243" t="s">
        <v>1088</v>
      </c>
      <c r="J2056" s="241">
        <v>512.03</v>
      </c>
      <c r="K2056" s="242"/>
      <c r="L2056" s="224">
        <v>300000</v>
      </c>
      <c r="M2056" s="223"/>
      <c r="N2056" s="223"/>
      <c r="O2056" s="61"/>
      <c r="P2056" s="69" t="str">
        <f t="shared" si="142"/>
        <v>Beban Gasoline Marketing (Bensin, Parkir, Tol)</v>
      </c>
      <c r="Q2056" s="61"/>
    </row>
    <row r="2057" spans="1:17" hidden="1" x14ac:dyDescent="0.25">
      <c r="A2057" s="60" t="str">
        <f t="shared" si="140"/>
        <v>15610,09</v>
      </c>
      <c r="B2057" s="60">
        <f>COUNTIF($J$7:J2057,J2057)</f>
        <v>15</v>
      </c>
      <c r="C2057" s="60" t="str">
        <f t="shared" si="141"/>
        <v>0</v>
      </c>
      <c r="D2057" s="60">
        <f>COUNTIF($K$7:K2057,K2057)</f>
        <v>0</v>
      </c>
      <c r="E2057" s="61"/>
      <c r="F2057" s="232">
        <v>44606.675763888888</v>
      </c>
      <c r="G2057" s="72" t="s">
        <v>149</v>
      </c>
      <c r="H2057" s="73" t="s">
        <v>1089</v>
      </c>
      <c r="I2057" s="243" t="s">
        <v>1090</v>
      </c>
      <c r="J2057" s="221">
        <v>610.09</v>
      </c>
      <c r="K2057" s="242"/>
      <c r="L2057" s="224">
        <v>68826</v>
      </c>
      <c r="M2057" s="223"/>
      <c r="N2057" s="223"/>
      <c r="O2057" s="61"/>
      <c r="P2057" s="69" t="str">
        <f t="shared" si="142"/>
        <v>Biaya ATK &amp; Perlengkapan Kantor</v>
      </c>
      <c r="Q2057" s="61"/>
    </row>
    <row r="2058" spans="1:17" hidden="1" x14ac:dyDescent="0.25">
      <c r="A2058" s="60" t="str">
        <f t="shared" si="140"/>
        <v>52810,01</v>
      </c>
      <c r="B2058" s="60">
        <f>COUNTIF($J$7:J2058,J2058)</f>
        <v>52</v>
      </c>
      <c r="C2058" s="60" t="str">
        <f t="shared" si="141"/>
        <v>0</v>
      </c>
      <c r="D2058" s="60">
        <f>COUNTIF($K$7:K2058,K2058)</f>
        <v>0</v>
      </c>
      <c r="E2058" s="61"/>
      <c r="F2058" s="232">
        <v>44606</v>
      </c>
      <c r="G2058" s="72" t="s">
        <v>149</v>
      </c>
      <c r="H2058" s="73" t="s">
        <v>1091</v>
      </c>
      <c r="I2058" s="243" t="s">
        <v>282</v>
      </c>
      <c r="J2058" s="67">
        <v>810.01</v>
      </c>
      <c r="K2058" s="242"/>
      <c r="L2058" s="224">
        <v>6500</v>
      </c>
      <c r="M2058" s="223"/>
      <c r="N2058" s="223"/>
      <c r="O2058" s="61"/>
      <c r="P2058" s="69" t="str">
        <f t="shared" si="142"/>
        <v>Biaya Admin Transfer dan Rek</v>
      </c>
      <c r="Q2058" s="61"/>
    </row>
    <row r="2059" spans="1:17" hidden="1" x14ac:dyDescent="0.25">
      <c r="A2059" s="60" t="str">
        <f t="shared" si="140"/>
        <v>54220,03</v>
      </c>
      <c r="B2059" s="60">
        <f>COUNTIF($J$7:J2059,J2059)</f>
        <v>54</v>
      </c>
      <c r="C2059" s="60" t="str">
        <f t="shared" si="141"/>
        <v>0</v>
      </c>
      <c r="D2059" s="60">
        <f>COUNTIF($K$7:K2059,K2059)</f>
        <v>0</v>
      </c>
      <c r="E2059" s="61"/>
      <c r="F2059" s="232">
        <v>44606.675763888888</v>
      </c>
      <c r="G2059" s="72" t="s">
        <v>149</v>
      </c>
      <c r="H2059" s="73" t="s">
        <v>1092</v>
      </c>
      <c r="I2059" s="243" t="s">
        <v>1093</v>
      </c>
      <c r="J2059" s="235">
        <v>220.03</v>
      </c>
      <c r="K2059" s="242"/>
      <c r="L2059" s="224">
        <v>4518734</v>
      </c>
      <c r="M2059" s="223"/>
      <c r="N2059" s="223"/>
      <c r="O2059" s="61"/>
      <c r="P2059" s="69" t="str">
        <f t="shared" si="142"/>
        <v>Hutang BIaya</v>
      </c>
      <c r="Q2059" s="61"/>
    </row>
    <row r="2060" spans="1:17" hidden="1" x14ac:dyDescent="0.25">
      <c r="A2060" s="60" t="str">
        <f t="shared" si="140"/>
        <v>53810,01</v>
      </c>
      <c r="B2060" s="60">
        <f>COUNTIF($J$7:J2060,J2060)</f>
        <v>53</v>
      </c>
      <c r="C2060" s="60" t="str">
        <f t="shared" si="141"/>
        <v>0</v>
      </c>
      <c r="D2060" s="60">
        <f>COUNTIF($K$7:K2060,K2060)</f>
        <v>0</v>
      </c>
      <c r="E2060" s="61"/>
      <c r="F2060" s="232">
        <v>44606</v>
      </c>
      <c r="G2060" s="72" t="s">
        <v>149</v>
      </c>
      <c r="H2060" s="73" t="s">
        <v>1092</v>
      </c>
      <c r="I2060" s="243" t="s">
        <v>282</v>
      </c>
      <c r="J2060" s="67">
        <v>810.01</v>
      </c>
      <c r="K2060" s="242"/>
      <c r="L2060" s="224">
        <v>6500</v>
      </c>
      <c r="M2060" s="223"/>
      <c r="N2060" s="223"/>
      <c r="O2060" s="61"/>
      <c r="P2060" s="69" t="str">
        <f t="shared" si="142"/>
        <v>Biaya Admin Transfer dan Rek</v>
      </c>
      <c r="Q2060" s="61"/>
    </row>
    <row r="2061" spans="1:17" hidden="1" x14ac:dyDescent="0.25">
      <c r="A2061" s="60" t="str">
        <f t="shared" si="140"/>
        <v>16610,09</v>
      </c>
      <c r="B2061" s="60">
        <f>COUNTIF($J$7:J2061,J2061)</f>
        <v>16</v>
      </c>
      <c r="C2061" s="60" t="str">
        <f t="shared" si="141"/>
        <v>0</v>
      </c>
      <c r="D2061" s="60">
        <f>COUNTIF($K$7:K2061,K2061)</f>
        <v>0</v>
      </c>
      <c r="E2061" s="61"/>
      <c r="F2061" s="232">
        <v>44606.675775462965</v>
      </c>
      <c r="G2061" s="72" t="s">
        <v>149</v>
      </c>
      <c r="H2061" s="73" t="s">
        <v>1094</v>
      </c>
      <c r="I2061" s="243" t="s">
        <v>1095</v>
      </c>
      <c r="J2061" s="221">
        <v>610.09</v>
      </c>
      <c r="K2061" s="242"/>
      <c r="L2061" s="224">
        <v>60054</v>
      </c>
      <c r="M2061" s="223"/>
      <c r="N2061" s="223"/>
      <c r="O2061" s="61"/>
      <c r="P2061" s="69" t="str">
        <f t="shared" si="142"/>
        <v>Biaya ATK &amp; Perlengkapan Kantor</v>
      </c>
      <c r="Q2061" s="61"/>
    </row>
    <row r="2062" spans="1:17" hidden="1" x14ac:dyDescent="0.25">
      <c r="A2062" s="60" t="str">
        <f t="shared" si="140"/>
        <v>17610,09</v>
      </c>
      <c r="B2062" s="60">
        <f>COUNTIF($J$7:J2062,J2062)</f>
        <v>17</v>
      </c>
      <c r="C2062" s="60" t="str">
        <f t="shared" si="141"/>
        <v>0</v>
      </c>
      <c r="D2062" s="60">
        <f>COUNTIF($K$7:K2062,K2062)</f>
        <v>0</v>
      </c>
      <c r="E2062" s="61"/>
      <c r="F2062" s="232">
        <v>44606.675775462965</v>
      </c>
      <c r="G2062" s="72" t="s">
        <v>149</v>
      </c>
      <c r="H2062" s="73" t="s">
        <v>1096</v>
      </c>
      <c r="I2062" s="243" t="s">
        <v>1097</v>
      </c>
      <c r="J2062" s="221">
        <v>610.09</v>
      </c>
      <c r="K2062" s="242"/>
      <c r="L2062" s="224">
        <v>69598</v>
      </c>
      <c r="M2062" s="223"/>
      <c r="N2062" s="223"/>
      <c r="O2062" s="61"/>
      <c r="P2062" s="69" t="str">
        <f t="shared" si="142"/>
        <v>Biaya ATK &amp; Perlengkapan Kantor</v>
      </c>
      <c r="Q2062" s="61"/>
    </row>
    <row r="2063" spans="1:17" hidden="1" x14ac:dyDescent="0.25">
      <c r="A2063" s="60" t="str">
        <f t="shared" si="140"/>
        <v>18610,09</v>
      </c>
      <c r="B2063" s="60">
        <f>COUNTIF($J$7:J2063,J2063)</f>
        <v>18</v>
      </c>
      <c r="C2063" s="60" t="str">
        <f t="shared" si="141"/>
        <v>0</v>
      </c>
      <c r="D2063" s="60">
        <f>COUNTIF($K$7:K2063,K2063)</f>
        <v>0</v>
      </c>
      <c r="E2063" s="61"/>
      <c r="F2063" s="232">
        <v>44606.675775462965</v>
      </c>
      <c r="G2063" s="72" t="s">
        <v>149</v>
      </c>
      <c r="H2063" s="73" t="s">
        <v>1098</v>
      </c>
      <c r="I2063" s="243" t="s">
        <v>1099</v>
      </c>
      <c r="J2063" s="221">
        <v>610.09</v>
      </c>
      <c r="K2063" s="242"/>
      <c r="L2063" s="224">
        <v>85919</v>
      </c>
      <c r="M2063" s="223"/>
      <c r="N2063" s="223"/>
      <c r="O2063" s="61"/>
      <c r="P2063" s="69" t="str">
        <f t="shared" si="142"/>
        <v>Biaya ATK &amp; Perlengkapan Kantor</v>
      </c>
      <c r="Q2063" s="61"/>
    </row>
    <row r="2064" spans="1:17" hidden="1" x14ac:dyDescent="0.25">
      <c r="A2064" s="60" t="str">
        <f t="shared" si="140"/>
        <v>39119</v>
      </c>
      <c r="B2064" s="60">
        <f>COUNTIF($J$7:J2064,J2064)</f>
        <v>39</v>
      </c>
      <c r="C2064" s="60" t="str">
        <f t="shared" si="141"/>
        <v>1119,08</v>
      </c>
      <c r="D2064" s="60">
        <f>COUNTIF($K$7:K2064,K2064)</f>
        <v>1</v>
      </c>
      <c r="E2064" s="61"/>
      <c r="F2064" s="232">
        <v>44606.675775462965</v>
      </c>
      <c r="G2064" s="72" t="s">
        <v>149</v>
      </c>
      <c r="H2064" s="73" t="s">
        <v>1100</v>
      </c>
      <c r="I2064" s="243" t="s">
        <v>1101</v>
      </c>
      <c r="J2064" s="76">
        <v>119</v>
      </c>
      <c r="K2064" s="80">
        <v>119.08</v>
      </c>
      <c r="L2064" s="224">
        <v>2000000</v>
      </c>
      <c r="M2064" s="223"/>
      <c r="N2064" s="223"/>
      <c r="O2064" s="61"/>
      <c r="P2064" s="69" t="str">
        <f t="shared" si="142"/>
        <v>Uang Muka Biaya Pengiriman dan Perjalanan Dinas Marketing</v>
      </c>
      <c r="Q2064" s="61"/>
    </row>
    <row r="2065" spans="1:17" hidden="1" x14ac:dyDescent="0.25">
      <c r="A2065" s="60" t="str">
        <f t="shared" si="140"/>
        <v>19610,09</v>
      </c>
      <c r="B2065" s="60">
        <f>COUNTIF($J$7:J2065,J2065)</f>
        <v>19</v>
      </c>
      <c r="C2065" s="60" t="str">
        <f t="shared" si="141"/>
        <v>0</v>
      </c>
      <c r="D2065" s="60">
        <f>COUNTIF($K$7:K2065,K2065)</f>
        <v>0</v>
      </c>
      <c r="E2065" s="61"/>
      <c r="F2065" s="232">
        <v>44606.675775462965</v>
      </c>
      <c r="G2065" s="72" t="s">
        <v>149</v>
      </c>
      <c r="H2065" s="73" t="s">
        <v>1102</v>
      </c>
      <c r="I2065" s="243" t="s">
        <v>1103</v>
      </c>
      <c r="J2065" s="221">
        <v>610.09</v>
      </c>
      <c r="K2065" s="242"/>
      <c r="L2065" s="224">
        <v>122675</v>
      </c>
      <c r="M2065" s="223"/>
      <c r="N2065" s="223"/>
      <c r="O2065" s="61"/>
      <c r="P2065" s="69" t="str">
        <f t="shared" si="142"/>
        <v>Biaya ATK &amp; Perlengkapan Kantor</v>
      </c>
      <c r="Q2065" s="61"/>
    </row>
    <row r="2066" spans="1:17" hidden="1" x14ac:dyDescent="0.25">
      <c r="A2066" s="60" t="str">
        <f t="shared" si="140"/>
        <v>20610,09</v>
      </c>
      <c r="B2066" s="60">
        <f>COUNTIF($J$7:J2066,J2066)</f>
        <v>20</v>
      </c>
      <c r="C2066" s="60" t="str">
        <f t="shared" si="141"/>
        <v>0</v>
      </c>
      <c r="D2066" s="60">
        <f>COUNTIF($K$7:K2066,K2066)</f>
        <v>0</v>
      </c>
      <c r="E2066" s="61"/>
      <c r="F2066" s="232">
        <v>44606.675775462965</v>
      </c>
      <c r="G2066" s="72" t="s">
        <v>149</v>
      </c>
      <c r="H2066" s="73" t="s">
        <v>1104</v>
      </c>
      <c r="I2066" s="243" t="s">
        <v>1105</v>
      </c>
      <c r="J2066" s="221">
        <v>610.09</v>
      </c>
      <c r="K2066" s="242"/>
      <c r="L2066" s="224">
        <v>403950</v>
      </c>
      <c r="M2066" s="223"/>
      <c r="N2066" s="223"/>
      <c r="O2066" s="61"/>
      <c r="P2066" s="69" t="str">
        <f t="shared" si="142"/>
        <v>Biaya ATK &amp; Perlengkapan Kantor</v>
      </c>
      <c r="Q2066" s="61"/>
    </row>
    <row r="2067" spans="1:17" hidden="1" x14ac:dyDescent="0.25">
      <c r="A2067" s="60" t="str">
        <f t="shared" si="140"/>
        <v>55220,03</v>
      </c>
      <c r="B2067" s="60">
        <f>COUNTIF($J$7:J2067,J2067)</f>
        <v>55</v>
      </c>
      <c r="C2067" s="60" t="str">
        <f t="shared" si="141"/>
        <v>0</v>
      </c>
      <c r="D2067" s="60">
        <f>COUNTIF($K$7:K2067,K2067)</f>
        <v>0</v>
      </c>
      <c r="E2067" s="61"/>
      <c r="F2067" s="232">
        <v>44606.675787037035</v>
      </c>
      <c r="G2067" s="72" t="s">
        <v>149</v>
      </c>
      <c r="H2067" s="73" t="s">
        <v>1106</v>
      </c>
      <c r="I2067" s="243" t="s">
        <v>935</v>
      </c>
      <c r="J2067" s="235">
        <v>220.03</v>
      </c>
      <c r="K2067" s="242"/>
      <c r="L2067" s="224">
        <v>1910429</v>
      </c>
      <c r="M2067" s="223"/>
      <c r="N2067" s="223"/>
      <c r="O2067" s="61"/>
      <c r="P2067" s="69" t="str">
        <f t="shared" si="142"/>
        <v>Hutang BIaya</v>
      </c>
      <c r="Q2067" s="61"/>
    </row>
    <row r="2068" spans="1:17" hidden="1" x14ac:dyDescent="0.25">
      <c r="A2068" s="60" t="str">
        <f t="shared" si="140"/>
        <v>54810,01</v>
      </c>
      <c r="B2068" s="60">
        <f>COUNTIF($J$7:J2068,J2068)</f>
        <v>54</v>
      </c>
      <c r="C2068" s="60" t="str">
        <f t="shared" si="141"/>
        <v>0</v>
      </c>
      <c r="D2068" s="60">
        <f>COUNTIF($K$7:K2068,K2068)</f>
        <v>0</v>
      </c>
      <c r="E2068" s="61"/>
      <c r="F2068" s="232">
        <v>44606</v>
      </c>
      <c r="G2068" s="72" t="s">
        <v>149</v>
      </c>
      <c r="H2068" s="73" t="s">
        <v>1106</v>
      </c>
      <c r="I2068" s="243" t="s">
        <v>282</v>
      </c>
      <c r="J2068" s="67">
        <v>810.01</v>
      </c>
      <c r="K2068" s="242"/>
      <c r="L2068" s="224">
        <v>6500</v>
      </c>
      <c r="M2068" s="223"/>
      <c r="N2068" s="223"/>
      <c r="O2068" s="61"/>
      <c r="P2068" s="69" t="str">
        <f t="shared" si="142"/>
        <v>Biaya Admin Transfer dan Rek</v>
      </c>
      <c r="Q2068" s="61"/>
    </row>
    <row r="2069" spans="1:17" hidden="1" x14ac:dyDescent="0.25">
      <c r="A2069" s="60" t="str">
        <f t="shared" si="140"/>
        <v>40119</v>
      </c>
      <c r="B2069" s="60">
        <f>COUNTIF($J$7:J2069,J2069)</f>
        <v>40</v>
      </c>
      <c r="C2069" s="60" t="str">
        <f t="shared" si="141"/>
        <v>5119,04</v>
      </c>
      <c r="D2069" s="60">
        <f>COUNTIF($K$7:K2069,K2069)</f>
        <v>5</v>
      </c>
      <c r="E2069" s="61"/>
      <c r="F2069" s="232">
        <v>44606.675787037035</v>
      </c>
      <c r="G2069" s="72" t="s">
        <v>149</v>
      </c>
      <c r="H2069" s="73" t="s">
        <v>1107</v>
      </c>
      <c r="I2069" s="243" t="s">
        <v>1108</v>
      </c>
      <c r="J2069" s="76">
        <v>119</v>
      </c>
      <c r="K2069" s="80">
        <v>119.04</v>
      </c>
      <c r="L2069" s="224">
        <v>4000000</v>
      </c>
      <c r="M2069" s="223"/>
      <c r="N2069" s="223"/>
      <c r="O2069" s="61"/>
      <c r="P2069" s="69" t="str">
        <f t="shared" si="142"/>
        <v>Uang Muka Biaya Pengiriman dan Perjalanan Dinas Marketing</v>
      </c>
      <c r="Q2069" s="61"/>
    </row>
    <row r="2070" spans="1:17" hidden="1" x14ac:dyDescent="0.25">
      <c r="A2070" s="60" t="str">
        <f t="shared" si="140"/>
        <v>2610,25</v>
      </c>
      <c r="B2070" s="60">
        <f>COUNTIF($J$7:J2070,J2070)</f>
        <v>2</v>
      </c>
      <c r="C2070" s="60" t="str">
        <f t="shared" si="141"/>
        <v>0</v>
      </c>
      <c r="D2070" s="60">
        <f>COUNTIF($K$7:K2070,K2070)</f>
        <v>0</v>
      </c>
      <c r="E2070" s="61"/>
      <c r="F2070" s="232">
        <v>44606.675787037035</v>
      </c>
      <c r="G2070" s="72" t="s">
        <v>149</v>
      </c>
      <c r="H2070" s="73" t="s">
        <v>1109</v>
      </c>
      <c r="I2070" s="243" t="s">
        <v>1110</v>
      </c>
      <c r="J2070" s="221">
        <v>610.25</v>
      </c>
      <c r="K2070" s="242"/>
      <c r="L2070" s="224">
        <v>56189</v>
      </c>
      <c r="M2070" s="223"/>
      <c r="N2070" s="223"/>
      <c r="O2070" s="61"/>
      <c r="P2070" s="69" t="str">
        <f t="shared" si="142"/>
        <v>Biaya Pajak Lainnya</v>
      </c>
      <c r="Q2070" s="61"/>
    </row>
    <row r="2071" spans="1:17" hidden="1" x14ac:dyDescent="0.25">
      <c r="A2071" s="60" t="str">
        <f t="shared" si="140"/>
        <v>3610,25</v>
      </c>
      <c r="B2071" s="60">
        <f>COUNTIF($J$7:J2071,J2071)</f>
        <v>3</v>
      </c>
      <c r="C2071" s="60" t="str">
        <f t="shared" si="141"/>
        <v>0</v>
      </c>
      <c r="D2071" s="60">
        <f>COUNTIF($K$7:K2071,K2071)</f>
        <v>0</v>
      </c>
      <c r="E2071" s="61"/>
      <c r="F2071" s="232">
        <v>44606.675810185188</v>
      </c>
      <c r="G2071" s="72" t="s">
        <v>149</v>
      </c>
      <c r="H2071" s="73" t="s">
        <v>1111</v>
      </c>
      <c r="I2071" s="243" t="s">
        <v>1112</v>
      </c>
      <c r="J2071" s="221">
        <v>610.25</v>
      </c>
      <c r="K2071" s="242"/>
      <c r="L2071" s="224">
        <v>1794889</v>
      </c>
      <c r="M2071" s="223"/>
      <c r="N2071" s="223"/>
      <c r="O2071" s="61"/>
      <c r="P2071" s="69" t="str">
        <f t="shared" si="142"/>
        <v>Biaya Pajak Lainnya</v>
      </c>
      <c r="Q2071" s="61"/>
    </row>
    <row r="2072" spans="1:17" hidden="1" x14ac:dyDescent="0.25">
      <c r="A2072" s="60" t="str">
        <f t="shared" si="140"/>
        <v>57511,04</v>
      </c>
      <c r="B2072" s="60">
        <f>COUNTIF($J$7:J2072,J2072)</f>
        <v>57</v>
      </c>
      <c r="C2072" s="60" t="str">
        <f t="shared" si="141"/>
        <v>0</v>
      </c>
      <c r="D2072" s="60">
        <f>COUNTIF($K$7:K2072,K2072)</f>
        <v>0</v>
      </c>
      <c r="E2072" s="61"/>
      <c r="F2072" s="232">
        <v>44606.706469907411</v>
      </c>
      <c r="G2072" s="72" t="s">
        <v>149</v>
      </c>
      <c r="H2072" s="73" t="s">
        <v>1113</v>
      </c>
      <c r="I2072" s="243" t="s">
        <v>1114</v>
      </c>
      <c r="J2072" s="67">
        <v>511.04</v>
      </c>
      <c r="K2072" s="242"/>
      <c r="L2072" s="224">
        <v>920000</v>
      </c>
      <c r="M2072" s="223"/>
      <c r="N2072" s="223"/>
      <c r="O2072" s="61"/>
      <c r="P2072" s="69" t="str">
        <f t="shared" si="142"/>
        <v>Biaya pengiriman Via Online (Gojek,Grab), Kuli</v>
      </c>
      <c r="Q2072" s="61"/>
    </row>
    <row r="2073" spans="1:17" hidden="1" x14ac:dyDescent="0.25">
      <c r="A2073" s="60" t="str">
        <f t="shared" si="140"/>
        <v>55810,01</v>
      </c>
      <c r="B2073" s="60">
        <f>COUNTIF($J$7:J2073,J2073)</f>
        <v>55</v>
      </c>
      <c r="C2073" s="60" t="str">
        <f t="shared" si="141"/>
        <v>0</v>
      </c>
      <c r="D2073" s="60">
        <f>COUNTIF($K$7:K2073,K2073)</f>
        <v>0</v>
      </c>
      <c r="E2073" s="61"/>
      <c r="F2073" s="232">
        <v>44606</v>
      </c>
      <c r="G2073" s="72" t="s">
        <v>149</v>
      </c>
      <c r="H2073" s="73" t="s">
        <v>1113</v>
      </c>
      <c r="I2073" s="243" t="s">
        <v>282</v>
      </c>
      <c r="J2073" s="67">
        <v>810.01</v>
      </c>
      <c r="K2073" s="242"/>
      <c r="L2073" s="224">
        <v>6500</v>
      </c>
      <c r="M2073" s="223"/>
      <c r="N2073" s="223"/>
      <c r="O2073" s="61"/>
      <c r="P2073" s="69" t="str">
        <f t="shared" si="142"/>
        <v>Biaya Admin Transfer dan Rek</v>
      </c>
      <c r="Q2073" s="61"/>
    </row>
    <row r="2074" spans="1:17" hidden="1" x14ac:dyDescent="0.25">
      <c r="A2074" s="60" t="str">
        <f t="shared" si="140"/>
        <v>56220,03</v>
      </c>
      <c r="B2074" s="60">
        <f>COUNTIF($J$7:J2074,J2074)</f>
        <v>56</v>
      </c>
      <c r="C2074" s="60" t="str">
        <f t="shared" si="141"/>
        <v>0</v>
      </c>
      <c r="D2074" s="60">
        <f>COUNTIF($K$7:K2074,K2074)</f>
        <v>0</v>
      </c>
      <c r="E2074" s="61"/>
      <c r="F2074" s="232">
        <v>44606.706493055557</v>
      </c>
      <c r="G2074" s="72" t="s">
        <v>149</v>
      </c>
      <c r="H2074" s="73" t="s">
        <v>1115</v>
      </c>
      <c r="I2074" s="243" t="s">
        <v>1116</v>
      </c>
      <c r="J2074" s="67">
        <v>220.03</v>
      </c>
      <c r="K2074" s="242"/>
      <c r="L2074" s="224">
        <v>132000</v>
      </c>
      <c r="M2074" s="223"/>
      <c r="N2074" s="223"/>
      <c r="O2074" s="61"/>
      <c r="P2074" s="69" t="str">
        <f t="shared" si="142"/>
        <v>Hutang BIaya</v>
      </c>
      <c r="Q2074" s="61"/>
    </row>
    <row r="2075" spans="1:17" hidden="1" x14ac:dyDescent="0.25">
      <c r="A2075" s="60" t="str">
        <f t="shared" si="140"/>
        <v>56810,01</v>
      </c>
      <c r="B2075" s="60">
        <f>COUNTIF($J$7:J2075,J2075)</f>
        <v>56</v>
      </c>
      <c r="C2075" s="60" t="str">
        <f t="shared" si="141"/>
        <v>0</v>
      </c>
      <c r="D2075" s="60">
        <f>COUNTIF($K$7:K2075,K2075)</f>
        <v>0</v>
      </c>
      <c r="E2075" s="61"/>
      <c r="F2075" s="232">
        <v>44606</v>
      </c>
      <c r="G2075" s="72" t="s">
        <v>149</v>
      </c>
      <c r="H2075" s="73" t="s">
        <v>1115</v>
      </c>
      <c r="I2075" s="243" t="s">
        <v>282</v>
      </c>
      <c r="J2075" s="67">
        <v>810.01</v>
      </c>
      <c r="K2075" s="242"/>
      <c r="L2075" s="224">
        <v>6500</v>
      </c>
      <c r="M2075" s="223"/>
      <c r="N2075" s="223"/>
      <c r="O2075" s="61"/>
      <c r="P2075" s="69" t="str">
        <f t="shared" si="142"/>
        <v>Biaya Admin Transfer dan Rek</v>
      </c>
      <c r="Q2075" s="61"/>
    </row>
    <row r="2076" spans="1:17" hidden="1" x14ac:dyDescent="0.25">
      <c r="A2076" s="60" t="str">
        <f t="shared" si="140"/>
        <v>1512,04</v>
      </c>
      <c r="B2076" s="60">
        <f>COUNTIF($J$7:J2076,J2076)</f>
        <v>1</v>
      </c>
      <c r="C2076" s="60" t="str">
        <f t="shared" si="141"/>
        <v>0</v>
      </c>
      <c r="D2076" s="60">
        <f>COUNTIF($K$7:K2076,K2076)</f>
        <v>0</v>
      </c>
      <c r="E2076" s="61"/>
      <c r="F2076" s="232">
        <v>44607.404351851852</v>
      </c>
      <c r="G2076" s="72" t="s">
        <v>149</v>
      </c>
      <c r="H2076" s="73" t="s">
        <v>1117</v>
      </c>
      <c r="I2076" s="243" t="s">
        <v>1118</v>
      </c>
      <c r="J2076" s="238">
        <v>512.04</v>
      </c>
      <c r="K2076" s="242"/>
      <c r="L2076" s="223">
        <v>5450000</v>
      </c>
      <c r="M2076" s="223"/>
      <c r="N2076" s="223"/>
      <c r="O2076" s="61"/>
      <c r="P2076" s="69" t="str">
        <f t="shared" si="142"/>
        <v>Beban Akomodasi</v>
      </c>
      <c r="Q2076" s="61"/>
    </row>
    <row r="2077" spans="1:17" hidden="1" x14ac:dyDescent="0.25">
      <c r="A2077" s="60" t="str">
        <f t="shared" si="140"/>
        <v>57810,01</v>
      </c>
      <c r="B2077" s="60">
        <f>COUNTIF($J$7:J2077,J2077)</f>
        <v>57</v>
      </c>
      <c r="C2077" s="60" t="str">
        <f t="shared" si="141"/>
        <v>0</v>
      </c>
      <c r="D2077" s="60">
        <f>COUNTIF($K$7:K2077,K2077)</f>
        <v>0</v>
      </c>
      <c r="E2077" s="61"/>
      <c r="F2077" s="232">
        <v>44607</v>
      </c>
      <c r="G2077" s="72" t="s">
        <v>149</v>
      </c>
      <c r="H2077" s="73" t="s">
        <v>1117</v>
      </c>
      <c r="I2077" s="243" t="s">
        <v>1119</v>
      </c>
      <c r="J2077" s="67">
        <v>810.01</v>
      </c>
      <c r="K2077" s="242"/>
      <c r="L2077" s="224">
        <v>6500</v>
      </c>
      <c r="M2077" s="223"/>
      <c r="N2077" s="223"/>
      <c r="O2077" s="61"/>
      <c r="P2077" s="69" t="str">
        <f t="shared" si="142"/>
        <v>Biaya Admin Transfer dan Rek</v>
      </c>
      <c r="Q2077" s="61"/>
    </row>
    <row r="2078" spans="1:17" hidden="1" x14ac:dyDescent="0.25">
      <c r="A2078" s="60" t="str">
        <f t="shared" si="140"/>
        <v>57220,03</v>
      </c>
      <c r="B2078" s="60">
        <f>COUNTIF($J$7:J2078,J2078)</f>
        <v>57</v>
      </c>
      <c r="C2078" s="60" t="str">
        <f t="shared" si="141"/>
        <v>0</v>
      </c>
      <c r="D2078" s="60">
        <f>COUNTIF($K$7:K2078,K2078)</f>
        <v>0</v>
      </c>
      <c r="E2078" s="61"/>
      <c r="F2078" s="232">
        <v>44607.404363425929</v>
      </c>
      <c r="G2078" s="72" t="s">
        <v>149</v>
      </c>
      <c r="H2078" s="73" t="s">
        <v>1120</v>
      </c>
      <c r="I2078" s="243" t="s">
        <v>1121</v>
      </c>
      <c r="J2078" s="235">
        <v>220.03</v>
      </c>
      <c r="K2078" s="242"/>
      <c r="L2078" s="224">
        <v>4518735</v>
      </c>
      <c r="M2078" s="223"/>
      <c r="N2078" s="223"/>
      <c r="O2078" s="61"/>
      <c r="P2078" s="69" t="str">
        <f t="shared" si="142"/>
        <v>Hutang BIaya</v>
      </c>
      <c r="Q2078" s="61"/>
    </row>
    <row r="2079" spans="1:17" hidden="1" x14ac:dyDescent="0.25">
      <c r="A2079" s="60" t="str">
        <f t="shared" si="140"/>
        <v>58810,01</v>
      </c>
      <c r="B2079" s="60">
        <f>COUNTIF($J$7:J2079,J2079)</f>
        <v>58</v>
      </c>
      <c r="C2079" s="60" t="str">
        <f t="shared" si="141"/>
        <v>0</v>
      </c>
      <c r="D2079" s="60">
        <f>COUNTIF($K$7:K2079,K2079)</f>
        <v>0</v>
      </c>
      <c r="E2079" s="61"/>
      <c r="F2079" s="232">
        <v>44607</v>
      </c>
      <c r="G2079" s="72" t="s">
        <v>149</v>
      </c>
      <c r="H2079" s="73" t="s">
        <v>1120</v>
      </c>
      <c r="I2079" s="243" t="s">
        <v>282</v>
      </c>
      <c r="J2079" s="67">
        <v>810.01</v>
      </c>
      <c r="K2079" s="242"/>
      <c r="L2079" s="224">
        <v>6500</v>
      </c>
      <c r="M2079" s="223"/>
      <c r="N2079" s="223"/>
      <c r="O2079" s="61"/>
      <c r="P2079" s="69" t="str">
        <f t="shared" si="142"/>
        <v>Biaya Admin Transfer dan Rek</v>
      </c>
      <c r="Q2079" s="61"/>
    </row>
    <row r="2080" spans="1:17" hidden="1" x14ac:dyDescent="0.25">
      <c r="A2080" s="60" t="str">
        <f t="shared" si="140"/>
        <v>1120</v>
      </c>
      <c r="B2080" s="60">
        <f>COUNTIF($J$7:J2080,J2080)</f>
        <v>1</v>
      </c>
      <c r="C2080" s="60" t="str">
        <f t="shared" si="141"/>
        <v>0</v>
      </c>
      <c r="D2080" s="60">
        <f>COUNTIF($K$7:K2080,K2080)</f>
        <v>0</v>
      </c>
      <c r="E2080" s="61"/>
      <c r="F2080" s="232">
        <v>44607.404386574075</v>
      </c>
      <c r="G2080" s="72" t="s">
        <v>149</v>
      </c>
      <c r="H2080" s="73" t="s">
        <v>1122</v>
      </c>
      <c r="I2080" s="243" t="s">
        <v>1123</v>
      </c>
      <c r="J2080" s="67">
        <v>120</v>
      </c>
      <c r="K2080" s="242"/>
      <c r="L2080" s="224">
        <v>40085750</v>
      </c>
      <c r="M2080" s="223"/>
      <c r="N2080" s="223"/>
      <c r="O2080" s="61"/>
      <c r="P2080" s="69" t="str">
        <f t="shared" si="142"/>
        <v>Jaminan</v>
      </c>
      <c r="Q2080" s="61"/>
    </row>
    <row r="2081" spans="1:17" hidden="1" x14ac:dyDescent="0.25">
      <c r="A2081" s="60" t="str">
        <f t="shared" si="140"/>
        <v>59810,01</v>
      </c>
      <c r="B2081" s="60">
        <f>COUNTIF($J$7:J2081,J2081)</f>
        <v>59</v>
      </c>
      <c r="C2081" s="60" t="str">
        <f t="shared" si="141"/>
        <v>0</v>
      </c>
      <c r="D2081" s="60">
        <f>COUNTIF($K$7:K2081,K2081)</f>
        <v>0</v>
      </c>
      <c r="E2081" s="61"/>
      <c r="F2081" s="232">
        <v>44607</v>
      </c>
      <c r="G2081" s="72" t="s">
        <v>149</v>
      </c>
      <c r="H2081" s="73" t="s">
        <v>1122</v>
      </c>
      <c r="I2081" s="243" t="s">
        <v>282</v>
      </c>
      <c r="J2081" s="67">
        <v>810.01</v>
      </c>
      <c r="K2081" s="242"/>
      <c r="L2081" s="224">
        <v>6500</v>
      </c>
      <c r="M2081" s="223"/>
      <c r="N2081" s="223"/>
      <c r="O2081" s="61"/>
      <c r="P2081" s="69" t="str">
        <f t="shared" si="142"/>
        <v>Biaya Admin Transfer dan Rek</v>
      </c>
      <c r="Q2081" s="61"/>
    </row>
    <row r="2082" spans="1:17" hidden="1" x14ac:dyDescent="0.25">
      <c r="A2082" s="60" t="str">
        <f t="shared" si="140"/>
        <v>215111,01</v>
      </c>
      <c r="B2082" s="60">
        <f>COUNTIF($J$7:J2082,J2082)</f>
        <v>215</v>
      </c>
      <c r="C2082" s="60" t="str">
        <f t="shared" si="141"/>
        <v>0</v>
      </c>
      <c r="D2082" s="60">
        <f>COUNTIF($K$7:K2082,K2082)</f>
        <v>0</v>
      </c>
      <c r="E2082" s="61"/>
      <c r="F2082" s="232">
        <v>44603.73097222222</v>
      </c>
      <c r="G2082" s="72" t="s">
        <v>149</v>
      </c>
      <c r="H2082" s="73" t="s">
        <v>1079</v>
      </c>
      <c r="I2082" s="243" t="s">
        <v>1124</v>
      </c>
      <c r="J2082" s="67">
        <v>111.01</v>
      </c>
      <c r="K2082" s="242"/>
      <c r="L2082" s="243"/>
      <c r="M2082" s="223">
        <v>19730167</v>
      </c>
      <c r="N2082" s="223"/>
      <c r="O2082" s="61"/>
      <c r="P2082" s="69" t="str">
        <f t="shared" si="142"/>
        <v>BNI IDR 768</v>
      </c>
      <c r="Q2082" s="61"/>
    </row>
    <row r="2083" spans="1:17" hidden="1" x14ac:dyDescent="0.25">
      <c r="A2083" s="60" t="str">
        <f t="shared" si="140"/>
        <v>216111,01</v>
      </c>
      <c r="B2083" s="60">
        <f>COUNTIF($J$7:J2083,J2083)</f>
        <v>216</v>
      </c>
      <c r="C2083" s="60" t="str">
        <f t="shared" si="141"/>
        <v>0</v>
      </c>
      <c r="D2083" s="60">
        <f>COUNTIF($K$7:K2083,K2083)</f>
        <v>0</v>
      </c>
      <c r="E2083" s="61"/>
      <c r="F2083" s="232">
        <v>44603</v>
      </c>
      <c r="G2083" s="72" t="s">
        <v>149</v>
      </c>
      <c r="H2083" s="73" t="s">
        <v>1079</v>
      </c>
      <c r="I2083" s="243" t="s">
        <v>282</v>
      </c>
      <c r="J2083" s="67">
        <v>111.01</v>
      </c>
      <c r="K2083" s="242"/>
      <c r="L2083" s="243"/>
      <c r="M2083" s="223">
        <v>6500</v>
      </c>
      <c r="N2083" s="223"/>
      <c r="O2083" s="61"/>
      <c r="P2083" s="69" t="str">
        <f t="shared" si="142"/>
        <v>BNI IDR 768</v>
      </c>
      <c r="Q2083" s="61"/>
    </row>
    <row r="2084" spans="1:17" hidden="1" x14ac:dyDescent="0.25">
      <c r="A2084" s="60" t="str">
        <f t="shared" si="140"/>
        <v>217111,01</v>
      </c>
      <c r="B2084" s="60">
        <f>COUNTIF($J$7:J2084,J2084)</f>
        <v>217</v>
      </c>
      <c r="C2084" s="60" t="str">
        <f t="shared" si="141"/>
        <v>0</v>
      </c>
      <c r="D2084" s="60">
        <f>COUNTIF($K$7:K2084,K2084)</f>
        <v>0</v>
      </c>
      <c r="E2084" s="61"/>
      <c r="F2084" s="232">
        <v>44606.675763888888</v>
      </c>
      <c r="G2084" s="72" t="s">
        <v>149</v>
      </c>
      <c r="H2084" s="73" t="s">
        <v>1081</v>
      </c>
      <c r="I2084" s="243" t="s">
        <v>1125</v>
      </c>
      <c r="J2084" s="67">
        <v>111.01</v>
      </c>
      <c r="K2084" s="242"/>
      <c r="L2084" s="243"/>
      <c r="M2084" s="223">
        <v>342175</v>
      </c>
      <c r="N2084" s="223"/>
      <c r="O2084" s="61"/>
      <c r="P2084" s="69" t="str">
        <f t="shared" si="142"/>
        <v>BNI IDR 768</v>
      </c>
      <c r="Q2084" s="61"/>
    </row>
    <row r="2085" spans="1:17" hidden="1" x14ac:dyDescent="0.25">
      <c r="A2085" s="60" t="str">
        <f t="shared" si="140"/>
        <v>218111,01</v>
      </c>
      <c r="B2085" s="60">
        <f>COUNTIF($J$7:J2085,J2085)</f>
        <v>218</v>
      </c>
      <c r="C2085" s="60" t="str">
        <f t="shared" si="141"/>
        <v>0</v>
      </c>
      <c r="D2085" s="60">
        <f>COUNTIF($K$7:K2085,K2085)</f>
        <v>0</v>
      </c>
      <c r="E2085" s="61"/>
      <c r="F2085" s="232">
        <v>44606.675763888888</v>
      </c>
      <c r="G2085" s="72" t="s">
        <v>149</v>
      </c>
      <c r="H2085" s="73" t="s">
        <v>1083</v>
      </c>
      <c r="I2085" s="243" t="s">
        <v>1126</v>
      </c>
      <c r="J2085" s="67">
        <v>111.01</v>
      </c>
      <c r="K2085" s="242"/>
      <c r="L2085" s="243"/>
      <c r="M2085" s="223">
        <v>66967</v>
      </c>
      <c r="N2085" s="223"/>
      <c r="O2085" s="61"/>
      <c r="P2085" s="69" t="str">
        <f t="shared" si="142"/>
        <v>BNI IDR 768</v>
      </c>
      <c r="Q2085" s="61"/>
    </row>
    <row r="2086" spans="1:17" hidden="1" x14ac:dyDescent="0.25">
      <c r="A2086" s="60" t="str">
        <f t="shared" si="140"/>
        <v>219111,01</v>
      </c>
      <c r="B2086" s="60">
        <f>COUNTIF($J$7:J2086,J2086)</f>
        <v>219</v>
      </c>
      <c r="C2086" s="60" t="str">
        <f t="shared" si="141"/>
        <v>0</v>
      </c>
      <c r="D2086" s="60">
        <f>COUNTIF($K$7:K2086,K2086)</f>
        <v>0</v>
      </c>
      <c r="E2086" s="61"/>
      <c r="F2086" s="232">
        <v>44606.675763888888</v>
      </c>
      <c r="G2086" s="72" t="s">
        <v>149</v>
      </c>
      <c r="H2086" s="73" t="s">
        <v>1085</v>
      </c>
      <c r="I2086" s="243" t="s">
        <v>1127</v>
      </c>
      <c r="J2086" s="67">
        <v>111.01</v>
      </c>
      <c r="K2086" s="242"/>
      <c r="L2086" s="243"/>
      <c r="M2086" s="223">
        <v>57148</v>
      </c>
      <c r="N2086" s="223"/>
      <c r="O2086" s="61"/>
      <c r="P2086" s="69" t="str">
        <f t="shared" si="142"/>
        <v>BNI IDR 768</v>
      </c>
      <c r="Q2086" s="61"/>
    </row>
    <row r="2087" spans="1:17" hidden="1" x14ac:dyDescent="0.25">
      <c r="A2087" s="60" t="str">
        <f t="shared" si="140"/>
        <v>220111,01</v>
      </c>
      <c r="B2087" s="60">
        <f>COUNTIF($J$7:J2087,J2087)</f>
        <v>220</v>
      </c>
      <c r="C2087" s="60" t="str">
        <f t="shared" si="141"/>
        <v>0</v>
      </c>
      <c r="D2087" s="60">
        <f>COUNTIF($K$7:K2087,K2087)</f>
        <v>0</v>
      </c>
      <c r="E2087" s="61"/>
      <c r="F2087" s="232">
        <v>44606.675763888888</v>
      </c>
      <c r="G2087" s="72" t="s">
        <v>149</v>
      </c>
      <c r="H2087" s="73" t="s">
        <v>1087</v>
      </c>
      <c r="I2087" s="243" t="s">
        <v>1128</v>
      </c>
      <c r="J2087" s="67">
        <v>111.01</v>
      </c>
      <c r="K2087" s="242"/>
      <c r="L2087" s="243"/>
      <c r="M2087" s="223">
        <v>300000</v>
      </c>
      <c r="N2087" s="223"/>
      <c r="O2087" s="61"/>
      <c r="P2087" s="69" t="str">
        <f t="shared" si="142"/>
        <v>BNI IDR 768</v>
      </c>
      <c r="Q2087" s="61"/>
    </row>
    <row r="2088" spans="1:17" hidden="1" x14ac:dyDescent="0.25">
      <c r="A2088" s="60" t="str">
        <f t="shared" si="140"/>
        <v>221111,01</v>
      </c>
      <c r="B2088" s="60">
        <f>COUNTIF($J$7:J2088,J2088)</f>
        <v>221</v>
      </c>
      <c r="C2088" s="60" t="str">
        <f t="shared" si="141"/>
        <v>0</v>
      </c>
      <c r="D2088" s="60">
        <f>COUNTIF($K$7:K2088,K2088)</f>
        <v>0</v>
      </c>
      <c r="E2088" s="61"/>
      <c r="F2088" s="232">
        <v>44606.675763888888</v>
      </c>
      <c r="G2088" s="72" t="s">
        <v>149</v>
      </c>
      <c r="H2088" s="73" t="s">
        <v>1089</v>
      </c>
      <c r="I2088" s="243" t="s">
        <v>1129</v>
      </c>
      <c r="J2088" s="67">
        <v>111.01</v>
      </c>
      <c r="K2088" s="242"/>
      <c r="L2088" s="243"/>
      <c r="M2088" s="244">
        <v>68826</v>
      </c>
      <c r="N2088" s="244"/>
      <c r="O2088" s="61"/>
      <c r="P2088" s="69" t="str">
        <f t="shared" si="142"/>
        <v>BNI IDR 768</v>
      </c>
      <c r="Q2088" s="61"/>
    </row>
    <row r="2089" spans="1:17" hidden="1" x14ac:dyDescent="0.25">
      <c r="A2089" s="60" t="str">
        <f t="shared" si="140"/>
        <v>222111,01</v>
      </c>
      <c r="B2089" s="60">
        <f>COUNTIF($J$7:J2089,J2089)</f>
        <v>222</v>
      </c>
      <c r="C2089" s="60" t="str">
        <f t="shared" si="141"/>
        <v>0</v>
      </c>
      <c r="D2089" s="60">
        <f>COUNTIF($K$7:K2089,K2089)</f>
        <v>0</v>
      </c>
      <c r="E2089" s="61"/>
      <c r="F2089" s="232">
        <v>44606</v>
      </c>
      <c r="G2089" s="72" t="s">
        <v>149</v>
      </c>
      <c r="H2089" s="73" t="s">
        <v>1091</v>
      </c>
      <c r="I2089" s="243" t="s">
        <v>282</v>
      </c>
      <c r="J2089" s="67">
        <v>111.01</v>
      </c>
      <c r="K2089" s="242"/>
      <c r="L2089" s="243"/>
      <c r="M2089" s="244">
        <v>6500</v>
      </c>
      <c r="N2089" s="244"/>
      <c r="O2089" s="61"/>
      <c r="P2089" s="69" t="str">
        <f t="shared" si="142"/>
        <v>BNI IDR 768</v>
      </c>
      <c r="Q2089" s="61"/>
    </row>
    <row r="2090" spans="1:17" hidden="1" x14ac:dyDescent="0.25">
      <c r="A2090" s="60" t="str">
        <f t="shared" si="140"/>
        <v>223111,01</v>
      </c>
      <c r="B2090" s="60">
        <f>COUNTIF($J$7:J2090,J2090)</f>
        <v>223</v>
      </c>
      <c r="C2090" s="60" t="str">
        <f t="shared" si="141"/>
        <v>0</v>
      </c>
      <c r="D2090" s="60">
        <f>COUNTIF($K$7:K2090,K2090)</f>
        <v>0</v>
      </c>
      <c r="E2090" s="61"/>
      <c r="F2090" s="232">
        <v>44606.675763888888</v>
      </c>
      <c r="G2090" s="72" t="s">
        <v>149</v>
      </c>
      <c r="H2090" s="73" t="s">
        <v>1092</v>
      </c>
      <c r="I2090" s="243" t="s">
        <v>1130</v>
      </c>
      <c r="J2090" s="67">
        <v>111.01</v>
      </c>
      <c r="K2090" s="242"/>
      <c r="L2090" s="243"/>
      <c r="M2090" s="244">
        <v>4518734</v>
      </c>
      <c r="N2090" s="244"/>
      <c r="O2090" s="61"/>
      <c r="P2090" s="69" t="str">
        <f t="shared" si="142"/>
        <v>BNI IDR 768</v>
      </c>
      <c r="Q2090" s="61"/>
    </row>
    <row r="2091" spans="1:17" hidden="1" x14ac:dyDescent="0.25">
      <c r="A2091" s="60" t="str">
        <f t="shared" si="140"/>
        <v>224111,01</v>
      </c>
      <c r="B2091" s="60">
        <f>COUNTIF($J$7:J2091,J2091)</f>
        <v>224</v>
      </c>
      <c r="C2091" s="60" t="str">
        <f t="shared" si="141"/>
        <v>0</v>
      </c>
      <c r="D2091" s="60">
        <f>COUNTIF($K$7:K2091,K2091)</f>
        <v>0</v>
      </c>
      <c r="E2091" s="61"/>
      <c r="F2091" s="232">
        <v>44606</v>
      </c>
      <c r="G2091" s="72" t="s">
        <v>149</v>
      </c>
      <c r="H2091" s="73" t="s">
        <v>1092</v>
      </c>
      <c r="I2091" s="243" t="s">
        <v>282</v>
      </c>
      <c r="J2091" s="67">
        <v>111.01</v>
      </c>
      <c r="K2091" s="242"/>
      <c r="L2091" s="243"/>
      <c r="M2091" s="244">
        <v>6500</v>
      </c>
      <c r="N2091" s="244"/>
      <c r="O2091" s="61"/>
      <c r="P2091" s="69" t="str">
        <f t="shared" si="142"/>
        <v>BNI IDR 768</v>
      </c>
      <c r="Q2091" s="61"/>
    </row>
    <row r="2092" spans="1:17" hidden="1" x14ac:dyDescent="0.25">
      <c r="A2092" s="60" t="str">
        <f t="shared" si="140"/>
        <v>225111,01</v>
      </c>
      <c r="B2092" s="60">
        <f>COUNTIF($J$7:J2092,J2092)</f>
        <v>225</v>
      </c>
      <c r="C2092" s="60" t="str">
        <f t="shared" si="141"/>
        <v>0</v>
      </c>
      <c r="D2092" s="60">
        <f>COUNTIF($K$7:K2092,K2092)</f>
        <v>0</v>
      </c>
      <c r="E2092" s="61"/>
      <c r="F2092" s="232">
        <v>44606.675775462965</v>
      </c>
      <c r="G2092" s="72" t="s">
        <v>149</v>
      </c>
      <c r="H2092" s="73" t="s">
        <v>1094</v>
      </c>
      <c r="I2092" s="243" t="s">
        <v>1131</v>
      </c>
      <c r="J2092" s="67">
        <v>111.01</v>
      </c>
      <c r="K2092" s="242"/>
      <c r="L2092" s="243"/>
      <c r="M2092" s="244">
        <v>60054</v>
      </c>
      <c r="N2092" s="244"/>
      <c r="O2092" s="61"/>
      <c r="P2092" s="69" t="str">
        <f t="shared" si="142"/>
        <v>BNI IDR 768</v>
      </c>
      <c r="Q2092" s="61"/>
    </row>
    <row r="2093" spans="1:17" hidden="1" x14ac:dyDescent="0.25">
      <c r="A2093" s="60" t="str">
        <f t="shared" si="140"/>
        <v>226111,01</v>
      </c>
      <c r="B2093" s="60">
        <f>COUNTIF($J$7:J2093,J2093)</f>
        <v>226</v>
      </c>
      <c r="C2093" s="60" t="str">
        <f t="shared" si="141"/>
        <v>0</v>
      </c>
      <c r="D2093" s="60">
        <f>COUNTIF($K$7:K2093,K2093)</f>
        <v>0</v>
      </c>
      <c r="E2093" s="61"/>
      <c r="F2093" s="232">
        <v>44606.675775462965</v>
      </c>
      <c r="G2093" s="72" t="s">
        <v>149</v>
      </c>
      <c r="H2093" s="73" t="s">
        <v>1096</v>
      </c>
      <c r="I2093" s="243" t="s">
        <v>1132</v>
      </c>
      <c r="J2093" s="67">
        <v>111.01</v>
      </c>
      <c r="K2093" s="242"/>
      <c r="L2093" s="243"/>
      <c r="M2093" s="244">
        <v>69598</v>
      </c>
      <c r="N2093" s="244"/>
      <c r="O2093" s="61"/>
      <c r="P2093" s="69" t="str">
        <f t="shared" si="142"/>
        <v>BNI IDR 768</v>
      </c>
      <c r="Q2093" s="61"/>
    </row>
    <row r="2094" spans="1:17" hidden="1" x14ac:dyDescent="0.25">
      <c r="A2094" s="60" t="str">
        <f t="shared" si="140"/>
        <v>227111,01</v>
      </c>
      <c r="B2094" s="60">
        <f>COUNTIF($J$7:J2094,J2094)</f>
        <v>227</v>
      </c>
      <c r="C2094" s="60" t="str">
        <f t="shared" si="141"/>
        <v>0</v>
      </c>
      <c r="D2094" s="60">
        <f>COUNTIF($K$7:K2094,K2094)</f>
        <v>0</v>
      </c>
      <c r="E2094" s="61"/>
      <c r="F2094" s="232">
        <v>44606.675775462965</v>
      </c>
      <c r="G2094" s="72" t="s">
        <v>149</v>
      </c>
      <c r="H2094" s="73" t="s">
        <v>1098</v>
      </c>
      <c r="I2094" s="243" t="s">
        <v>1133</v>
      </c>
      <c r="J2094" s="67">
        <v>111.01</v>
      </c>
      <c r="K2094" s="242"/>
      <c r="L2094" s="243"/>
      <c r="M2094" s="244">
        <v>85919</v>
      </c>
      <c r="N2094" s="244"/>
      <c r="O2094" s="61"/>
      <c r="P2094" s="69" t="str">
        <f t="shared" si="142"/>
        <v>BNI IDR 768</v>
      </c>
      <c r="Q2094" s="61"/>
    </row>
    <row r="2095" spans="1:17" hidden="1" x14ac:dyDescent="0.25">
      <c r="A2095" s="60" t="str">
        <f t="shared" si="140"/>
        <v>228111,01</v>
      </c>
      <c r="B2095" s="60">
        <f>COUNTIF($J$7:J2095,J2095)</f>
        <v>228</v>
      </c>
      <c r="C2095" s="60" t="str">
        <f t="shared" si="141"/>
        <v>0</v>
      </c>
      <c r="D2095" s="60">
        <f>COUNTIF($K$7:K2095,K2095)</f>
        <v>0</v>
      </c>
      <c r="E2095" s="61"/>
      <c r="F2095" s="232">
        <v>44606.675775462965</v>
      </c>
      <c r="G2095" s="72" t="s">
        <v>149</v>
      </c>
      <c r="H2095" s="73" t="s">
        <v>1100</v>
      </c>
      <c r="I2095" s="243" t="s">
        <v>1134</v>
      </c>
      <c r="J2095" s="67">
        <v>111.01</v>
      </c>
      <c r="K2095" s="242"/>
      <c r="L2095" s="243"/>
      <c r="M2095" s="244">
        <v>2000000</v>
      </c>
      <c r="N2095" s="244"/>
      <c r="O2095" s="61"/>
      <c r="P2095" s="69" t="str">
        <f t="shared" si="142"/>
        <v>BNI IDR 768</v>
      </c>
      <c r="Q2095" s="61"/>
    </row>
    <row r="2096" spans="1:17" hidden="1" x14ac:dyDescent="0.25">
      <c r="A2096" s="60" t="str">
        <f t="shared" si="140"/>
        <v>229111,01</v>
      </c>
      <c r="B2096" s="60">
        <f>COUNTIF($J$7:J2096,J2096)</f>
        <v>229</v>
      </c>
      <c r="C2096" s="60" t="str">
        <f t="shared" si="141"/>
        <v>0</v>
      </c>
      <c r="D2096" s="60">
        <f>COUNTIF($K$7:K2096,K2096)</f>
        <v>0</v>
      </c>
      <c r="E2096" s="61"/>
      <c r="F2096" s="232">
        <v>44606.675775462965</v>
      </c>
      <c r="G2096" s="72" t="s">
        <v>149</v>
      </c>
      <c r="H2096" s="73" t="s">
        <v>1102</v>
      </c>
      <c r="I2096" s="243" t="s">
        <v>1135</v>
      </c>
      <c r="J2096" s="67">
        <v>111.01</v>
      </c>
      <c r="K2096" s="242"/>
      <c r="L2096" s="243"/>
      <c r="M2096" s="244">
        <v>122675</v>
      </c>
      <c r="N2096" s="244"/>
      <c r="O2096" s="61"/>
      <c r="P2096" s="69" t="str">
        <f t="shared" si="142"/>
        <v>BNI IDR 768</v>
      </c>
      <c r="Q2096" s="61"/>
    </row>
    <row r="2097" spans="1:17" hidden="1" x14ac:dyDescent="0.25">
      <c r="A2097" s="60" t="str">
        <f t="shared" si="140"/>
        <v>230111,01</v>
      </c>
      <c r="B2097" s="60">
        <f>COUNTIF($J$7:J2097,J2097)</f>
        <v>230</v>
      </c>
      <c r="C2097" s="60" t="str">
        <f t="shared" si="141"/>
        <v>0</v>
      </c>
      <c r="D2097" s="60">
        <f>COUNTIF($K$7:K2097,K2097)</f>
        <v>0</v>
      </c>
      <c r="E2097" s="61"/>
      <c r="F2097" s="232">
        <v>44606.675775462965</v>
      </c>
      <c r="G2097" s="72" t="s">
        <v>149</v>
      </c>
      <c r="H2097" s="73" t="s">
        <v>1104</v>
      </c>
      <c r="I2097" s="243" t="s">
        <v>1136</v>
      </c>
      <c r="J2097" s="67">
        <v>111.01</v>
      </c>
      <c r="K2097" s="242"/>
      <c r="L2097" s="243"/>
      <c r="M2097" s="244">
        <v>403950</v>
      </c>
      <c r="N2097" s="244"/>
      <c r="O2097" s="61"/>
      <c r="P2097" s="69" t="str">
        <f t="shared" si="142"/>
        <v>BNI IDR 768</v>
      </c>
      <c r="Q2097" s="61"/>
    </row>
    <row r="2098" spans="1:17" hidden="1" x14ac:dyDescent="0.25">
      <c r="A2098" s="60" t="str">
        <f t="shared" si="140"/>
        <v>231111,01</v>
      </c>
      <c r="B2098" s="60">
        <f>COUNTIF($J$7:J2098,J2098)</f>
        <v>231</v>
      </c>
      <c r="C2098" s="60" t="str">
        <f t="shared" si="141"/>
        <v>0</v>
      </c>
      <c r="D2098" s="60">
        <f>COUNTIF($K$7:K2098,K2098)</f>
        <v>0</v>
      </c>
      <c r="E2098" s="61"/>
      <c r="F2098" s="232">
        <v>44606.675787037035</v>
      </c>
      <c r="G2098" s="72" t="s">
        <v>149</v>
      </c>
      <c r="H2098" s="73" t="s">
        <v>1106</v>
      </c>
      <c r="I2098" s="243" t="s">
        <v>1137</v>
      </c>
      <c r="J2098" s="67">
        <v>111.01</v>
      </c>
      <c r="K2098" s="242"/>
      <c r="L2098" s="243"/>
      <c r="M2098" s="244">
        <v>1910429</v>
      </c>
      <c r="N2098" s="244"/>
      <c r="O2098" s="61"/>
      <c r="P2098" s="69" t="str">
        <f t="shared" si="142"/>
        <v>BNI IDR 768</v>
      </c>
      <c r="Q2098" s="61"/>
    </row>
    <row r="2099" spans="1:17" hidden="1" x14ac:dyDescent="0.25">
      <c r="A2099" s="60" t="str">
        <f t="shared" si="140"/>
        <v>232111,01</v>
      </c>
      <c r="B2099" s="60">
        <f>COUNTIF($J$7:J2099,J2099)</f>
        <v>232</v>
      </c>
      <c r="C2099" s="60" t="str">
        <f t="shared" si="141"/>
        <v>0</v>
      </c>
      <c r="D2099" s="60">
        <f>COUNTIF($K$7:K2099,K2099)</f>
        <v>0</v>
      </c>
      <c r="E2099" s="61"/>
      <c r="F2099" s="232">
        <v>44606</v>
      </c>
      <c r="G2099" s="72" t="s">
        <v>149</v>
      </c>
      <c r="H2099" s="73" t="s">
        <v>1106</v>
      </c>
      <c r="I2099" s="243" t="s">
        <v>282</v>
      </c>
      <c r="J2099" s="67">
        <v>111.01</v>
      </c>
      <c r="K2099" s="242"/>
      <c r="L2099" s="243"/>
      <c r="M2099" s="244">
        <v>6500</v>
      </c>
      <c r="N2099" s="244"/>
      <c r="O2099" s="61"/>
      <c r="P2099" s="69" t="str">
        <f t="shared" si="142"/>
        <v>BNI IDR 768</v>
      </c>
      <c r="Q2099" s="61"/>
    </row>
    <row r="2100" spans="1:17" hidden="1" x14ac:dyDescent="0.25">
      <c r="A2100" s="60" t="str">
        <f t="shared" si="140"/>
        <v>233111,01</v>
      </c>
      <c r="B2100" s="60">
        <f>COUNTIF($J$7:J2100,J2100)</f>
        <v>233</v>
      </c>
      <c r="C2100" s="60" t="str">
        <f t="shared" si="141"/>
        <v>0</v>
      </c>
      <c r="D2100" s="60">
        <f>COUNTIF($K$7:K2100,K2100)</f>
        <v>0</v>
      </c>
      <c r="E2100" s="61"/>
      <c r="F2100" s="232">
        <v>44606.675787037035</v>
      </c>
      <c r="G2100" s="72" t="s">
        <v>149</v>
      </c>
      <c r="H2100" s="73" t="s">
        <v>1107</v>
      </c>
      <c r="I2100" s="243" t="s">
        <v>1138</v>
      </c>
      <c r="J2100" s="67">
        <v>111.01</v>
      </c>
      <c r="K2100" s="242"/>
      <c r="L2100" s="243"/>
      <c r="M2100" s="244">
        <v>4000000</v>
      </c>
      <c r="N2100" s="244"/>
      <c r="O2100" s="61"/>
      <c r="P2100" s="69" t="str">
        <f t="shared" si="142"/>
        <v>BNI IDR 768</v>
      </c>
      <c r="Q2100" s="61"/>
    </row>
    <row r="2101" spans="1:17" hidden="1" x14ac:dyDescent="0.25">
      <c r="A2101" s="60" t="str">
        <f t="shared" si="140"/>
        <v>234111,01</v>
      </c>
      <c r="B2101" s="60">
        <f>COUNTIF($J$7:J2101,J2101)</f>
        <v>234</v>
      </c>
      <c r="C2101" s="60" t="str">
        <f t="shared" si="141"/>
        <v>0</v>
      </c>
      <c r="D2101" s="60">
        <f>COUNTIF($K$7:K2101,K2101)</f>
        <v>0</v>
      </c>
      <c r="E2101" s="61"/>
      <c r="F2101" s="232">
        <v>44606.675787037035</v>
      </c>
      <c r="G2101" s="72" t="s">
        <v>149</v>
      </c>
      <c r="H2101" s="73" t="s">
        <v>1109</v>
      </c>
      <c r="I2101" s="243" t="s">
        <v>1139</v>
      </c>
      <c r="J2101" s="67">
        <v>111.01</v>
      </c>
      <c r="K2101" s="242"/>
      <c r="L2101" s="243"/>
      <c r="M2101" s="244">
        <v>56189</v>
      </c>
      <c r="N2101" s="244"/>
      <c r="O2101" s="61"/>
      <c r="P2101" s="69" t="str">
        <f t="shared" si="142"/>
        <v>BNI IDR 768</v>
      </c>
      <c r="Q2101" s="61"/>
    </row>
    <row r="2102" spans="1:17" hidden="1" x14ac:dyDescent="0.25">
      <c r="A2102" s="60" t="str">
        <f t="shared" si="140"/>
        <v>235111,01</v>
      </c>
      <c r="B2102" s="60">
        <f>COUNTIF($J$7:J2102,J2102)</f>
        <v>235</v>
      </c>
      <c r="C2102" s="60" t="str">
        <f t="shared" si="141"/>
        <v>0</v>
      </c>
      <c r="D2102" s="60">
        <f>COUNTIF($K$7:K2102,K2102)</f>
        <v>0</v>
      </c>
      <c r="E2102" s="61"/>
      <c r="F2102" s="232">
        <v>44606.675810185188</v>
      </c>
      <c r="G2102" s="72" t="s">
        <v>149</v>
      </c>
      <c r="H2102" s="73" t="s">
        <v>1111</v>
      </c>
      <c r="I2102" s="243" t="s">
        <v>1140</v>
      </c>
      <c r="J2102" s="67">
        <v>111.01</v>
      </c>
      <c r="K2102" s="242"/>
      <c r="L2102" s="243"/>
      <c r="M2102" s="244">
        <v>1794889</v>
      </c>
      <c r="N2102" s="244"/>
      <c r="O2102" s="61"/>
      <c r="P2102" s="69" t="str">
        <f t="shared" si="142"/>
        <v>BNI IDR 768</v>
      </c>
      <c r="Q2102" s="61"/>
    </row>
    <row r="2103" spans="1:17" hidden="1" x14ac:dyDescent="0.25">
      <c r="A2103" s="60" t="str">
        <f t="shared" si="140"/>
        <v>236111,01</v>
      </c>
      <c r="B2103" s="60">
        <f>COUNTIF($J$7:J2103,J2103)</f>
        <v>236</v>
      </c>
      <c r="C2103" s="60" t="str">
        <f t="shared" si="141"/>
        <v>0</v>
      </c>
      <c r="D2103" s="60">
        <f>COUNTIF($K$7:K2103,K2103)</f>
        <v>0</v>
      </c>
      <c r="E2103" s="61"/>
      <c r="F2103" s="232">
        <v>44606.706469907411</v>
      </c>
      <c r="G2103" s="72" t="s">
        <v>149</v>
      </c>
      <c r="H2103" s="73" t="s">
        <v>1113</v>
      </c>
      <c r="I2103" s="243" t="s">
        <v>1141</v>
      </c>
      <c r="J2103" s="67">
        <v>111.01</v>
      </c>
      <c r="K2103" s="242"/>
      <c r="L2103" s="243"/>
      <c r="M2103" s="244">
        <v>920000</v>
      </c>
      <c r="N2103" s="244"/>
      <c r="O2103" s="61"/>
      <c r="P2103" s="69" t="str">
        <f t="shared" si="142"/>
        <v>BNI IDR 768</v>
      </c>
      <c r="Q2103" s="61"/>
    </row>
    <row r="2104" spans="1:17" hidden="1" x14ac:dyDescent="0.25">
      <c r="A2104" s="60" t="str">
        <f t="shared" si="140"/>
        <v>237111,01</v>
      </c>
      <c r="B2104" s="60">
        <f>COUNTIF($J$7:J2104,J2104)</f>
        <v>237</v>
      </c>
      <c r="C2104" s="60" t="str">
        <f t="shared" si="141"/>
        <v>0</v>
      </c>
      <c r="D2104" s="60">
        <f>COUNTIF($K$7:K2104,K2104)</f>
        <v>0</v>
      </c>
      <c r="E2104" s="61"/>
      <c r="F2104" s="232">
        <v>44606</v>
      </c>
      <c r="G2104" s="72" t="s">
        <v>149</v>
      </c>
      <c r="H2104" s="73" t="s">
        <v>1113</v>
      </c>
      <c r="I2104" s="243" t="s">
        <v>282</v>
      </c>
      <c r="J2104" s="67">
        <v>111.01</v>
      </c>
      <c r="K2104" s="242"/>
      <c r="L2104" s="243"/>
      <c r="M2104" s="244">
        <v>6500</v>
      </c>
      <c r="N2104" s="244"/>
      <c r="O2104" s="61"/>
      <c r="P2104" s="69" t="str">
        <f t="shared" si="142"/>
        <v>BNI IDR 768</v>
      </c>
      <c r="Q2104" s="61"/>
    </row>
    <row r="2105" spans="1:17" hidden="1" x14ac:dyDescent="0.25">
      <c r="A2105" s="60" t="str">
        <f t="shared" si="140"/>
        <v>238111,01</v>
      </c>
      <c r="B2105" s="60">
        <f>COUNTIF($J$7:J2105,J2105)</f>
        <v>238</v>
      </c>
      <c r="C2105" s="60" t="str">
        <f t="shared" si="141"/>
        <v>0</v>
      </c>
      <c r="D2105" s="60">
        <f>COUNTIF($K$7:K2105,K2105)</f>
        <v>0</v>
      </c>
      <c r="E2105" s="61"/>
      <c r="F2105" s="232">
        <v>44606.706493055557</v>
      </c>
      <c r="G2105" s="72" t="s">
        <v>149</v>
      </c>
      <c r="H2105" s="73" t="s">
        <v>1115</v>
      </c>
      <c r="I2105" s="243" t="s">
        <v>1142</v>
      </c>
      <c r="J2105" s="67">
        <v>111.01</v>
      </c>
      <c r="K2105" s="242"/>
      <c r="L2105" s="243"/>
      <c r="M2105" s="244">
        <v>132000</v>
      </c>
      <c r="N2105" s="244"/>
      <c r="O2105" s="61"/>
      <c r="P2105" s="69" t="str">
        <f t="shared" si="142"/>
        <v>BNI IDR 768</v>
      </c>
      <c r="Q2105" s="61"/>
    </row>
    <row r="2106" spans="1:17" hidden="1" x14ac:dyDescent="0.25">
      <c r="A2106" s="60" t="str">
        <f t="shared" si="140"/>
        <v>239111,01</v>
      </c>
      <c r="B2106" s="60">
        <f>COUNTIF($J$7:J2106,J2106)</f>
        <v>239</v>
      </c>
      <c r="C2106" s="60" t="str">
        <f t="shared" si="141"/>
        <v>0</v>
      </c>
      <c r="D2106" s="60">
        <f>COUNTIF($K$7:K2106,K2106)</f>
        <v>0</v>
      </c>
      <c r="E2106" s="61"/>
      <c r="F2106" s="232">
        <v>44606</v>
      </c>
      <c r="G2106" s="72" t="s">
        <v>149</v>
      </c>
      <c r="H2106" s="73" t="s">
        <v>1115</v>
      </c>
      <c r="I2106" s="243" t="s">
        <v>282</v>
      </c>
      <c r="J2106" s="67">
        <v>111.01</v>
      </c>
      <c r="K2106" s="242"/>
      <c r="L2106" s="243"/>
      <c r="M2106" s="244">
        <v>6500</v>
      </c>
      <c r="N2106" s="244"/>
      <c r="O2106" s="61"/>
      <c r="P2106" s="69" t="str">
        <f t="shared" si="142"/>
        <v>BNI IDR 768</v>
      </c>
      <c r="Q2106" s="61"/>
    </row>
    <row r="2107" spans="1:17" hidden="1" x14ac:dyDescent="0.25">
      <c r="A2107" s="60" t="str">
        <f t="shared" si="140"/>
        <v>240111,01</v>
      </c>
      <c r="B2107" s="60">
        <f>COUNTIF($J$7:J2107,J2107)</f>
        <v>240</v>
      </c>
      <c r="C2107" s="60" t="str">
        <f t="shared" si="141"/>
        <v>0</v>
      </c>
      <c r="D2107" s="60">
        <f>COUNTIF($K$7:K2107,K2107)</f>
        <v>0</v>
      </c>
      <c r="E2107" s="61"/>
      <c r="F2107" s="232">
        <v>44607.404351851852</v>
      </c>
      <c r="G2107" s="72" t="s">
        <v>149</v>
      </c>
      <c r="H2107" s="73" t="s">
        <v>1117</v>
      </c>
      <c r="I2107" s="243" t="s">
        <v>1143</v>
      </c>
      <c r="J2107" s="67">
        <v>111.01</v>
      </c>
      <c r="K2107" s="242"/>
      <c r="L2107" s="243"/>
      <c r="M2107" s="244">
        <v>5450000</v>
      </c>
      <c r="N2107" s="244"/>
      <c r="O2107" s="61"/>
      <c r="P2107" s="69" t="str">
        <f t="shared" si="142"/>
        <v>BNI IDR 768</v>
      </c>
      <c r="Q2107" s="61"/>
    </row>
    <row r="2108" spans="1:17" hidden="1" x14ac:dyDescent="0.25">
      <c r="A2108" s="60" t="str">
        <f t="shared" si="140"/>
        <v>241111,01</v>
      </c>
      <c r="B2108" s="60">
        <f>COUNTIF($J$7:J2108,J2108)</f>
        <v>241</v>
      </c>
      <c r="C2108" s="60" t="str">
        <f t="shared" si="141"/>
        <v>0</v>
      </c>
      <c r="D2108" s="60">
        <f>COUNTIF($K$7:K2108,K2108)</f>
        <v>0</v>
      </c>
      <c r="E2108" s="61"/>
      <c r="F2108" s="232">
        <v>44607</v>
      </c>
      <c r="G2108" s="72" t="s">
        <v>149</v>
      </c>
      <c r="H2108" s="73" t="s">
        <v>1117</v>
      </c>
      <c r="I2108" s="243" t="s">
        <v>1119</v>
      </c>
      <c r="J2108" s="67">
        <v>111.01</v>
      </c>
      <c r="K2108" s="242"/>
      <c r="L2108" s="243"/>
      <c r="M2108" s="244">
        <v>6500</v>
      </c>
      <c r="N2108" s="244"/>
      <c r="O2108" s="61"/>
      <c r="P2108" s="69" t="str">
        <f t="shared" si="142"/>
        <v>BNI IDR 768</v>
      </c>
      <c r="Q2108" s="61"/>
    </row>
    <row r="2109" spans="1:17" hidden="1" x14ac:dyDescent="0.25">
      <c r="A2109" s="60" t="str">
        <f t="shared" si="140"/>
        <v>242111,01</v>
      </c>
      <c r="B2109" s="60">
        <f>COUNTIF($J$7:J2109,J2109)</f>
        <v>242</v>
      </c>
      <c r="C2109" s="60" t="str">
        <f t="shared" si="141"/>
        <v>0</v>
      </c>
      <c r="D2109" s="60">
        <f>COUNTIF($K$7:K2109,K2109)</f>
        <v>0</v>
      </c>
      <c r="E2109" s="61"/>
      <c r="F2109" s="232">
        <v>44607.404363425929</v>
      </c>
      <c r="G2109" s="72" t="s">
        <v>149</v>
      </c>
      <c r="H2109" s="73" t="s">
        <v>1120</v>
      </c>
      <c r="I2109" s="243" t="s">
        <v>1144</v>
      </c>
      <c r="J2109" s="67">
        <v>111.01</v>
      </c>
      <c r="K2109" s="242"/>
      <c r="L2109" s="243"/>
      <c r="M2109" s="244">
        <v>4518735</v>
      </c>
      <c r="N2109" s="244"/>
      <c r="O2109" s="61"/>
      <c r="P2109" s="69" t="str">
        <f t="shared" si="142"/>
        <v>BNI IDR 768</v>
      </c>
      <c r="Q2109" s="61"/>
    </row>
    <row r="2110" spans="1:17" hidden="1" x14ac:dyDescent="0.25">
      <c r="A2110" s="60" t="str">
        <f t="shared" si="140"/>
        <v>243111,01</v>
      </c>
      <c r="B2110" s="60">
        <f>COUNTIF($J$7:J2110,J2110)</f>
        <v>243</v>
      </c>
      <c r="C2110" s="60" t="str">
        <f t="shared" si="141"/>
        <v>0</v>
      </c>
      <c r="D2110" s="60">
        <f>COUNTIF($K$7:K2110,K2110)</f>
        <v>0</v>
      </c>
      <c r="E2110" s="61"/>
      <c r="F2110" s="232">
        <v>44607</v>
      </c>
      <c r="G2110" s="72" t="s">
        <v>149</v>
      </c>
      <c r="H2110" s="73" t="s">
        <v>1120</v>
      </c>
      <c r="I2110" s="243" t="s">
        <v>282</v>
      </c>
      <c r="J2110" s="67">
        <v>111.01</v>
      </c>
      <c r="K2110" s="242"/>
      <c r="L2110" s="243"/>
      <c r="M2110" s="244">
        <v>6500</v>
      </c>
      <c r="N2110" s="244"/>
      <c r="O2110" s="61"/>
      <c r="P2110" s="69" t="str">
        <f t="shared" si="142"/>
        <v>BNI IDR 768</v>
      </c>
      <c r="Q2110" s="61"/>
    </row>
    <row r="2111" spans="1:17" hidden="1" x14ac:dyDescent="0.25">
      <c r="A2111" s="60" t="str">
        <f t="shared" si="140"/>
        <v>244111,01</v>
      </c>
      <c r="B2111" s="60">
        <f>COUNTIF($J$7:J2111,J2111)</f>
        <v>244</v>
      </c>
      <c r="C2111" s="60" t="str">
        <f t="shared" si="141"/>
        <v>0</v>
      </c>
      <c r="D2111" s="60">
        <f>COUNTIF($K$7:K2111,K2111)</f>
        <v>0</v>
      </c>
      <c r="E2111" s="61"/>
      <c r="F2111" s="232">
        <v>44607.404386574075</v>
      </c>
      <c r="G2111" s="72" t="s">
        <v>149</v>
      </c>
      <c r="H2111" s="73" t="s">
        <v>1122</v>
      </c>
      <c r="I2111" s="243" t="s">
        <v>1145</v>
      </c>
      <c r="J2111" s="67">
        <v>111.01</v>
      </c>
      <c r="K2111" s="242"/>
      <c r="L2111" s="243"/>
      <c r="M2111" s="244">
        <v>40085750</v>
      </c>
      <c r="N2111" s="244"/>
      <c r="O2111" s="61"/>
      <c r="P2111" s="69" t="str">
        <f t="shared" si="142"/>
        <v>BNI IDR 768</v>
      </c>
      <c r="Q2111" s="61"/>
    </row>
    <row r="2112" spans="1:17" hidden="1" x14ac:dyDescent="0.25">
      <c r="A2112" s="60" t="str">
        <f t="shared" si="140"/>
        <v>245111,01</v>
      </c>
      <c r="B2112" s="60">
        <f>COUNTIF($J$7:J2112,J2112)</f>
        <v>245</v>
      </c>
      <c r="C2112" s="60" t="str">
        <f t="shared" si="141"/>
        <v>0</v>
      </c>
      <c r="D2112" s="60">
        <f>COUNTIF($K$7:K2112,K2112)</f>
        <v>0</v>
      </c>
      <c r="E2112" s="61"/>
      <c r="F2112" s="232">
        <v>44607</v>
      </c>
      <c r="G2112" s="72" t="s">
        <v>149</v>
      </c>
      <c r="H2112" s="73" t="s">
        <v>1122</v>
      </c>
      <c r="I2112" s="243" t="s">
        <v>282</v>
      </c>
      <c r="J2112" s="67">
        <v>111.01</v>
      </c>
      <c r="K2112" s="242"/>
      <c r="L2112" s="243"/>
      <c r="M2112" s="244">
        <v>6500</v>
      </c>
      <c r="N2112" s="244"/>
      <c r="O2112" s="61"/>
      <c r="P2112" s="69" t="str">
        <f t="shared" si="142"/>
        <v>BNI IDR 768</v>
      </c>
      <c r="Q2112" s="61"/>
    </row>
    <row r="2113" spans="1:17" hidden="1" x14ac:dyDescent="0.25">
      <c r="A2113" s="60" t="str">
        <f t="shared" si="140"/>
        <v>58220,03</v>
      </c>
      <c r="B2113" s="60">
        <f>COUNTIF($J$7:J2113,J2113)</f>
        <v>58</v>
      </c>
      <c r="C2113" s="60" t="str">
        <f t="shared" si="141"/>
        <v>0</v>
      </c>
      <c r="D2113" s="60">
        <f>COUNTIF($K$7:K2113,K2113)</f>
        <v>0</v>
      </c>
      <c r="E2113" s="61"/>
      <c r="F2113" s="232">
        <v>44606.675763888888</v>
      </c>
      <c r="G2113" s="72" t="s">
        <v>149</v>
      </c>
      <c r="H2113" s="73" t="s">
        <v>1091</v>
      </c>
      <c r="I2113" s="243" t="s">
        <v>1146</v>
      </c>
      <c r="J2113" s="235">
        <v>220.03</v>
      </c>
      <c r="K2113" s="242"/>
      <c r="L2113" s="224">
        <f>11509400+2000000</f>
        <v>13509400</v>
      </c>
      <c r="M2113" s="223"/>
      <c r="N2113" s="223"/>
      <c r="O2113" s="61"/>
      <c r="P2113" s="69" t="str">
        <f t="shared" si="142"/>
        <v>Hutang BIaya</v>
      </c>
      <c r="Q2113" s="61"/>
    </row>
    <row r="2114" spans="1:17" hidden="1" x14ac:dyDescent="0.25">
      <c r="A2114" s="60" t="str">
        <f t="shared" si="140"/>
        <v>4114</v>
      </c>
      <c r="B2114" s="60">
        <f>COUNTIF($J$7:J2114,J2114)</f>
        <v>4</v>
      </c>
      <c r="C2114" s="60" t="str">
        <f t="shared" si="141"/>
        <v>0</v>
      </c>
      <c r="D2114" s="60">
        <f>COUNTIF($K$7:K2114,K2114)</f>
        <v>0</v>
      </c>
      <c r="E2114" s="61"/>
      <c r="F2114" s="232">
        <v>44606.675763888888</v>
      </c>
      <c r="G2114" s="72" t="s">
        <v>149</v>
      </c>
      <c r="H2114" s="73" t="s">
        <v>1091</v>
      </c>
      <c r="I2114" s="243" t="s">
        <v>1147</v>
      </c>
      <c r="J2114" s="67">
        <v>114</v>
      </c>
      <c r="K2114" s="242"/>
      <c r="L2114" s="243"/>
      <c r="M2114" s="223">
        <v>2000000</v>
      </c>
      <c r="N2114" s="223"/>
      <c r="O2114" s="61"/>
      <c r="P2114" s="69" t="str">
        <f t="shared" si="142"/>
        <v>Piutang Lain - Lain</v>
      </c>
      <c r="Q2114" s="61"/>
    </row>
    <row r="2115" spans="1:17" hidden="1" x14ac:dyDescent="0.25">
      <c r="A2115" s="60" t="str">
        <f t="shared" si="140"/>
        <v>246111,01</v>
      </c>
      <c r="B2115" s="60">
        <f>COUNTIF($J$7:J2115,J2115)</f>
        <v>246</v>
      </c>
      <c r="C2115" s="60" t="str">
        <f t="shared" si="141"/>
        <v>0</v>
      </c>
      <c r="D2115" s="60">
        <f>COUNTIF($K$7:K2115,K2115)</f>
        <v>0</v>
      </c>
      <c r="E2115" s="61"/>
      <c r="F2115" s="232">
        <v>44606.675763888888</v>
      </c>
      <c r="G2115" s="72" t="s">
        <v>149</v>
      </c>
      <c r="H2115" s="73" t="s">
        <v>1091</v>
      </c>
      <c r="I2115" s="243" t="s">
        <v>1146</v>
      </c>
      <c r="J2115" s="67">
        <v>111.01</v>
      </c>
      <c r="K2115" s="242"/>
      <c r="L2115" s="243"/>
      <c r="M2115" s="244">
        <v>11509400</v>
      </c>
      <c r="N2115" s="244"/>
      <c r="O2115" s="61"/>
      <c r="P2115" s="69" t="str">
        <f t="shared" si="142"/>
        <v>BNI IDR 768</v>
      </c>
      <c r="Q2115" s="61"/>
    </row>
    <row r="2116" spans="1:17" hidden="1" x14ac:dyDescent="0.25">
      <c r="A2116" s="60" t="str">
        <f t="shared" si="140"/>
        <v>247111,01</v>
      </c>
      <c r="B2116" s="60">
        <f>COUNTIF($J$7:J2116,J2116)</f>
        <v>247</v>
      </c>
      <c r="C2116" s="60" t="str">
        <f t="shared" si="141"/>
        <v>0</v>
      </c>
      <c r="D2116" s="60">
        <f>COUNTIF($K$7:K2116,K2116)</f>
        <v>0</v>
      </c>
      <c r="E2116" s="61"/>
      <c r="F2116" s="232">
        <v>44607.41070601852</v>
      </c>
      <c r="G2116" s="72" t="s">
        <v>149</v>
      </c>
      <c r="H2116" s="73" t="s">
        <v>1148</v>
      </c>
      <c r="I2116" s="243" t="s">
        <v>1149</v>
      </c>
      <c r="J2116" s="67">
        <v>111.01</v>
      </c>
      <c r="K2116" s="242"/>
      <c r="L2116" s="222">
        <f>89663+300000</f>
        <v>389663</v>
      </c>
      <c r="M2116" s="223"/>
      <c r="N2116" s="223"/>
      <c r="O2116" s="61"/>
      <c r="P2116" s="69" t="str">
        <f t="shared" si="142"/>
        <v>BNI IDR 768</v>
      </c>
      <c r="Q2116" s="61"/>
    </row>
    <row r="2117" spans="1:17" hidden="1" x14ac:dyDescent="0.25">
      <c r="A2117" s="60" t="str">
        <f t="shared" si="140"/>
        <v>248111,01</v>
      </c>
      <c r="B2117" s="60">
        <f>COUNTIF($J$7:J2117,J2117)</f>
        <v>248</v>
      </c>
      <c r="C2117" s="60" t="str">
        <f t="shared" si="141"/>
        <v>0</v>
      </c>
      <c r="D2117" s="60">
        <f>COUNTIF($K$7:K2117,K2117)</f>
        <v>0</v>
      </c>
      <c r="E2117" s="61"/>
      <c r="F2117" s="232">
        <v>44607.489120370374</v>
      </c>
      <c r="G2117" s="72" t="s">
        <v>149</v>
      </c>
      <c r="H2117" s="73" t="s">
        <v>1150</v>
      </c>
      <c r="I2117" s="243" t="s">
        <v>1151</v>
      </c>
      <c r="J2117" s="67">
        <v>111.01</v>
      </c>
      <c r="K2117" s="242"/>
      <c r="L2117" s="222">
        <v>5273498</v>
      </c>
      <c r="M2117" s="223"/>
      <c r="N2117" s="223"/>
      <c r="O2117" s="61"/>
      <c r="P2117" s="69" t="str">
        <f t="shared" si="142"/>
        <v>BNI IDR 768</v>
      </c>
      <c r="Q2117" s="61"/>
    </row>
    <row r="2118" spans="1:17" hidden="1" x14ac:dyDescent="0.25">
      <c r="A2118" s="60" t="str">
        <f t="shared" si="140"/>
        <v>41119</v>
      </c>
      <c r="B2118" s="60">
        <f>COUNTIF($J$7:J2118,J2118)</f>
        <v>41</v>
      </c>
      <c r="C2118" s="60" t="str">
        <f t="shared" si="141"/>
        <v>13119,02</v>
      </c>
      <c r="D2118" s="60">
        <f>COUNTIF($K$7:K2118,K2118)</f>
        <v>13</v>
      </c>
      <c r="E2118" s="61"/>
      <c r="F2118" s="232">
        <v>44607.489120370374</v>
      </c>
      <c r="G2118" s="72" t="s">
        <v>149</v>
      </c>
      <c r="H2118" s="73" t="s">
        <v>1148</v>
      </c>
      <c r="I2118" s="243" t="s">
        <v>1152</v>
      </c>
      <c r="J2118" s="76">
        <v>119</v>
      </c>
      <c r="K2118" s="75">
        <v>119.02</v>
      </c>
      <c r="L2118" s="224"/>
      <c r="M2118" s="223">
        <v>300000</v>
      </c>
      <c r="N2118" s="223"/>
      <c r="O2118" s="61"/>
      <c r="P2118" s="69" t="str">
        <f t="shared" si="142"/>
        <v>Uang Muka Biaya Pengiriman dan Perjalanan Dinas Marketing</v>
      </c>
      <c r="Q2118" s="61"/>
    </row>
    <row r="2119" spans="1:17" hidden="1" x14ac:dyDescent="0.25">
      <c r="A2119" s="60" t="str">
        <f t="shared" ref="A2119:A2182" si="143">B2119&amp;J2119</f>
        <v>42119</v>
      </c>
      <c r="B2119" s="60">
        <f>COUNTIF($J$7:J2119,J2119)</f>
        <v>42</v>
      </c>
      <c r="C2119" s="60" t="str">
        <f t="shared" ref="C2119:C2182" si="144">D2119&amp;K2119</f>
        <v>14119,02</v>
      </c>
      <c r="D2119" s="60">
        <f>COUNTIF($K$7:K2119,K2119)</f>
        <v>14</v>
      </c>
      <c r="E2119" s="61"/>
      <c r="F2119" s="232">
        <v>44607.41070601852</v>
      </c>
      <c r="G2119" s="72" t="s">
        <v>149</v>
      </c>
      <c r="H2119" s="73" t="s">
        <v>1148</v>
      </c>
      <c r="I2119" s="243" t="s">
        <v>1149</v>
      </c>
      <c r="J2119" s="76">
        <v>119</v>
      </c>
      <c r="K2119" s="75">
        <v>119.02</v>
      </c>
      <c r="L2119" s="224"/>
      <c r="M2119" s="223">
        <f>L2116-M2118</f>
        <v>89663</v>
      </c>
      <c r="N2119" s="223"/>
      <c r="O2119" s="61"/>
      <c r="P2119" s="69" t="str">
        <f t="shared" ref="P2119:P2182" si="145">IF(J2119=0,"-",+VLOOKUP(J2119,DAF_AKUN,2,FALSE))</f>
        <v>Uang Muka Biaya Pengiriman dan Perjalanan Dinas Marketing</v>
      </c>
      <c r="Q2119" s="61"/>
    </row>
    <row r="2120" spans="1:17" hidden="1" x14ac:dyDescent="0.25">
      <c r="A2120" s="60" t="str">
        <f t="shared" si="143"/>
        <v>445112</v>
      </c>
      <c r="B2120" s="60">
        <f>COUNTIF($J$7:J2120,J2120)</f>
        <v>445</v>
      </c>
      <c r="C2120" s="60" t="str">
        <f t="shared" si="144"/>
        <v>6112,57</v>
      </c>
      <c r="D2120" s="60">
        <f>COUNTIF($K$7:K2120,K2120)</f>
        <v>6</v>
      </c>
      <c r="E2120" s="61"/>
      <c r="F2120" s="232">
        <v>44607.489120370374</v>
      </c>
      <c r="G2120" s="164" t="s">
        <v>149</v>
      </c>
      <c r="H2120" s="73" t="s">
        <v>1150</v>
      </c>
      <c r="I2120" s="243" t="s">
        <v>1151</v>
      </c>
      <c r="J2120" s="64">
        <v>112</v>
      </c>
      <c r="K2120" s="80">
        <v>112.57</v>
      </c>
      <c r="L2120" s="224"/>
      <c r="M2120" s="223">
        <v>5273498</v>
      </c>
      <c r="N2120" s="223"/>
      <c r="O2120" s="61"/>
      <c r="P2120" s="69" t="str">
        <f t="shared" si="145"/>
        <v>Piutang Usaha</v>
      </c>
      <c r="Q2120" s="61"/>
    </row>
    <row r="2121" spans="1:17" hidden="1" x14ac:dyDescent="0.25">
      <c r="A2121" s="60" t="str">
        <f t="shared" si="143"/>
        <v>43119</v>
      </c>
      <c r="B2121" s="60">
        <f>COUNTIF($J$7:J2121,J2121)</f>
        <v>43</v>
      </c>
      <c r="C2121" s="60" t="str">
        <f t="shared" si="144"/>
        <v>15119,02</v>
      </c>
      <c r="D2121" s="60">
        <f>COUNTIF($K$7:K2121,K2121)</f>
        <v>15</v>
      </c>
      <c r="E2121" s="61"/>
      <c r="F2121" s="232">
        <v>44607.613530092596</v>
      </c>
      <c r="G2121" s="72" t="s">
        <v>149</v>
      </c>
      <c r="H2121" s="73" t="s">
        <v>1153</v>
      </c>
      <c r="I2121" s="243" t="s">
        <v>1154</v>
      </c>
      <c r="J2121" s="76">
        <v>119</v>
      </c>
      <c r="K2121" s="75">
        <v>119.02</v>
      </c>
      <c r="L2121" s="224">
        <v>2000000</v>
      </c>
      <c r="M2121" s="223"/>
      <c r="N2121" s="223"/>
      <c r="O2121" s="61"/>
      <c r="P2121" s="69" t="str">
        <f t="shared" si="145"/>
        <v>Uang Muka Biaya Pengiriman dan Perjalanan Dinas Marketing</v>
      </c>
      <c r="Q2121" s="61"/>
    </row>
    <row r="2122" spans="1:17" hidden="1" x14ac:dyDescent="0.25">
      <c r="A2122" s="60" t="str">
        <f t="shared" si="143"/>
        <v>366211,01</v>
      </c>
      <c r="B2122" s="60">
        <f>COUNTIF($J$7:J2122,J2122)</f>
        <v>366</v>
      </c>
      <c r="C2122" s="60" t="str">
        <f t="shared" si="144"/>
        <v>0</v>
      </c>
      <c r="D2122" s="60">
        <f>COUNTIF($K$7:K2122,K2122)</f>
        <v>0</v>
      </c>
      <c r="E2122" s="61"/>
      <c r="F2122" s="232">
        <v>44607</v>
      </c>
      <c r="G2122" s="72"/>
      <c r="H2122" s="73" t="s">
        <v>1155</v>
      </c>
      <c r="I2122" s="243" t="s">
        <v>1156</v>
      </c>
      <c r="J2122" s="67">
        <v>211.01</v>
      </c>
      <c r="K2122" s="242"/>
      <c r="L2122" s="224">
        <v>32486000</v>
      </c>
      <c r="M2122" s="223"/>
      <c r="N2122" s="223"/>
      <c r="O2122" s="61"/>
      <c r="P2122" s="69" t="str">
        <f t="shared" si="145"/>
        <v>Hutang Pajak PPN</v>
      </c>
      <c r="Q2122" s="61"/>
    </row>
    <row r="2123" spans="1:17" hidden="1" x14ac:dyDescent="0.25">
      <c r="A2123" s="60" t="str">
        <f t="shared" si="143"/>
        <v>8211,03</v>
      </c>
      <c r="B2123" s="60">
        <f>COUNTIF($J$7:J2123,J2123)</f>
        <v>8</v>
      </c>
      <c r="C2123" s="60" t="str">
        <f t="shared" si="144"/>
        <v>0</v>
      </c>
      <c r="D2123" s="60">
        <f>COUNTIF($K$7:K2123,K2123)</f>
        <v>0</v>
      </c>
      <c r="E2123" s="61"/>
      <c r="F2123" s="232">
        <v>44607</v>
      </c>
      <c r="G2123" s="72"/>
      <c r="H2123" s="73" t="s">
        <v>1155</v>
      </c>
      <c r="I2123" s="243" t="s">
        <v>1156</v>
      </c>
      <c r="J2123" s="67">
        <v>211.03</v>
      </c>
      <c r="K2123" s="242"/>
      <c r="L2123" s="224">
        <v>24364000</v>
      </c>
      <c r="M2123" s="223"/>
      <c r="N2123" s="223"/>
      <c r="O2123" s="61"/>
      <c r="P2123" s="69" t="str">
        <f t="shared" si="145"/>
        <v>Hutang PPh 22</v>
      </c>
      <c r="Q2123" s="61"/>
    </row>
    <row r="2124" spans="1:17" hidden="1" x14ac:dyDescent="0.25">
      <c r="A2124" s="60" t="str">
        <f t="shared" si="143"/>
        <v>44119</v>
      </c>
      <c r="B2124" s="60">
        <f>COUNTIF($J$7:J2124,J2124)</f>
        <v>44</v>
      </c>
      <c r="C2124" s="60" t="str">
        <f t="shared" si="144"/>
        <v>17119,01</v>
      </c>
      <c r="D2124" s="60">
        <f>COUNTIF($K$7:K2124,K2124)</f>
        <v>17</v>
      </c>
      <c r="E2124" s="61"/>
      <c r="F2124" s="232">
        <v>44607.677164351851</v>
      </c>
      <c r="G2124" s="72" t="s">
        <v>149</v>
      </c>
      <c r="H2124" s="73" t="s">
        <v>1157</v>
      </c>
      <c r="I2124" s="243" t="s">
        <v>1158</v>
      </c>
      <c r="J2124" s="76">
        <v>119</v>
      </c>
      <c r="K2124" s="75">
        <v>119.01</v>
      </c>
      <c r="L2124" s="224">
        <v>2000000</v>
      </c>
      <c r="M2124" s="223"/>
      <c r="N2124" s="223"/>
      <c r="O2124" s="61"/>
      <c r="P2124" s="69" t="str">
        <f t="shared" si="145"/>
        <v>Uang Muka Biaya Pengiriman dan Perjalanan Dinas Marketing</v>
      </c>
      <c r="Q2124" s="61"/>
    </row>
    <row r="2125" spans="1:17" hidden="1" x14ac:dyDescent="0.25">
      <c r="A2125" s="60" t="str">
        <f t="shared" si="143"/>
        <v>21610,09</v>
      </c>
      <c r="B2125" s="60">
        <f>COUNTIF($J$7:J2125,J2125)</f>
        <v>21</v>
      </c>
      <c r="C2125" s="60" t="str">
        <f t="shared" si="144"/>
        <v>0</v>
      </c>
      <c r="D2125" s="60">
        <f>COUNTIF($K$7:K2125,K2125)</f>
        <v>0</v>
      </c>
      <c r="E2125" s="61"/>
      <c r="F2125" s="232">
        <v>44608.497349537036</v>
      </c>
      <c r="G2125" s="72" t="s">
        <v>149</v>
      </c>
      <c r="H2125" s="73" t="s">
        <v>1159</v>
      </c>
      <c r="I2125" s="243" t="s">
        <v>1160</v>
      </c>
      <c r="J2125" s="221">
        <v>610.09</v>
      </c>
      <c r="K2125" s="242"/>
      <c r="L2125" s="224">
        <v>172400</v>
      </c>
      <c r="M2125" s="223"/>
      <c r="N2125" s="223"/>
      <c r="O2125" s="61"/>
      <c r="P2125" s="69" t="str">
        <f t="shared" si="145"/>
        <v>Biaya ATK &amp; Perlengkapan Kantor</v>
      </c>
      <c r="Q2125" s="61"/>
    </row>
    <row r="2126" spans="1:17" hidden="1" x14ac:dyDescent="0.25">
      <c r="A2126" s="60" t="str">
        <f t="shared" si="143"/>
        <v>2610,16</v>
      </c>
      <c r="B2126" s="60">
        <f>COUNTIF($J$7:J2126,J2126)</f>
        <v>2</v>
      </c>
      <c r="C2126" s="60" t="str">
        <f t="shared" si="144"/>
        <v>0</v>
      </c>
      <c r="D2126" s="60">
        <f>COUNTIF($K$7:K2126,K2126)</f>
        <v>0</v>
      </c>
      <c r="E2126" s="61"/>
      <c r="F2126" s="232">
        <v>44608.497349537036</v>
      </c>
      <c r="G2126" s="72" t="s">
        <v>149</v>
      </c>
      <c r="H2126" s="73" t="s">
        <v>1161</v>
      </c>
      <c r="I2126" s="243" t="s">
        <v>1162</v>
      </c>
      <c r="J2126" s="221">
        <v>610.16</v>
      </c>
      <c r="K2126" s="242"/>
      <c r="L2126" s="224">
        <v>1800000</v>
      </c>
      <c r="M2126" s="223"/>
      <c r="N2126" s="223"/>
      <c r="O2126" s="61"/>
      <c r="P2126" s="69" t="str">
        <f t="shared" si="145"/>
        <v>Biaya Perizinan &amp; Legalitas</v>
      </c>
      <c r="Q2126" s="61"/>
    </row>
    <row r="2127" spans="1:17" hidden="1" x14ac:dyDescent="0.25">
      <c r="A2127" s="60" t="str">
        <f t="shared" si="143"/>
        <v>22610,09</v>
      </c>
      <c r="B2127" s="60">
        <f>COUNTIF($J$7:J2127,J2127)</f>
        <v>22</v>
      </c>
      <c r="C2127" s="60" t="str">
        <f t="shared" si="144"/>
        <v>0</v>
      </c>
      <c r="D2127" s="60">
        <f>COUNTIF($K$7:K2127,K2127)</f>
        <v>0</v>
      </c>
      <c r="E2127" s="61"/>
      <c r="F2127" s="232">
        <v>44608.497372685182</v>
      </c>
      <c r="G2127" s="72" t="s">
        <v>149</v>
      </c>
      <c r="H2127" s="73" t="s">
        <v>1163</v>
      </c>
      <c r="I2127" s="243" t="s">
        <v>1164</v>
      </c>
      <c r="J2127" s="221">
        <v>610.09</v>
      </c>
      <c r="K2127" s="242"/>
      <c r="L2127" s="224">
        <v>90000</v>
      </c>
      <c r="M2127" s="223"/>
      <c r="N2127" s="223"/>
      <c r="O2127" s="61"/>
      <c r="P2127" s="69" t="str">
        <f t="shared" si="145"/>
        <v>Biaya ATK &amp; Perlengkapan Kantor</v>
      </c>
      <c r="Q2127" s="61"/>
    </row>
    <row r="2128" spans="1:17" hidden="1" x14ac:dyDescent="0.25">
      <c r="A2128" s="60" t="str">
        <f t="shared" si="143"/>
        <v>249111,01</v>
      </c>
      <c r="B2128" s="60">
        <f>COUNTIF($J$7:J2128,J2128)</f>
        <v>249</v>
      </c>
      <c r="C2128" s="60" t="str">
        <f t="shared" si="144"/>
        <v>0</v>
      </c>
      <c r="D2128" s="60">
        <f>COUNTIF($K$7:K2128,K2128)</f>
        <v>0</v>
      </c>
      <c r="E2128" s="61"/>
      <c r="F2128" s="232">
        <v>44607.613530092596</v>
      </c>
      <c r="G2128" s="72" t="s">
        <v>149</v>
      </c>
      <c r="H2128" s="73" t="s">
        <v>1153</v>
      </c>
      <c r="I2128" s="243" t="s">
        <v>1165</v>
      </c>
      <c r="J2128" s="67">
        <v>111.01</v>
      </c>
      <c r="K2128" s="242"/>
      <c r="L2128" s="243"/>
      <c r="M2128" s="244">
        <v>2000000</v>
      </c>
      <c r="N2128" s="244"/>
      <c r="O2128" s="61"/>
      <c r="P2128" s="69" t="str">
        <f t="shared" si="145"/>
        <v>BNI IDR 768</v>
      </c>
      <c r="Q2128" s="61"/>
    </row>
    <row r="2129" spans="1:17" hidden="1" x14ac:dyDescent="0.25">
      <c r="A2129" s="60" t="str">
        <f t="shared" si="143"/>
        <v>250111,01</v>
      </c>
      <c r="B2129" s="60">
        <f>COUNTIF($J$7:J2129,J2129)</f>
        <v>250</v>
      </c>
      <c r="C2129" s="60" t="str">
        <f t="shared" si="144"/>
        <v>0</v>
      </c>
      <c r="D2129" s="60">
        <f>COUNTIF($K$7:K2129,K2129)</f>
        <v>0</v>
      </c>
      <c r="E2129" s="61"/>
      <c r="F2129" s="232">
        <v>44607</v>
      </c>
      <c r="G2129" s="72"/>
      <c r="H2129" s="73" t="s">
        <v>1155</v>
      </c>
      <c r="I2129" s="243" t="s">
        <v>1156</v>
      </c>
      <c r="J2129" s="67">
        <v>111.01</v>
      </c>
      <c r="K2129" s="242"/>
      <c r="L2129" s="224"/>
      <c r="M2129" s="223">
        <v>32486000</v>
      </c>
      <c r="N2129" s="223"/>
      <c r="O2129" s="61"/>
      <c r="P2129" s="69" t="str">
        <f t="shared" si="145"/>
        <v>BNI IDR 768</v>
      </c>
      <c r="Q2129" s="61"/>
    </row>
    <row r="2130" spans="1:17" hidden="1" x14ac:dyDescent="0.25">
      <c r="A2130" s="60" t="str">
        <f t="shared" si="143"/>
        <v>251111,01</v>
      </c>
      <c r="B2130" s="60">
        <f>COUNTIF($J$7:J2130,J2130)</f>
        <v>251</v>
      </c>
      <c r="C2130" s="60" t="str">
        <f t="shared" si="144"/>
        <v>0</v>
      </c>
      <c r="D2130" s="60">
        <f>COUNTIF($K$7:K2130,K2130)</f>
        <v>0</v>
      </c>
      <c r="E2130" s="61"/>
      <c r="F2130" s="232">
        <v>44607</v>
      </c>
      <c r="G2130" s="72"/>
      <c r="H2130" s="73" t="s">
        <v>1155</v>
      </c>
      <c r="I2130" s="243" t="s">
        <v>1156</v>
      </c>
      <c r="J2130" s="67">
        <v>111.01</v>
      </c>
      <c r="K2130" s="242"/>
      <c r="L2130" s="224"/>
      <c r="M2130" s="223">
        <v>24364000</v>
      </c>
      <c r="N2130" s="223"/>
      <c r="O2130" s="61"/>
      <c r="P2130" s="69" t="str">
        <f t="shared" si="145"/>
        <v>BNI IDR 768</v>
      </c>
      <c r="Q2130" s="61"/>
    </row>
    <row r="2131" spans="1:17" hidden="1" x14ac:dyDescent="0.25">
      <c r="A2131" s="60" t="str">
        <f t="shared" si="143"/>
        <v>252111,01</v>
      </c>
      <c r="B2131" s="60">
        <f>COUNTIF($J$7:J2131,J2131)</f>
        <v>252</v>
      </c>
      <c r="C2131" s="60" t="str">
        <f t="shared" si="144"/>
        <v>0</v>
      </c>
      <c r="D2131" s="60">
        <f>COUNTIF($K$7:K2131,K2131)</f>
        <v>0</v>
      </c>
      <c r="E2131" s="61"/>
      <c r="F2131" s="232">
        <v>44607.677164351851</v>
      </c>
      <c r="G2131" s="72" t="s">
        <v>149</v>
      </c>
      <c r="H2131" s="73" t="s">
        <v>1157</v>
      </c>
      <c r="I2131" s="243" t="s">
        <v>1158</v>
      </c>
      <c r="J2131" s="67">
        <v>111.01</v>
      </c>
      <c r="K2131" s="242"/>
      <c r="L2131" s="243"/>
      <c r="M2131" s="244">
        <v>2000000</v>
      </c>
      <c r="N2131" s="244"/>
      <c r="O2131" s="61"/>
      <c r="P2131" s="69" t="str">
        <f t="shared" si="145"/>
        <v>BNI IDR 768</v>
      </c>
      <c r="Q2131" s="61"/>
    </row>
    <row r="2132" spans="1:17" hidden="1" x14ac:dyDescent="0.25">
      <c r="A2132" s="60" t="str">
        <f t="shared" si="143"/>
        <v>253111,01</v>
      </c>
      <c r="B2132" s="60">
        <f>COUNTIF($J$7:J2132,J2132)</f>
        <v>253</v>
      </c>
      <c r="C2132" s="60" t="str">
        <f t="shared" si="144"/>
        <v>0</v>
      </c>
      <c r="D2132" s="60">
        <f>COUNTIF($K$7:K2132,K2132)</f>
        <v>0</v>
      </c>
      <c r="E2132" s="61"/>
      <c r="F2132" s="232">
        <v>44608.497349537036</v>
      </c>
      <c r="G2132" s="72" t="s">
        <v>149</v>
      </c>
      <c r="H2132" s="73" t="s">
        <v>1159</v>
      </c>
      <c r="I2132" s="243" t="s">
        <v>1166</v>
      </c>
      <c r="J2132" s="67">
        <v>111.01</v>
      </c>
      <c r="K2132" s="242"/>
      <c r="L2132" s="243"/>
      <c r="M2132" s="244">
        <v>172400</v>
      </c>
      <c r="N2132" s="244"/>
      <c r="O2132" s="61"/>
      <c r="P2132" s="69" t="str">
        <f t="shared" si="145"/>
        <v>BNI IDR 768</v>
      </c>
      <c r="Q2132" s="61"/>
    </row>
    <row r="2133" spans="1:17" hidden="1" x14ac:dyDescent="0.25">
      <c r="A2133" s="60" t="str">
        <f t="shared" si="143"/>
        <v>254111,01</v>
      </c>
      <c r="B2133" s="60">
        <f>COUNTIF($J$7:J2133,J2133)</f>
        <v>254</v>
      </c>
      <c r="C2133" s="60" t="str">
        <f t="shared" si="144"/>
        <v>0</v>
      </c>
      <c r="D2133" s="60">
        <f>COUNTIF($K$7:K2133,K2133)</f>
        <v>0</v>
      </c>
      <c r="E2133" s="61"/>
      <c r="F2133" s="232">
        <v>44608.497349537036</v>
      </c>
      <c r="G2133" s="72" t="s">
        <v>149</v>
      </c>
      <c r="H2133" s="73" t="s">
        <v>1161</v>
      </c>
      <c r="I2133" s="243" t="s">
        <v>1162</v>
      </c>
      <c r="J2133" s="67">
        <v>111.01</v>
      </c>
      <c r="K2133" s="242"/>
      <c r="L2133" s="243"/>
      <c r="M2133" s="244">
        <v>1800000</v>
      </c>
      <c r="N2133" s="244"/>
      <c r="O2133" s="61"/>
      <c r="P2133" s="69" t="str">
        <f t="shared" si="145"/>
        <v>BNI IDR 768</v>
      </c>
      <c r="Q2133" s="61"/>
    </row>
    <row r="2134" spans="1:17" hidden="1" x14ac:dyDescent="0.25">
      <c r="A2134" s="60" t="str">
        <f t="shared" si="143"/>
        <v>255111,01</v>
      </c>
      <c r="B2134" s="60">
        <f>COUNTIF($J$7:J2134,J2134)</f>
        <v>255</v>
      </c>
      <c r="C2134" s="60" t="str">
        <f t="shared" si="144"/>
        <v>0</v>
      </c>
      <c r="D2134" s="60">
        <f>COUNTIF($K$7:K2134,K2134)</f>
        <v>0</v>
      </c>
      <c r="E2134" s="61"/>
      <c r="F2134" s="232">
        <v>44608.497372685182</v>
      </c>
      <c r="G2134" s="72" t="s">
        <v>149</v>
      </c>
      <c r="H2134" s="73" t="s">
        <v>1163</v>
      </c>
      <c r="I2134" s="243" t="s">
        <v>1167</v>
      </c>
      <c r="J2134" s="67">
        <v>111.01</v>
      </c>
      <c r="K2134" s="242"/>
      <c r="L2134" s="243"/>
      <c r="M2134" s="244">
        <v>90000</v>
      </c>
      <c r="N2134" s="244"/>
      <c r="O2134" s="61"/>
      <c r="P2134" s="69" t="str">
        <f t="shared" si="145"/>
        <v>BNI IDR 768</v>
      </c>
      <c r="Q2134" s="61"/>
    </row>
    <row r="2135" spans="1:17" hidden="1" x14ac:dyDescent="0.25">
      <c r="A2135" s="60" t="str">
        <f t="shared" si="143"/>
        <v>256111,01</v>
      </c>
      <c r="B2135" s="60">
        <f>COUNTIF($J$7:J2135,J2135)</f>
        <v>256</v>
      </c>
      <c r="C2135" s="60" t="str">
        <f t="shared" si="144"/>
        <v>0</v>
      </c>
      <c r="D2135" s="60">
        <f>COUNTIF($K$7:K2135,K2135)</f>
        <v>0</v>
      </c>
      <c r="E2135" s="61"/>
      <c r="F2135" s="232">
        <v>44609</v>
      </c>
      <c r="G2135" s="72" t="s">
        <v>149</v>
      </c>
      <c r="H2135" s="73" t="s">
        <v>1168</v>
      </c>
      <c r="I2135" s="243" t="s">
        <v>1169</v>
      </c>
      <c r="J2135" s="67">
        <v>111.01</v>
      </c>
      <c r="K2135" s="65"/>
      <c r="L2135" s="222">
        <v>37551451</v>
      </c>
      <c r="M2135" s="223"/>
      <c r="N2135" s="223"/>
      <c r="O2135" s="61"/>
      <c r="P2135" s="69" t="str">
        <f t="shared" si="145"/>
        <v>BNI IDR 768</v>
      </c>
      <c r="Q2135" s="61"/>
    </row>
    <row r="2136" spans="1:17" hidden="1" x14ac:dyDescent="0.25">
      <c r="A2136" s="60" t="str">
        <f t="shared" si="143"/>
        <v>446112</v>
      </c>
      <c r="B2136" s="60">
        <f>COUNTIF($J$7:J2136,J2136)</f>
        <v>446</v>
      </c>
      <c r="C2136" s="60" t="str">
        <f t="shared" si="144"/>
        <v>75112,4</v>
      </c>
      <c r="D2136" s="60">
        <f>COUNTIF($K$7:K2136,K2136)</f>
        <v>75</v>
      </c>
      <c r="E2136" s="61"/>
      <c r="F2136" s="232">
        <v>44609</v>
      </c>
      <c r="G2136" s="164" t="s">
        <v>149</v>
      </c>
      <c r="H2136" s="73" t="s">
        <v>1168</v>
      </c>
      <c r="I2136" s="243" t="s">
        <v>1169</v>
      </c>
      <c r="J2136" s="64">
        <v>112</v>
      </c>
      <c r="K2136" s="80">
        <v>112.4</v>
      </c>
      <c r="L2136" s="224"/>
      <c r="M2136" s="223">
        <v>37551451</v>
      </c>
      <c r="N2136" s="223"/>
      <c r="O2136" s="61"/>
      <c r="P2136" s="69" t="str">
        <f t="shared" si="145"/>
        <v>Piutang Usaha</v>
      </c>
      <c r="Q2136" s="61"/>
    </row>
    <row r="2137" spans="1:17" hidden="1" x14ac:dyDescent="0.25">
      <c r="A2137" s="60" t="str">
        <f t="shared" si="143"/>
        <v>45119</v>
      </c>
      <c r="B2137" s="60">
        <f>COUNTIF($J$7:J2137,J2137)</f>
        <v>45</v>
      </c>
      <c r="C2137" s="60" t="str">
        <f t="shared" si="144"/>
        <v>16119,02</v>
      </c>
      <c r="D2137" s="60">
        <f>COUNTIF($K$7:K2137,K2137)</f>
        <v>16</v>
      </c>
      <c r="E2137" s="61"/>
      <c r="F2137" s="239">
        <v>44613.56</v>
      </c>
      <c r="G2137" s="72" t="s">
        <v>149</v>
      </c>
      <c r="H2137" s="73" t="s">
        <v>1170</v>
      </c>
      <c r="I2137" s="243" t="s">
        <v>1171</v>
      </c>
      <c r="J2137" s="76">
        <v>119</v>
      </c>
      <c r="K2137" s="75">
        <v>119.02</v>
      </c>
      <c r="L2137" s="224">
        <v>2000000</v>
      </c>
      <c r="M2137" s="223"/>
      <c r="N2137" s="223"/>
      <c r="O2137" s="61"/>
      <c r="P2137" s="69" t="str">
        <f t="shared" si="145"/>
        <v>Uang Muka Biaya Pengiriman dan Perjalanan Dinas Marketing</v>
      </c>
      <c r="Q2137" s="61"/>
    </row>
    <row r="2138" spans="1:17" hidden="1" x14ac:dyDescent="0.25">
      <c r="A2138" s="60" t="str">
        <f t="shared" si="143"/>
        <v>46119</v>
      </c>
      <c r="B2138" s="60">
        <f>COUNTIF($J$7:J2138,J2138)</f>
        <v>46</v>
      </c>
      <c r="C2138" s="60" t="str">
        <f t="shared" si="144"/>
        <v>17119,02</v>
      </c>
      <c r="D2138" s="60">
        <f>COUNTIF($K$7:K2138,K2138)</f>
        <v>17</v>
      </c>
      <c r="E2138" s="61"/>
      <c r="F2138" s="239">
        <v>44613.56</v>
      </c>
      <c r="G2138" s="72" t="s">
        <v>149</v>
      </c>
      <c r="H2138" s="73" t="s">
        <v>1172</v>
      </c>
      <c r="I2138" s="243" t="s">
        <v>1173</v>
      </c>
      <c r="J2138" s="76">
        <v>119</v>
      </c>
      <c r="K2138" s="75">
        <v>119.02</v>
      </c>
      <c r="L2138" s="224">
        <v>600000</v>
      </c>
      <c r="M2138" s="223"/>
      <c r="N2138" s="223"/>
      <c r="O2138" s="61"/>
      <c r="P2138" s="69" t="str">
        <f t="shared" si="145"/>
        <v>Uang Muka Biaya Pengiriman dan Perjalanan Dinas Marketing</v>
      </c>
      <c r="Q2138" s="61"/>
    </row>
    <row r="2139" spans="1:17" hidden="1" x14ac:dyDescent="0.25">
      <c r="A2139" s="60" t="str">
        <f t="shared" si="143"/>
        <v>8610,06</v>
      </c>
      <c r="B2139" s="60">
        <f>COUNTIF($J$7:J2139,J2139)</f>
        <v>8</v>
      </c>
      <c r="C2139" s="60" t="str">
        <f t="shared" si="144"/>
        <v>0</v>
      </c>
      <c r="D2139" s="60">
        <f>COUNTIF($K$7:K2139,K2139)</f>
        <v>0</v>
      </c>
      <c r="E2139" s="61"/>
      <c r="F2139" s="239">
        <v>44613.560011574074</v>
      </c>
      <c r="G2139" s="72" t="s">
        <v>149</v>
      </c>
      <c r="H2139" s="73" t="s">
        <v>1174</v>
      </c>
      <c r="I2139" s="243" t="s">
        <v>1175</v>
      </c>
      <c r="J2139" s="221">
        <v>610.05999999999995</v>
      </c>
      <c r="K2139" s="242"/>
      <c r="L2139" s="224">
        <v>204000</v>
      </c>
      <c r="M2139" s="223"/>
      <c r="N2139" s="223"/>
      <c r="O2139" s="61"/>
      <c r="P2139" s="69" t="str">
        <f t="shared" si="145"/>
        <v>Biaya Telp, Pulsa  &amp; Internet</v>
      </c>
      <c r="Q2139" s="61"/>
    </row>
    <row r="2140" spans="1:17" hidden="1" x14ac:dyDescent="0.25">
      <c r="A2140" s="60" t="str">
        <f t="shared" si="143"/>
        <v>59220,03</v>
      </c>
      <c r="B2140" s="60">
        <f>COUNTIF($J$7:J2140,J2140)</f>
        <v>59</v>
      </c>
      <c r="C2140" s="60" t="str">
        <f t="shared" si="144"/>
        <v>0</v>
      </c>
      <c r="D2140" s="60">
        <f>COUNTIF($K$7:K2140,K2140)</f>
        <v>0</v>
      </c>
      <c r="E2140" s="61"/>
      <c r="F2140" s="239">
        <v>44613.560011574074</v>
      </c>
      <c r="G2140" s="72" t="s">
        <v>149</v>
      </c>
      <c r="H2140" s="73" t="s">
        <v>1176</v>
      </c>
      <c r="I2140" s="243" t="s">
        <v>1177</v>
      </c>
      <c r="J2140" s="235">
        <v>220.03</v>
      </c>
      <c r="K2140" s="242"/>
      <c r="L2140" s="224">
        <v>1067000</v>
      </c>
      <c r="M2140" s="223"/>
      <c r="N2140" s="223"/>
      <c r="O2140" s="61"/>
      <c r="P2140" s="69" t="str">
        <f t="shared" si="145"/>
        <v>Hutang BIaya</v>
      </c>
      <c r="Q2140" s="61"/>
    </row>
    <row r="2141" spans="1:17" hidden="1" x14ac:dyDescent="0.25">
      <c r="A2141" s="60" t="str">
        <f t="shared" si="143"/>
        <v>23610,09</v>
      </c>
      <c r="B2141" s="60">
        <f>COUNTIF($J$7:J2141,J2141)</f>
        <v>23</v>
      </c>
      <c r="C2141" s="60" t="str">
        <f t="shared" si="144"/>
        <v>0</v>
      </c>
      <c r="D2141" s="60">
        <f>COUNTIF($K$7:K2141,K2141)</f>
        <v>0</v>
      </c>
      <c r="E2141" s="61"/>
      <c r="F2141" s="239">
        <v>44613.61209490741</v>
      </c>
      <c r="G2141" s="72" t="s">
        <v>149</v>
      </c>
      <c r="H2141" s="73" t="s">
        <v>1178</v>
      </c>
      <c r="I2141" s="243" t="s">
        <v>1179</v>
      </c>
      <c r="J2141" s="221">
        <v>610.09</v>
      </c>
      <c r="K2141" s="242"/>
      <c r="L2141" s="224">
        <v>67784</v>
      </c>
      <c r="M2141" s="223"/>
      <c r="N2141" s="223"/>
      <c r="O2141" s="61"/>
      <c r="P2141" s="69" t="str">
        <f t="shared" si="145"/>
        <v>Biaya ATK &amp; Perlengkapan Kantor</v>
      </c>
      <c r="Q2141" s="61"/>
    </row>
    <row r="2142" spans="1:17" hidden="1" x14ac:dyDescent="0.25">
      <c r="A2142" s="60" t="str">
        <f t="shared" si="143"/>
        <v>24610,09</v>
      </c>
      <c r="B2142" s="60">
        <f>COUNTIF($J$7:J2142,J2142)</f>
        <v>24</v>
      </c>
      <c r="C2142" s="60" t="str">
        <f t="shared" si="144"/>
        <v>0</v>
      </c>
      <c r="D2142" s="60">
        <f>COUNTIF($K$7:K2142,K2142)</f>
        <v>0</v>
      </c>
      <c r="E2142" s="61"/>
      <c r="F2142" s="239">
        <v>44613.612118055556</v>
      </c>
      <c r="G2142" s="72" t="s">
        <v>149</v>
      </c>
      <c r="H2142" s="73" t="s">
        <v>1180</v>
      </c>
      <c r="I2142" s="243" t="s">
        <v>1181</v>
      </c>
      <c r="J2142" s="221">
        <v>610.09</v>
      </c>
      <c r="K2142" s="242"/>
      <c r="L2142" s="224">
        <v>171432</v>
      </c>
      <c r="M2142" s="223"/>
      <c r="N2142" s="223"/>
      <c r="O2142" s="61"/>
      <c r="P2142" s="69" t="str">
        <f t="shared" si="145"/>
        <v>Biaya ATK &amp; Perlengkapan Kantor</v>
      </c>
      <c r="Q2142" s="61"/>
    </row>
    <row r="2143" spans="1:17" hidden="1" x14ac:dyDescent="0.25">
      <c r="A2143" s="60" t="str">
        <f t="shared" si="143"/>
        <v>60810,01</v>
      </c>
      <c r="B2143" s="60">
        <f>COUNTIF($J$7:J2143,J2143)</f>
        <v>60</v>
      </c>
      <c r="C2143" s="60" t="str">
        <f t="shared" si="144"/>
        <v>0</v>
      </c>
      <c r="D2143" s="60">
        <f>COUNTIF($K$7:K2143,K2143)</f>
        <v>0</v>
      </c>
      <c r="E2143" s="61"/>
      <c r="F2143" s="239">
        <v>44613</v>
      </c>
      <c r="G2143" s="72" t="s">
        <v>149</v>
      </c>
      <c r="H2143" s="73" t="s">
        <v>1180</v>
      </c>
      <c r="I2143" s="243" t="s">
        <v>282</v>
      </c>
      <c r="J2143" s="67">
        <v>810.01</v>
      </c>
      <c r="K2143" s="242"/>
      <c r="L2143" s="224">
        <v>6500</v>
      </c>
      <c r="M2143" s="223"/>
      <c r="N2143" s="223"/>
      <c r="O2143" s="61"/>
      <c r="P2143" s="69" t="str">
        <f t="shared" si="145"/>
        <v>Biaya Admin Transfer dan Rek</v>
      </c>
      <c r="Q2143" s="61"/>
    </row>
    <row r="2144" spans="1:17" hidden="1" x14ac:dyDescent="0.25">
      <c r="A2144" s="60" t="str">
        <f t="shared" si="143"/>
        <v>257111,01</v>
      </c>
      <c r="B2144" s="60">
        <f>COUNTIF($J$7:J2144,J2144)</f>
        <v>257</v>
      </c>
      <c r="C2144" s="60" t="str">
        <f t="shared" si="144"/>
        <v>0</v>
      </c>
      <c r="D2144" s="60">
        <f>COUNTIF($K$7:K2144,K2144)</f>
        <v>0</v>
      </c>
      <c r="E2144" s="61"/>
      <c r="F2144" s="239">
        <v>44613.56</v>
      </c>
      <c r="G2144" s="72" t="s">
        <v>149</v>
      </c>
      <c r="H2144" s="73" t="s">
        <v>1170</v>
      </c>
      <c r="I2144" s="243" t="s">
        <v>1171</v>
      </c>
      <c r="J2144" s="67">
        <v>111.01</v>
      </c>
      <c r="K2144" s="65"/>
      <c r="L2144" s="224"/>
      <c r="M2144" s="244">
        <v>2000000</v>
      </c>
      <c r="N2144" s="244"/>
      <c r="O2144" s="61"/>
      <c r="P2144" s="69" t="str">
        <f t="shared" si="145"/>
        <v>BNI IDR 768</v>
      </c>
      <c r="Q2144" s="61"/>
    </row>
    <row r="2145" spans="1:17" hidden="1" x14ac:dyDescent="0.25">
      <c r="A2145" s="60" t="str">
        <f t="shared" si="143"/>
        <v>258111,01</v>
      </c>
      <c r="B2145" s="60">
        <f>COUNTIF($J$7:J2145,J2145)</f>
        <v>258</v>
      </c>
      <c r="C2145" s="60" t="str">
        <f t="shared" si="144"/>
        <v>0</v>
      </c>
      <c r="D2145" s="60">
        <f>COUNTIF($K$7:K2145,K2145)</f>
        <v>0</v>
      </c>
      <c r="E2145" s="61"/>
      <c r="F2145" s="239">
        <v>44613.56</v>
      </c>
      <c r="G2145" s="72" t="s">
        <v>149</v>
      </c>
      <c r="H2145" s="73" t="s">
        <v>1172</v>
      </c>
      <c r="I2145" s="243" t="s">
        <v>1173</v>
      </c>
      <c r="J2145" s="67">
        <v>111.01</v>
      </c>
      <c r="K2145" s="65"/>
      <c r="L2145" s="224"/>
      <c r="M2145" s="244">
        <v>600000</v>
      </c>
      <c r="N2145" s="244"/>
      <c r="O2145" s="61"/>
      <c r="P2145" s="69" t="str">
        <f t="shared" si="145"/>
        <v>BNI IDR 768</v>
      </c>
      <c r="Q2145" s="61"/>
    </row>
    <row r="2146" spans="1:17" hidden="1" x14ac:dyDescent="0.25">
      <c r="A2146" s="60" t="str">
        <f t="shared" si="143"/>
        <v>259111,01</v>
      </c>
      <c r="B2146" s="60">
        <f>COUNTIF($J$7:J2146,J2146)</f>
        <v>259</v>
      </c>
      <c r="C2146" s="60" t="str">
        <f t="shared" si="144"/>
        <v>0</v>
      </c>
      <c r="D2146" s="60">
        <f>COUNTIF($K$7:K2146,K2146)</f>
        <v>0</v>
      </c>
      <c r="E2146" s="61"/>
      <c r="F2146" s="239">
        <v>44613.560011574074</v>
      </c>
      <c r="G2146" s="72" t="s">
        <v>149</v>
      </c>
      <c r="H2146" s="73" t="s">
        <v>1174</v>
      </c>
      <c r="I2146" s="243" t="s">
        <v>1175</v>
      </c>
      <c r="J2146" s="67">
        <v>111.01</v>
      </c>
      <c r="K2146" s="65"/>
      <c r="L2146" s="224"/>
      <c r="M2146" s="244">
        <v>204000</v>
      </c>
      <c r="N2146" s="244"/>
      <c r="O2146" s="61"/>
      <c r="P2146" s="69" t="str">
        <f t="shared" si="145"/>
        <v>BNI IDR 768</v>
      </c>
      <c r="Q2146" s="61"/>
    </row>
    <row r="2147" spans="1:17" hidden="1" x14ac:dyDescent="0.25">
      <c r="A2147" s="60" t="str">
        <f t="shared" si="143"/>
        <v>260111,01</v>
      </c>
      <c r="B2147" s="60">
        <f>COUNTIF($J$7:J2147,J2147)</f>
        <v>260</v>
      </c>
      <c r="C2147" s="60" t="str">
        <f t="shared" si="144"/>
        <v>0</v>
      </c>
      <c r="D2147" s="60">
        <f>COUNTIF($K$7:K2147,K2147)</f>
        <v>0</v>
      </c>
      <c r="E2147" s="61"/>
      <c r="F2147" s="239">
        <v>44613.560011574074</v>
      </c>
      <c r="G2147" s="72" t="s">
        <v>149</v>
      </c>
      <c r="H2147" s="73" t="s">
        <v>1176</v>
      </c>
      <c r="I2147" s="243" t="s">
        <v>1177</v>
      </c>
      <c r="J2147" s="67">
        <v>111.01</v>
      </c>
      <c r="K2147" s="65"/>
      <c r="L2147" s="224"/>
      <c r="M2147" s="244">
        <v>1067000</v>
      </c>
      <c r="N2147" s="244"/>
      <c r="O2147" s="61"/>
      <c r="P2147" s="69" t="str">
        <f t="shared" si="145"/>
        <v>BNI IDR 768</v>
      </c>
      <c r="Q2147" s="61"/>
    </row>
    <row r="2148" spans="1:17" hidden="1" x14ac:dyDescent="0.25">
      <c r="A2148" s="60" t="str">
        <f t="shared" si="143"/>
        <v>261111,01</v>
      </c>
      <c r="B2148" s="60">
        <f>COUNTIF($J$7:J2148,J2148)</f>
        <v>261</v>
      </c>
      <c r="C2148" s="60" t="str">
        <f t="shared" si="144"/>
        <v>0</v>
      </c>
      <c r="D2148" s="60">
        <f>COUNTIF($K$7:K2148,K2148)</f>
        <v>0</v>
      </c>
      <c r="E2148" s="61"/>
      <c r="F2148" s="239">
        <v>44613.61209490741</v>
      </c>
      <c r="G2148" s="72" t="s">
        <v>149</v>
      </c>
      <c r="H2148" s="73" t="s">
        <v>1178</v>
      </c>
      <c r="I2148" s="243" t="s">
        <v>1179</v>
      </c>
      <c r="J2148" s="67">
        <v>111.01</v>
      </c>
      <c r="K2148" s="65"/>
      <c r="L2148" s="224"/>
      <c r="M2148" s="244">
        <v>67784</v>
      </c>
      <c r="N2148" s="244"/>
      <c r="O2148" s="61"/>
      <c r="P2148" s="69" t="str">
        <f t="shared" si="145"/>
        <v>BNI IDR 768</v>
      </c>
      <c r="Q2148" s="61"/>
    </row>
    <row r="2149" spans="1:17" hidden="1" x14ac:dyDescent="0.25">
      <c r="A2149" s="60" t="str">
        <f t="shared" si="143"/>
        <v>262111,01</v>
      </c>
      <c r="B2149" s="60">
        <f>COUNTIF($J$7:J2149,J2149)</f>
        <v>262</v>
      </c>
      <c r="C2149" s="60" t="str">
        <f t="shared" si="144"/>
        <v>0</v>
      </c>
      <c r="D2149" s="60">
        <f>COUNTIF($K$7:K2149,K2149)</f>
        <v>0</v>
      </c>
      <c r="E2149" s="61"/>
      <c r="F2149" s="239">
        <v>44613.612118055556</v>
      </c>
      <c r="G2149" s="72" t="s">
        <v>149</v>
      </c>
      <c r="H2149" s="73" t="s">
        <v>1180</v>
      </c>
      <c r="I2149" s="243" t="s">
        <v>1181</v>
      </c>
      <c r="J2149" s="67">
        <v>111.01</v>
      </c>
      <c r="K2149" s="65"/>
      <c r="L2149" s="224"/>
      <c r="M2149" s="244">
        <v>171432</v>
      </c>
      <c r="N2149" s="244"/>
      <c r="O2149" s="61"/>
      <c r="P2149" s="69" t="str">
        <f t="shared" si="145"/>
        <v>BNI IDR 768</v>
      </c>
      <c r="Q2149" s="61"/>
    </row>
    <row r="2150" spans="1:17" hidden="1" x14ac:dyDescent="0.25">
      <c r="A2150" s="60" t="str">
        <f t="shared" si="143"/>
        <v>263111,01</v>
      </c>
      <c r="B2150" s="60">
        <f>COUNTIF($J$7:J2150,J2150)</f>
        <v>263</v>
      </c>
      <c r="C2150" s="60" t="str">
        <f t="shared" si="144"/>
        <v>0</v>
      </c>
      <c r="D2150" s="60">
        <f>COUNTIF($K$7:K2150,K2150)</f>
        <v>0</v>
      </c>
      <c r="E2150" s="61"/>
      <c r="F2150" s="239">
        <v>44613</v>
      </c>
      <c r="G2150" s="72" t="s">
        <v>149</v>
      </c>
      <c r="H2150" s="73" t="s">
        <v>1180</v>
      </c>
      <c r="I2150" s="243" t="s">
        <v>282</v>
      </c>
      <c r="J2150" s="67">
        <v>111.01</v>
      </c>
      <c r="K2150" s="65"/>
      <c r="L2150" s="224"/>
      <c r="M2150" s="244">
        <v>6500</v>
      </c>
      <c r="N2150" s="244"/>
      <c r="O2150" s="61"/>
      <c r="P2150" s="69" t="str">
        <f t="shared" si="145"/>
        <v>BNI IDR 768</v>
      </c>
      <c r="Q2150" s="61"/>
    </row>
    <row r="2151" spans="1:17" hidden="1" x14ac:dyDescent="0.25">
      <c r="A2151" s="60" t="str">
        <f t="shared" si="143"/>
        <v>3610,16</v>
      </c>
      <c r="B2151" s="60">
        <f>COUNTIF($J$7:J2151,J2151)</f>
        <v>3</v>
      </c>
      <c r="C2151" s="60" t="str">
        <f t="shared" si="144"/>
        <v>0</v>
      </c>
      <c r="D2151" s="60">
        <f>COUNTIF($K$7:K2151,K2151)</f>
        <v>0</v>
      </c>
      <c r="E2151" s="61"/>
      <c r="F2151" s="239">
        <v>44614</v>
      </c>
      <c r="G2151" s="72" t="s">
        <v>149</v>
      </c>
      <c r="H2151" s="73" t="s">
        <v>1182</v>
      </c>
      <c r="I2151" s="243" t="s">
        <v>1183</v>
      </c>
      <c r="J2151" s="221">
        <v>610.16</v>
      </c>
      <c r="K2151" s="65"/>
      <c r="L2151" s="224">
        <v>1600000</v>
      </c>
      <c r="M2151" s="223"/>
      <c r="N2151" s="223"/>
      <c r="O2151" s="61"/>
      <c r="P2151" s="69" t="str">
        <f t="shared" si="145"/>
        <v>Biaya Perizinan &amp; Legalitas</v>
      </c>
      <c r="Q2151" s="61"/>
    </row>
    <row r="2152" spans="1:17" hidden="1" x14ac:dyDescent="0.25">
      <c r="A2152" s="60" t="str">
        <f t="shared" si="143"/>
        <v>60220,03</v>
      </c>
      <c r="B2152" s="60">
        <f>COUNTIF($J$7:J2152,J2152)</f>
        <v>60</v>
      </c>
      <c r="C2152" s="60" t="str">
        <f t="shared" si="144"/>
        <v>0</v>
      </c>
      <c r="D2152" s="60">
        <f>COUNTIF($K$7:K2152,K2152)</f>
        <v>0</v>
      </c>
      <c r="E2152" s="61"/>
      <c r="F2152" s="239">
        <v>44614</v>
      </c>
      <c r="G2152" s="72" t="s">
        <v>149</v>
      </c>
      <c r="H2152" s="73" t="s">
        <v>1184</v>
      </c>
      <c r="I2152" s="243" t="s">
        <v>1185</v>
      </c>
      <c r="J2152" s="235">
        <v>220.03</v>
      </c>
      <c r="K2152" s="65"/>
      <c r="L2152" s="224">
        <v>110000</v>
      </c>
      <c r="M2152" s="223"/>
      <c r="N2152" s="223"/>
      <c r="O2152" s="61"/>
      <c r="P2152" s="69" t="str">
        <f t="shared" si="145"/>
        <v>Hutang BIaya</v>
      </c>
      <c r="Q2152" s="61"/>
    </row>
    <row r="2153" spans="1:17" hidden="1" x14ac:dyDescent="0.25">
      <c r="A2153" s="60" t="str">
        <f t="shared" si="143"/>
        <v>264111,01</v>
      </c>
      <c r="B2153" s="60">
        <f>COUNTIF($J$7:J2153,J2153)</f>
        <v>264</v>
      </c>
      <c r="C2153" s="60" t="str">
        <f t="shared" si="144"/>
        <v>0</v>
      </c>
      <c r="D2153" s="60">
        <f>COUNTIF($K$7:K2153,K2153)</f>
        <v>0</v>
      </c>
      <c r="E2153" s="61"/>
      <c r="F2153" s="239">
        <v>44614</v>
      </c>
      <c r="G2153" s="72" t="s">
        <v>149</v>
      </c>
      <c r="H2153" s="73" t="s">
        <v>1182</v>
      </c>
      <c r="I2153" s="243" t="s">
        <v>1183</v>
      </c>
      <c r="J2153" s="67">
        <v>111.01</v>
      </c>
      <c r="K2153" s="65"/>
      <c r="L2153" s="243"/>
      <c r="M2153" s="223">
        <v>1600000</v>
      </c>
      <c r="N2153" s="223"/>
      <c r="O2153" s="61"/>
      <c r="P2153" s="69" t="str">
        <f t="shared" si="145"/>
        <v>BNI IDR 768</v>
      </c>
      <c r="Q2153" s="61"/>
    </row>
    <row r="2154" spans="1:17" hidden="1" x14ac:dyDescent="0.25">
      <c r="A2154" s="60" t="str">
        <f t="shared" si="143"/>
        <v>265111,01</v>
      </c>
      <c r="B2154" s="60">
        <f>COUNTIF($J$7:J2154,J2154)</f>
        <v>265</v>
      </c>
      <c r="C2154" s="60" t="str">
        <f t="shared" si="144"/>
        <v>0</v>
      </c>
      <c r="D2154" s="60">
        <f>COUNTIF($K$7:K2154,K2154)</f>
        <v>0</v>
      </c>
      <c r="E2154" s="61"/>
      <c r="F2154" s="239">
        <v>44614</v>
      </c>
      <c r="G2154" s="72" t="s">
        <v>149</v>
      </c>
      <c r="H2154" s="73" t="s">
        <v>1184</v>
      </c>
      <c r="I2154" s="243" t="s">
        <v>1185</v>
      </c>
      <c r="J2154" s="67">
        <v>111.01</v>
      </c>
      <c r="K2154" s="65"/>
      <c r="L2154" s="243"/>
      <c r="M2154" s="223">
        <v>110000</v>
      </c>
      <c r="N2154" s="223"/>
      <c r="O2154" s="61"/>
      <c r="P2154" s="69" t="str">
        <f t="shared" si="145"/>
        <v>BNI IDR 768</v>
      </c>
      <c r="Q2154" s="61"/>
    </row>
    <row r="2155" spans="1:17" hidden="1" x14ac:dyDescent="0.25">
      <c r="A2155" s="60" t="str">
        <f t="shared" si="143"/>
        <v>266111,01</v>
      </c>
      <c r="B2155" s="60">
        <f>COUNTIF($J$7:J2155,J2155)</f>
        <v>266</v>
      </c>
      <c r="C2155" s="60" t="str">
        <f t="shared" si="144"/>
        <v>0</v>
      </c>
      <c r="D2155" s="60">
        <f>COUNTIF($K$7:K2155,K2155)</f>
        <v>0</v>
      </c>
      <c r="E2155" s="61"/>
      <c r="F2155" s="239">
        <v>44614</v>
      </c>
      <c r="G2155" s="72" t="s">
        <v>149</v>
      </c>
      <c r="H2155" s="73" t="s">
        <v>1186</v>
      </c>
      <c r="I2155" s="243" t="s">
        <v>1187</v>
      </c>
      <c r="J2155" s="67">
        <v>111.01</v>
      </c>
      <c r="K2155" s="65"/>
      <c r="L2155" s="224">
        <v>100000000</v>
      </c>
      <c r="M2155" s="223"/>
      <c r="N2155" s="223"/>
      <c r="O2155" s="61"/>
      <c r="P2155" s="69" t="str">
        <f t="shared" si="145"/>
        <v>BNI IDR 768</v>
      </c>
      <c r="Q2155" s="61"/>
    </row>
    <row r="2156" spans="1:17" hidden="1" x14ac:dyDescent="0.25">
      <c r="A2156" s="60" t="str">
        <f t="shared" si="143"/>
        <v>447112</v>
      </c>
      <c r="B2156" s="60">
        <f>COUNTIF($J$7:J2156,J2156)</f>
        <v>447</v>
      </c>
      <c r="C2156" s="60" t="str">
        <f t="shared" si="144"/>
        <v>7112,11</v>
      </c>
      <c r="D2156" s="60">
        <f>COUNTIF($K$7:K2156,K2156)</f>
        <v>7</v>
      </c>
      <c r="E2156" s="61"/>
      <c r="F2156" s="239">
        <v>44614</v>
      </c>
      <c r="G2156" s="164" t="s">
        <v>149</v>
      </c>
      <c r="H2156" s="73" t="s">
        <v>1186</v>
      </c>
      <c r="I2156" s="243" t="s">
        <v>1187</v>
      </c>
      <c r="J2156" s="64">
        <v>112</v>
      </c>
      <c r="K2156" s="80">
        <v>112.11</v>
      </c>
      <c r="L2156" s="224"/>
      <c r="M2156" s="223">
        <v>100000000</v>
      </c>
      <c r="N2156" s="223"/>
      <c r="O2156" s="61"/>
      <c r="P2156" s="69" t="str">
        <f t="shared" si="145"/>
        <v>Piutang Usaha</v>
      </c>
      <c r="Q2156" s="61"/>
    </row>
    <row r="2157" spans="1:17" hidden="1" x14ac:dyDescent="0.25">
      <c r="A2157" s="60" t="str">
        <f t="shared" si="143"/>
        <v>12512,03</v>
      </c>
      <c r="B2157" s="60">
        <f>COUNTIF($J$7:J2157,J2157)</f>
        <v>12</v>
      </c>
      <c r="C2157" s="60" t="str">
        <f t="shared" si="144"/>
        <v>0</v>
      </c>
      <c r="D2157" s="60">
        <f>COUNTIF($K$7:K2157,K2157)</f>
        <v>0</v>
      </c>
      <c r="E2157" s="61"/>
      <c r="F2157" s="239">
        <v>44616</v>
      </c>
      <c r="G2157" s="72" t="s">
        <v>149</v>
      </c>
      <c r="H2157" s="73" t="s">
        <v>1188</v>
      </c>
      <c r="I2157" s="243" t="s">
        <v>1189</v>
      </c>
      <c r="J2157" s="238">
        <v>512.03</v>
      </c>
      <c r="K2157" s="65"/>
      <c r="L2157" s="224">
        <v>250000</v>
      </c>
      <c r="M2157" s="223"/>
      <c r="N2157" s="223"/>
      <c r="O2157" s="61"/>
      <c r="P2157" s="69" t="str">
        <f t="shared" si="145"/>
        <v>Beban Gasoline Marketing (Bensin, Parkir, Tol)</v>
      </c>
      <c r="Q2157" s="61"/>
    </row>
    <row r="2158" spans="1:17" hidden="1" x14ac:dyDescent="0.25">
      <c r="A2158" s="60" t="str">
        <f t="shared" si="143"/>
        <v>1610,21</v>
      </c>
      <c r="B2158" s="60">
        <f>COUNTIF($J$7:J2158,J2158)</f>
        <v>1</v>
      </c>
      <c r="C2158" s="60" t="str">
        <f t="shared" si="144"/>
        <v>0</v>
      </c>
      <c r="D2158" s="60">
        <f>COUNTIF($K$7:K2158,K2158)</f>
        <v>0</v>
      </c>
      <c r="E2158" s="61"/>
      <c r="F2158" s="239">
        <v>44616</v>
      </c>
      <c r="G2158" s="72" t="s">
        <v>149</v>
      </c>
      <c r="H2158" s="73" t="s">
        <v>1190</v>
      </c>
      <c r="I2158" s="243" t="s">
        <v>1191</v>
      </c>
      <c r="J2158" s="221">
        <v>610.21</v>
      </c>
      <c r="K2158" s="65"/>
      <c r="L2158" s="224">
        <v>223300</v>
      </c>
      <c r="M2158" s="223"/>
      <c r="N2158" s="223"/>
      <c r="O2158" s="61"/>
      <c r="P2158" s="69" t="str">
        <f t="shared" si="145"/>
        <v>Biaya Kebersamaan Karyawan/Gathering</v>
      </c>
      <c r="Q2158" s="61"/>
    </row>
    <row r="2159" spans="1:17" hidden="1" x14ac:dyDescent="0.25">
      <c r="A2159" s="60" t="str">
        <f t="shared" si="143"/>
        <v>4610,01</v>
      </c>
      <c r="B2159" s="60">
        <f>COUNTIF($J$7:J2159,J2159)</f>
        <v>4</v>
      </c>
      <c r="C2159" s="60" t="str">
        <f t="shared" si="144"/>
        <v>0</v>
      </c>
      <c r="D2159" s="60">
        <f>COUNTIF($K$7:K2159,K2159)</f>
        <v>0</v>
      </c>
      <c r="E2159" s="61"/>
      <c r="F2159" s="239">
        <v>44616</v>
      </c>
      <c r="G2159" s="72" t="s">
        <v>149</v>
      </c>
      <c r="H2159" s="73" t="s">
        <v>1192</v>
      </c>
      <c r="I2159" s="243" t="s">
        <v>1193</v>
      </c>
      <c r="J2159" s="67">
        <v>610.01</v>
      </c>
      <c r="K2159" s="65"/>
      <c r="L2159" s="224">
        <v>2000000</v>
      </c>
      <c r="M2159" s="223"/>
      <c r="N2159" s="223"/>
      <c r="O2159" s="61"/>
      <c r="P2159" s="69" t="str">
        <f t="shared" si="145"/>
        <v>Biaya Gaji, Upah &amp; Honorer</v>
      </c>
      <c r="Q2159" s="61"/>
    </row>
    <row r="2160" spans="1:17" hidden="1" x14ac:dyDescent="0.25">
      <c r="A2160" s="60" t="str">
        <f t="shared" si="143"/>
        <v>13512,03</v>
      </c>
      <c r="B2160" s="60">
        <f>COUNTIF($J$7:J2160,J2160)</f>
        <v>13</v>
      </c>
      <c r="C2160" s="60" t="str">
        <f t="shared" si="144"/>
        <v>0</v>
      </c>
      <c r="D2160" s="60">
        <f>COUNTIF($K$7:K2160,K2160)</f>
        <v>0</v>
      </c>
      <c r="E2160" s="61"/>
      <c r="F2160" s="239">
        <v>44616</v>
      </c>
      <c r="G2160" s="72" t="s">
        <v>149</v>
      </c>
      <c r="H2160" s="73" t="s">
        <v>1194</v>
      </c>
      <c r="I2160" s="243" t="s">
        <v>1195</v>
      </c>
      <c r="J2160" s="238">
        <v>512.03</v>
      </c>
      <c r="K2160" s="65"/>
      <c r="L2160" s="224">
        <v>400000</v>
      </c>
      <c r="M2160" s="223"/>
      <c r="N2160" s="223"/>
      <c r="O2160" s="61"/>
      <c r="P2160" s="69" t="str">
        <f t="shared" si="145"/>
        <v>Beban Gasoline Marketing (Bensin, Parkir, Tol)</v>
      </c>
      <c r="Q2160" s="61"/>
    </row>
    <row r="2161" spans="1:17" hidden="1" x14ac:dyDescent="0.25">
      <c r="A2161" s="60" t="str">
        <f t="shared" si="143"/>
        <v>5610,01</v>
      </c>
      <c r="B2161" s="60">
        <f>COUNTIF($J$7:J2161,J2161)</f>
        <v>5</v>
      </c>
      <c r="C2161" s="60" t="str">
        <f t="shared" si="144"/>
        <v>0</v>
      </c>
      <c r="D2161" s="60">
        <f>COUNTIF($K$7:K2161,K2161)</f>
        <v>0</v>
      </c>
      <c r="E2161" s="61"/>
      <c r="F2161" s="239">
        <v>44616</v>
      </c>
      <c r="G2161" s="72" t="s">
        <v>149</v>
      </c>
      <c r="H2161" s="73" t="s">
        <v>1196</v>
      </c>
      <c r="I2161" s="243" t="s">
        <v>1197</v>
      </c>
      <c r="J2161" s="67">
        <v>610.01</v>
      </c>
      <c r="K2161" s="65"/>
      <c r="L2161" s="224">
        <v>6000000</v>
      </c>
      <c r="M2161" s="223"/>
      <c r="N2161" s="223"/>
      <c r="O2161" s="61"/>
      <c r="P2161" s="69" t="str">
        <f t="shared" si="145"/>
        <v>Biaya Gaji, Upah &amp; Honorer</v>
      </c>
      <c r="Q2161" s="61"/>
    </row>
    <row r="2162" spans="1:17" hidden="1" x14ac:dyDescent="0.25">
      <c r="A2162" s="60" t="str">
        <f t="shared" si="143"/>
        <v>6610,01</v>
      </c>
      <c r="B2162" s="60">
        <f>COUNTIF($J$7:J2162,J2162)</f>
        <v>6</v>
      </c>
      <c r="C2162" s="60" t="str">
        <f t="shared" si="144"/>
        <v>0</v>
      </c>
      <c r="D2162" s="60">
        <f>COUNTIF($K$7:K2162,K2162)</f>
        <v>0</v>
      </c>
      <c r="E2162" s="61"/>
      <c r="F2162" s="239">
        <v>44616</v>
      </c>
      <c r="G2162" s="72" t="s">
        <v>149</v>
      </c>
      <c r="H2162" s="73" t="s">
        <v>1198</v>
      </c>
      <c r="I2162" s="243" t="s">
        <v>1199</v>
      </c>
      <c r="J2162" s="67">
        <v>610.01</v>
      </c>
      <c r="K2162" s="65"/>
      <c r="L2162" s="224">
        <v>73033092</v>
      </c>
      <c r="M2162" s="223"/>
      <c r="N2162" s="223"/>
      <c r="O2162" s="61"/>
      <c r="P2162" s="69" t="str">
        <f t="shared" si="145"/>
        <v>Biaya Gaji, Upah &amp; Honorer</v>
      </c>
      <c r="Q2162" s="61"/>
    </row>
    <row r="2163" spans="1:17" hidden="1" x14ac:dyDescent="0.25">
      <c r="A2163" s="60" t="str">
        <f t="shared" si="143"/>
        <v>7610,01</v>
      </c>
      <c r="B2163" s="60">
        <f>COUNTIF($J$7:J2163,J2163)</f>
        <v>7</v>
      </c>
      <c r="C2163" s="60" t="str">
        <f t="shared" si="144"/>
        <v>0</v>
      </c>
      <c r="D2163" s="60">
        <f>COUNTIF($K$7:K2163,K2163)</f>
        <v>0</v>
      </c>
      <c r="E2163" s="61"/>
      <c r="F2163" s="239">
        <v>44617</v>
      </c>
      <c r="G2163" s="72" t="s">
        <v>149</v>
      </c>
      <c r="H2163" s="73" t="s">
        <v>1200</v>
      </c>
      <c r="I2163" s="243" t="s">
        <v>1201</v>
      </c>
      <c r="J2163" s="67">
        <v>610.01</v>
      </c>
      <c r="K2163" s="65"/>
      <c r="L2163" s="224">
        <v>9875300</v>
      </c>
      <c r="M2163" s="223"/>
      <c r="N2163" s="223"/>
      <c r="O2163" s="61"/>
      <c r="P2163" s="69" t="str">
        <f t="shared" si="145"/>
        <v>Biaya Gaji, Upah &amp; Honorer</v>
      </c>
      <c r="Q2163" s="61"/>
    </row>
    <row r="2164" spans="1:17" hidden="1" x14ac:dyDescent="0.25">
      <c r="A2164" s="60" t="str">
        <f t="shared" si="143"/>
        <v>267111,01</v>
      </c>
      <c r="B2164" s="60">
        <f>COUNTIF($J$7:J2164,J2164)</f>
        <v>267</v>
      </c>
      <c r="C2164" s="60" t="str">
        <f t="shared" si="144"/>
        <v>0</v>
      </c>
      <c r="D2164" s="60">
        <f>COUNTIF($K$7:K2164,K2164)</f>
        <v>0</v>
      </c>
      <c r="E2164" s="61"/>
      <c r="F2164" s="239">
        <v>44616</v>
      </c>
      <c r="G2164" s="72" t="s">
        <v>149</v>
      </c>
      <c r="H2164" s="73" t="s">
        <v>1188</v>
      </c>
      <c r="I2164" s="243" t="s">
        <v>1189</v>
      </c>
      <c r="J2164" s="67">
        <v>111.01</v>
      </c>
      <c r="K2164" s="65"/>
      <c r="L2164" s="243"/>
      <c r="M2164" s="223">
        <v>250000</v>
      </c>
      <c r="N2164" s="223"/>
      <c r="O2164" s="61"/>
      <c r="P2164" s="69" t="str">
        <f t="shared" si="145"/>
        <v>BNI IDR 768</v>
      </c>
      <c r="Q2164" s="61"/>
    </row>
    <row r="2165" spans="1:17" hidden="1" x14ac:dyDescent="0.25">
      <c r="A2165" s="60" t="str">
        <f t="shared" si="143"/>
        <v>268111,01</v>
      </c>
      <c r="B2165" s="60">
        <f>COUNTIF($J$7:J2165,J2165)</f>
        <v>268</v>
      </c>
      <c r="C2165" s="60" t="str">
        <f t="shared" si="144"/>
        <v>0</v>
      </c>
      <c r="D2165" s="60">
        <f>COUNTIF($K$7:K2165,K2165)</f>
        <v>0</v>
      </c>
      <c r="E2165" s="61"/>
      <c r="F2165" s="239">
        <v>44616</v>
      </c>
      <c r="G2165" s="72" t="s">
        <v>149</v>
      </c>
      <c r="H2165" s="73" t="s">
        <v>1190</v>
      </c>
      <c r="I2165" s="243" t="s">
        <v>1191</v>
      </c>
      <c r="J2165" s="67">
        <v>111.01</v>
      </c>
      <c r="K2165" s="65"/>
      <c r="L2165" s="243"/>
      <c r="M2165" s="223">
        <v>223300</v>
      </c>
      <c r="N2165" s="223"/>
      <c r="O2165" s="61"/>
      <c r="P2165" s="69" t="str">
        <f t="shared" si="145"/>
        <v>BNI IDR 768</v>
      </c>
      <c r="Q2165" s="61"/>
    </row>
    <row r="2166" spans="1:17" hidden="1" x14ac:dyDescent="0.25">
      <c r="A2166" s="60" t="str">
        <f t="shared" si="143"/>
        <v>269111,01</v>
      </c>
      <c r="B2166" s="60">
        <f>COUNTIF($J$7:J2166,J2166)</f>
        <v>269</v>
      </c>
      <c r="C2166" s="60" t="str">
        <f t="shared" si="144"/>
        <v>0</v>
      </c>
      <c r="D2166" s="60">
        <f>COUNTIF($K$7:K2166,K2166)</f>
        <v>0</v>
      </c>
      <c r="E2166" s="61"/>
      <c r="F2166" s="239">
        <v>44616</v>
      </c>
      <c r="G2166" s="72" t="s">
        <v>149</v>
      </c>
      <c r="H2166" s="73" t="s">
        <v>1192</v>
      </c>
      <c r="I2166" s="243" t="s">
        <v>1193</v>
      </c>
      <c r="J2166" s="67">
        <v>111.01</v>
      </c>
      <c r="K2166" s="65"/>
      <c r="L2166" s="243"/>
      <c r="M2166" s="223">
        <v>2000000</v>
      </c>
      <c r="N2166" s="223"/>
      <c r="O2166" s="61"/>
      <c r="P2166" s="69" t="str">
        <f t="shared" si="145"/>
        <v>BNI IDR 768</v>
      </c>
      <c r="Q2166" s="61"/>
    </row>
    <row r="2167" spans="1:17" hidden="1" x14ac:dyDescent="0.25">
      <c r="A2167" s="60" t="str">
        <f t="shared" si="143"/>
        <v>270111,01</v>
      </c>
      <c r="B2167" s="60">
        <f>COUNTIF($J$7:J2167,J2167)</f>
        <v>270</v>
      </c>
      <c r="C2167" s="60" t="str">
        <f t="shared" si="144"/>
        <v>0</v>
      </c>
      <c r="D2167" s="60">
        <f>COUNTIF($K$7:K2167,K2167)</f>
        <v>0</v>
      </c>
      <c r="E2167" s="61"/>
      <c r="F2167" s="239">
        <v>44616</v>
      </c>
      <c r="G2167" s="72" t="s">
        <v>149</v>
      </c>
      <c r="H2167" s="73" t="s">
        <v>1194</v>
      </c>
      <c r="I2167" s="243" t="s">
        <v>1195</v>
      </c>
      <c r="J2167" s="67">
        <v>111.01</v>
      </c>
      <c r="K2167" s="65"/>
      <c r="L2167" s="243"/>
      <c r="M2167" s="223">
        <v>400000</v>
      </c>
      <c r="N2167" s="223"/>
      <c r="O2167" s="61"/>
      <c r="P2167" s="69" t="str">
        <f t="shared" si="145"/>
        <v>BNI IDR 768</v>
      </c>
      <c r="Q2167" s="61"/>
    </row>
    <row r="2168" spans="1:17" hidden="1" x14ac:dyDescent="0.25">
      <c r="A2168" s="60" t="str">
        <f t="shared" si="143"/>
        <v>271111,01</v>
      </c>
      <c r="B2168" s="60">
        <f>COUNTIF($J$7:J2168,J2168)</f>
        <v>271</v>
      </c>
      <c r="C2168" s="60" t="str">
        <f t="shared" si="144"/>
        <v>0</v>
      </c>
      <c r="D2168" s="60">
        <f>COUNTIF($K$7:K2168,K2168)</f>
        <v>0</v>
      </c>
      <c r="E2168" s="61"/>
      <c r="F2168" s="239">
        <v>44616</v>
      </c>
      <c r="G2168" s="72" t="s">
        <v>149</v>
      </c>
      <c r="H2168" s="73" t="s">
        <v>1196</v>
      </c>
      <c r="I2168" s="243" t="s">
        <v>1197</v>
      </c>
      <c r="J2168" s="67">
        <v>111.01</v>
      </c>
      <c r="K2168" s="65"/>
      <c r="L2168" s="243"/>
      <c r="M2168" s="223">
        <v>6000000</v>
      </c>
      <c r="N2168" s="223"/>
      <c r="O2168" s="61"/>
      <c r="P2168" s="69" t="str">
        <f t="shared" si="145"/>
        <v>BNI IDR 768</v>
      </c>
      <c r="Q2168" s="61"/>
    </row>
    <row r="2169" spans="1:17" hidden="1" x14ac:dyDescent="0.25">
      <c r="A2169" s="60" t="str">
        <f t="shared" si="143"/>
        <v>272111,01</v>
      </c>
      <c r="B2169" s="60">
        <f>COUNTIF($J$7:J2169,J2169)</f>
        <v>272</v>
      </c>
      <c r="C2169" s="60" t="str">
        <f t="shared" si="144"/>
        <v>0</v>
      </c>
      <c r="D2169" s="60">
        <f>COUNTIF($K$7:K2169,K2169)</f>
        <v>0</v>
      </c>
      <c r="E2169" s="61"/>
      <c r="F2169" s="239">
        <v>44616</v>
      </c>
      <c r="G2169" s="72" t="s">
        <v>149</v>
      </c>
      <c r="H2169" s="73" t="s">
        <v>1198</v>
      </c>
      <c r="I2169" s="243" t="s">
        <v>1199</v>
      </c>
      <c r="J2169" s="67">
        <v>111.01</v>
      </c>
      <c r="K2169" s="65"/>
      <c r="L2169" s="243"/>
      <c r="M2169" s="223">
        <v>73033092</v>
      </c>
      <c r="N2169" s="223"/>
      <c r="O2169" s="61"/>
      <c r="P2169" s="69" t="str">
        <f t="shared" si="145"/>
        <v>BNI IDR 768</v>
      </c>
      <c r="Q2169" s="61"/>
    </row>
    <row r="2170" spans="1:17" hidden="1" x14ac:dyDescent="0.25">
      <c r="A2170" s="60" t="str">
        <f t="shared" si="143"/>
        <v>273111,01</v>
      </c>
      <c r="B2170" s="60">
        <f>COUNTIF($J$7:J2170,J2170)</f>
        <v>273</v>
      </c>
      <c r="C2170" s="60" t="str">
        <f t="shared" si="144"/>
        <v>0</v>
      </c>
      <c r="D2170" s="60">
        <f>COUNTIF($K$7:K2170,K2170)</f>
        <v>0</v>
      </c>
      <c r="E2170" s="61"/>
      <c r="F2170" s="239">
        <v>44617</v>
      </c>
      <c r="G2170" s="72" t="s">
        <v>149</v>
      </c>
      <c r="H2170" s="73" t="s">
        <v>1200</v>
      </c>
      <c r="I2170" s="243" t="s">
        <v>1201</v>
      </c>
      <c r="J2170" s="67">
        <v>111.01</v>
      </c>
      <c r="K2170" s="65"/>
      <c r="L2170" s="243"/>
      <c r="M2170" s="223">
        <v>9875300</v>
      </c>
      <c r="N2170" s="223"/>
      <c r="O2170" s="61"/>
      <c r="P2170" s="69" t="str">
        <f t="shared" si="145"/>
        <v>BNI IDR 768</v>
      </c>
      <c r="Q2170" s="61"/>
    </row>
    <row r="2171" spans="1:17" hidden="1" x14ac:dyDescent="0.25">
      <c r="A2171" s="60" t="str">
        <f t="shared" si="143"/>
        <v>367211,01</v>
      </c>
      <c r="B2171" s="60">
        <f>COUNTIF($J$7:J2171,J2171)</f>
        <v>367</v>
      </c>
      <c r="C2171" s="60" t="str">
        <f t="shared" si="144"/>
        <v>0</v>
      </c>
      <c r="D2171" s="60">
        <f>COUNTIF($K$7:K2171,K2171)</f>
        <v>0</v>
      </c>
      <c r="E2171" s="61"/>
      <c r="F2171" s="239">
        <v>44617</v>
      </c>
      <c r="G2171" s="72"/>
      <c r="H2171" s="73" t="s">
        <v>1202</v>
      </c>
      <c r="I2171" s="243" t="s">
        <v>1203</v>
      </c>
      <c r="J2171" s="67">
        <v>211.01</v>
      </c>
      <c r="K2171" s="65"/>
      <c r="L2171" s="224">
        <v>5040000</v>
      </c>
      <c r="M2171" s="223"/>
      <c r="N2171" s="223"/>
      <c r="O2171" s="61"/>
      <c r="P2171" s="69" t="str">
        <f t="shared" si="145"/>
        <v>Hutang Pajak PPN</v>
      </c>
      <c r="Q2171" s="61"/>
    </row>
    <row r="2172" spans="1:17" hidden="1" x14ac:dyDescent="0.25">
      <c r="A2172" s="60" t="str">
        <f t="shared" si="143"/>
        <v>61220,03</v>
      </c>
      <c r="B2172" s="60">
        <f>COUNTIF($J$7:J2172,J2172)</f>
        <v>61</v>
      </c>
      <c r="C2172" s="60" t="str">
        <f t="shared" si="144"/>
        <v>0</v>
      </c>
      <c r="D2172" s="60">
        <f>COUNTIF($K$7:K2172,K2172)</f>
        <v>0</v>
      </c>
      <c r="E2172" s="61"/>
      <c r="F2172" s="239">
        <v>44617</v>
      </c>
      <c r="G2172" s="72"/>
      <c r="H2172" s="73" t="s">
        <v>1204</v>
      </c>
      <c r="I2172" s="243" t="s">
        <v>1205</v>
      </c>
      <c r="J2172" s="235">
        <v>220.03</v>
      </c>
      <c r="K2172" s="65"/>
      <c r="L2172" s="224">
        <f>11509400+2000000</f>
        <v>13509400</v>
      </c>
      <c r="M2172" s="223"/>
      <c r="N2172" s="223"/>
      <c r="O2172" s="61"/>
      <c r="P2172" s="69" t="str">
        <f t="shared" si="145"/>
        <v>Hutang BIaya</v>
      </c>
      <c r="Q2172" s="61"/>
    </row>
    <row r="2173" spans="1:17" hidden="1" x14ac:dyDescent="0.25">
      <c r="A2173" s="60" t="str">
        <f t="shared" si="143"/>
        <v>61810,01</v>
      </c>
      <c r="B2173" s="60">
        <f>COUNTIF($J$7:J2173,J2173)</f>
        <v>61</v>
      </c>
      <c r="C2173" s="60" t="str">
        <f t="shared" si="144"/>
        <v>0</v>
      </c>
      <c r="D2173" s="60">
        <f>COUNTIF($K$7:K2173,K2173)</f>
        <v>0</v>
      </c>
      <c r="E2173" s="61"/>
      <c r="F2173" s="239">
        <v>44617</v>
      </c>
      <c r="G2173" s="72"/>
      <c r="H2173" s="73" t="s">
        <v>1204</v>
      </c>
      <c r="I2173" s="243" t="s">
        <v>1206</v>
      </c>
      <c r="J2173" s="64">
        <v>810.01</v>
      </c>
      <c r="K2173" s="65"/>
      <c r="L2173" s="224">
        <v>6500</v>
      </c>
      <c r="M2173" s="223"/>
      <c r="N2173" s="223"/>
      <c r="O2173" s="61"/>
      <c r="P2173" s="69" t="str">
        <f t="shared" si="145"/>
        <v>Biaya Admin Transfer dan Rek</v>
      </c>
      <c r="Q2173" s="61"/>
    </row>
    <row r="2174" spans="1:17" hidden="1" x14ac:dyDescent="0.25">
      <c r="A2174" s="60" t="str">
        <f t="shared" si="143"/>
        <v>8610,01</v>
      </c>
      <c r="B2174" s="60">
        <f>COUNTIF($J$7:J2174,J2174)</f>
        <v>8</v>
      </c>
      <c r="C2174" s="60" t="str">
        <f t="shared" si="144"/>
        <v>0</v>
      </c>
      <c r="D2174" s="60">
        <f>COUNTIF($K$7:K2174,K2174)</f>
        <v>0</v>
      </c>
      <c r="E2174" s="61"/>
      <c r="F2174" s="239">
        <v>44617</v>
      </c>
      <c r="G2174" s="72"/>
      <c r="H2174" s="73" t="s">
        <v>1207</v>
      </c>
      <c r="I2174" s="243" t="s">
        <v>1208</v>
      </c>
      <c r="J2174" s="64">
        <v>610.01</v>
      </c>
      <c r="K2174" s="65"/>
      <c r="L2174" s="224">
        <v>421987</v>
      </c>
      <c r="M2174" s="223"/>
      <c r="N2174" s="223"/>
      <c r="O2174" s="61"/>
      <c r="P2174" s="69" t="str">
        <f t="shared" si="145"/>
        <v>Biaya Gaji, Upah &amp; Honorer</v>
      </c>
      <c r="Q2174" s="61"/>
    </row>
    <row r="2175" spans="1:17" hidden="1" x14ac:dyDescent="0.25">
      <c r="A2175" s="60" t="str">
        <f t="shared" si="143"/>
        <v>9610,01</v>
      </c>
      <c r="B2175" s="60">
        <f>COUNTIF($J$7:J2175,J2175)</f>
        <v>9</v>
      </c>
      <c r="C2175" s="60" t="str">
        <f t="shared" si="144"/>
        <v>0</v>
      </c>
      <c r="D2175" s="60">
        <f>COUNTIF($K$7:K2175,K2175)</f>
        <v>0</v>
      </c>
      <c r="E2175" s="61"/>
      <c r="F2175" s="239">
        <v>44617</v>
      </c>
      <c r="G2175" s="72"/>
      <c r="H2175" s="73" t="s">
        <v>1209</v>
      </c>
      <c r="I2175" s="243" t="s">
        <v>1210</v>
      </c>
      <c r="J2175" s="235">
        <v>610.01</v>
      </c>
      <c r="K2175" s="65"/>
      <c r="L2175" s="224">
        <v>215000</v>
      </c>
      <c r="M2175" s="223"/>
      <c r="N2175" s="223"/>
      <c r="O2175" s="61"/>
      <c r="P2175" s="69" t="str">
        <f t="shared" si="145"/>
        <v>Biaya Gaji, Upah &amp; Honorer</v>
      </c>
      <c r="Q2175" s="61"/>
    </row>
    <row r="2176" spans="1:17" hidden="1" x14ac:dyDescent="0.25">
      <c r="A2176" s="60" t="str">
        <f t="shared" si="143"/>
        <v>62810,01</v>
      </c>
      <c r="B2176" s="60">
        <f>COUNTIF($J$7:J2176,J2176)</f>
        <v>62</v>
      </c>
      <c r="C2176" s="60" t="str">
        <f t="shared" si="144"/>
        <v>0</v>
      </c>
      <c r="D2176" s="60">
        <f>COUNTIF($K$7:K2176,K2176)</f>
        <v>0</v>
      </c>
      <c r="E2176" s="61"/>
      <c r="F2176" s="239">
        <v>44617</v>
      </c>
      <c r="G2176" s="72"/>
      <c r="H2176" s="73" t="s">
        <v>1209</v>
      </c>
      <c r="I2176" s="243" t="s">
        <v>1206</v>
      </c>
      <c r="J2176" s="245">
        <v>810.01</v>
      </c>
      <c r="K2176" s="65"/>
      <c r="L2176" s="224">
        <v>6500</v>
      </c>
      <c r="M2176" s="223"/>
      <c r="N2176" s="223"/>
      <c r="O2176" s="61"/>
      <c r="P2176" s="69" t="str">
        <f t="shared" si="145"/>
        <v>Biaya Admin Transfer dan Rek</v>
      </c>
      <c r="Q2176" s="61"/>
    </row>
    <row r="2177" spans="1:17" hidden="1" x14ac:dyDescent="0.25">
      <c r="A2177" s="60" t="str">
        <f t="shared" si="143"/>
        <v>4610,16</v>
      </c>
      <c r="B2177" s="60">
        <f>COUNTIF($J$7:J2177,J2177)</f>
        <v>4</v>
      </c>
      <c r="C2177" s="60" t="str">
        <f t="shared" si="144"/>
        <v>0</v>
      </c>
      <c r="D2177" s="60">
        <f>COUNTIF($K$7:K2177,K2177)</f>
        <v>0</v>
      </c>
      <c r="E2177" s="61"/>
      <c r="F2177" s="239">
        <v>44617</v>
      </c>
      <c r="G2177" s="72"/>
      <c r="H2177" s="73" t="s">
        <v>1211</v>
      </c>
      <c r="I2177" s="243" t="s">
        <v>1212</v>
      </c>
      <c r="J2177" s="221">
        <v>610.16</v>
      </c>
      <c r="K2177" s="65"/>
      <c r="L2177" s="224">
        <v>6500000</v>
      </c>
      <c r="M2177" s="223"/>
      <c r="N2177" s="223"/>
      <c r="O2177" s="61"/>
      <c r="P2177" s="69" t="str">
        <f t="shared" si="145"/>
        <v>Biaya Perizinan &amp; Legalitas</v>
      </c>
      <c r="Q2177" s="61"/>
    </row>
    <row r="2178" spans="1:17" hidden="1" x14ac:dyDescent="0.25">
      <c r="A2178" s="60" t="str">
        <f t="shared" si="143"/>
        <v>63810,01</v>
      </c>
      <c r="B2178" s="60">
        <f>COUNTIF($J$7:J2178,J2178)</f>
        <v>63</v>
      </c>
      <c r="C2178" s="60" t="str">
        <f t="shared" si="144"/>
        <v>0</v>
      </c>
      <c r="D2178" s="60">
        <f>COUNTIF($K$7:K2178,K2178)</f>
        <v>0</v>
      </c>
      <c r="E2178" s="61"/>
      <c r="F2178" s="239">
        <v>44617</v>
      </c>
      <c r="G2178" s="72"/>
      <c r="H2178" s="73" t="s">
        <v>1211</v>
      </c>
      <c r="I2178" s="243" t="s">
        <v>1206</v>
      </c>
      <c r="J2178" s="245">
        <v>810.01</v>
      </c>
      <c r="K2178" s="65"/>
      <c r="L2178" s="224">
        <v>6500</v>
      </c>
      <c r="M2178" s="223"/>
      <c r="N2178" s="223"/>
      <c r="O2178" s="61"/>
      <c r="P2178" s="69" t="str">
        <f t="shared" si="145"/>
        <v>Biaya Admin Transfer dan Rek</v>
      </c>
      <c r="Q2178" s="61"/>
    </row>
    <row r="2179" spans="1:17" hidden="1" x14ac:dyDescent="0.25">
      <c r="A2179" s="60" t="str">
        <f t="shared" si="143"/>
        <v>368211,01</v>
      </c>
      <c r="B2179" s="60">
        <f>COUNTIF($J$7:J2179,J2179)</f>
        <v>368</v>
      </c>
      <c r="C2179" s="60" t="str">
        <f t="shared" si="144"/>
        <v>0</v>
      </c>
      <c r="D2179" s="60">
        <f>COUNTIF($K$7:K2179,K2179)</f>
        <v>0</v>
      </c>
      <c r="E2179" s="61"/>
      <c r="F2179" s="239">
        <v>44617</v>
      </c>
      <c r="G2179" s="72"/>
      <c r="H2179" s="73" t="s">
        <v>1213</v>
      </c>
      <c r="I2179" s="243" t="s">
        <v>1214</v>
      </c>
      <c r="J2179" s="67">
        <v>211.01</v>
      </c>
      <c r="K2179" s="65"/>
      <c r="L2179" s="224">
        <v>17906360</v>
      </c>
      <c r="M2179" s="223"/>
      <c r="N2179" s="223"/>
      <c r="O2179" s="61"/>
      <c r="P2179" s="69" t="str">
        <f t="shared" si="145"/>
        <v>Hutang Pajak PPN</v>
      </c>
      <c r="Q2179" s="61"/>
    </row>
    <row r="2180" spans="1:17" hidden="1" x14ac:dyDescent="0.25">
      <c r="A2180" s="60" t="str">
        <f t="shared" si="143"/>
        <v>11610,15</v>
      </c>
      <c r="B2180" s="60">
        <f>COUNTIF($J$7:J2180,J2180)</f>
        <v>11</v>
      </c>
      <c r="C2180" s="60" t="str">
        <f t="shared" si="144"/>
        <v>0</v>
      </c>
      <c r="D2180" s="60">
        <f>COUNTIF($K$7:K2180,K2180)</f>
        <v>0</v>
      </c>
      <c r="E2180" s="61"/>
      <c r="F2180" s="239">
        <v>44617</v>
      </c>
      <c r="G2180" s="72"/>
      <c r="H2180" s="73" t="s">
        <v>1215</v>
      </c>
      <c r="I2180" s="243" t="s">
        <v>1216</v>
      </c>
      <c r="J2180" s="221">
        <v>610.15</v>
      </c>
      <c r="K2180" s="65"/>
      <c r="L2180" s="224">
        <v>1000000</v>
      </c>
      <c r="M2180" s="223"/>
      <c r="N2180" s="223"/>
      <c r="O2180" s="61"/>
      <c r="P2180" s="69" t="str">
        <f t="shared" si="145"/>
        <v>Biaya Pemeliharaan Lingkungan (Keamanan dan Kebersihan)</v>
      </c>
      <c r="Q2180" s="61"/>
    </row>
    <row r="2181" spans="1:17" hidden="1" x14ac:dyDescent="0.25">
      <c r="A2181" s="60" t="str">
        <f t="shared" si="143"/>
        <v>64810,01</v>
      </c>
      <c r="B2181" s="60">
        <f>COUNTIF($J$7:J2181,J2181)</f>
        <v>64</v>
      </c>
      <c r="C2181" s="60" t="str">
        <f t="shared" si="144"/>
        <v>0</v>
      </c>
      <c r="D2181" s="60">
        <f>COUNTIF($K$7:K2181,K2181)</f>
        <v>0</v>
      </c>
      <c r="E2181" s="61"/>
      <c r="F2181" s="239">
        <v>44617</v>
      </c>
      <c r="G2181" s="72"/>
      <c r="H2181" s="73" t="s">
        <v>1215</v>
      </c>
      <c r="I2181" s="243" t="s">
        <v>1206</v>
      </c>
      <c r="J2181" s="245">
        <v>810.01</v>
      </c>
      <c r="K2181" s="65"/>
      <c r="L2181" s="224">
        <v>6500</v>
      </c>
      <c r="M2181" s="223"/>
      <c r="N2181" s="223"/>
      <c r="O2181" s="61"/>
      <c r="P2181" s="69" t="str">
        <f t="shared" si="145"/>
        <v>Biaya Admin Transfer dan Rek</v>
      </c>
      <c r="Q2181" s="61"/>
    </row>
    <row r="2182" spans="1:17" hidden="1" x14ac:dyDescent="0.25">
      <c r="A2182" s="60" t="str">
        <f t="shared" si="143"/>
        <v>274111,01</v>
      </c>
      <c r="B2182" s="60">
        <f>COUNTIF($J$7:J2182,J2182)</f>
        <v>274</v>
      </c>
      <c r="C2182" s="60" t="str">
        <f t="shared" si="144"/>
        <v>0</v>
      </c>
      <c r="D2182" s="60">
        <f>COUNTIF($K$7:K2182,K2182)</f>
        <v>0</v>
      </c>
      <c r="E2182" s="61"/>
      <c r="F2182" s="239">
        <v>44617</v>
      </c>
      <c r="G2182" s="72"/>
      <c r="H2182" s="73" t="s">
        <v>1202</v>
      </c>
      <c r="I2182" s="243" t="s">
        <v>1217</v>
      </c>
      <c r="J2182" s="67">
        <v>111.01</v>
      </c>
      <c r="K2182" s="65"/>
      <c r="L2182" s="224"/>
      <c r="M2182" s="244">
        <v>5040000</v>
      </c>
      <c r="N2182" s="244"/>
      <c r="O2182" s="61"/>
      <c r="P2182" s="69" t="str">
        <f t="shared" si="145"/>
        <v>BNI IDR 768</v>
      </c>
      <c r="Q2182" s="61"/>
    </row>
    <row r="2183" spans="1:17" hidden="1" x14ac:dyDescent="0.25">
      <c r="A2183" s="60" t="str">
        <f t="shared" ref="A2183:A2246" si="146">B2183&amp;J2183</f>
        <v>5114</v>
      </c>
      <c r="B2183" s="60">
        <f>COUNTIF($J$7:J2183,J2183)</f>
        <v>5</v>
      </c>
      <c r="C2183" s="60" t="str">
        <f t="shared" ref="C2183:C2246" si="147">D2183&amp;K2183</f>
        <v>0</v>
      </c>
      <c r="D2183" s="60">
        <f>COUNTIF($K$7:K2183,K2183)</f>
        <v>0</v>
      </c>
      <c r="E2183" s="61"/>
      <c r="F2183" s="239">
        <v>44617</v>
      </c>
      <c r="G2183" s="72"/>
      <c r="H2183" s="73" t="s">
        <v>1204</v>
      </c>
      <c r="I2183" s="243" t="s">
        <v>1218</v>
      </c>
      <c r="J2183" s="76">
        <v>114</v>
      </c>
      <c r="K2183" s="65"/>
      <c r="L2183" s="224"/>
      <c r="M2183" s="223">
        <v>2000000</v>
      </c>
      <c r="N2183" s="223"/>
      <c r="O2183" s="61"/>
      <c r="P2183" s="69" t="str">
        <f t="shared" ref="P2183:P2246" si="148">IF(J2183=0,"-",+VLOOKUP(J2183,DAF_AKUN,2,FALSE))</f>
        <v>Piutang Lain - Lain</v>
      </c>
      <c r="Q2183" s="61"/>
    </row>
    <row r="2184" spans="1:17" hidden="1" x14ac:dyDescent="0.25">
      <c r="A2184" s="60" t="str">
        <f t="shared" si="146"/>
        <v>275111,01</v>
      </c>
      <c r="B2184" s="60">
        <f>COUNTIF($J$7:J2184,J2184)</f>
        <v>275</v>
      </c>
      <c r="C2184" s="60" t="str">
        <f t="shared" si="147"/>
        <v>0</v>
      </c>
      <c r="D2184" s="60">
        <f>COUNTIF($K$7:K2184,K2184)</f>
        <v>0</v>
      </c>
      <c r="E2184" s="61"/>
      <c r="F2184" s="239">
        <v>44617</v>
      </c>
      <c r="G2184" s="72"/>
      <c r="H2184" s="73" t="s">
        <v>1204</v>
      </c>
      <c r="I2184" s="243" t="s">
        <v>1205</v>
      </c>
      <c r="J2184" s="67">
        <v>111.01</v>
      </c>
      <c r="K2184" s="65"/>
      <c r="L2184" s="224"/>
      <c r="M2184" s="244">
        <v>11509400</v>
      </c>
      <c r="N2184" s="244"/>
      <c r="O2184" s="61"/>
      <c r="P2184" s="69" t="str">
        <f t="shared" si="148"/>
        <v>BNI IDR 768</v>
      </c>
      <c r="Q2184" s="61"/>
    </row>
    <row r="2185" spans="1:17" hidden="1" x14ac:dyDescent="0.25">
      <c r="A2185" s="60" t="str">
        <f t="shared" si="146"/>
        <v>276111,01</v>
      </c>
      <c r="B2185" s="60">
        <f>COUNTIF($J$7:J2185,J2185)</f>
        <v>276</v>
      </c>
      <c r="C2185" s="60" t="str">
        <f t="shared" si="147"/>
        <v>0</v>
      </c>
      <c r="D2185" s="60">
        <f>COUNTIF($K$7:K2185,K2185)</f>
        <v>0</v>
      </c>
      <c r="E2185" s="61"/>
      <c r="F2185" s="239">
        <v>44617</v>
      </c>
      <c r="G2185" s="72"/>
      <c r="H2185" s="73" t="s">
        <v>1204</v>
      </c>
      <c r="I2185" s="243" t="s">
        <v>1206</v>
      </c>
      <c r="J2185" s="67">
        <v>111.01</v>
      </c>
      <c r="K2185" s="65"/>
      <c r="L2185" s="224"/>
      <c r="M2185" s="244">
        <v>6500</v>
      </c>
      <c r="N2185" s="244"/>
      <c r="O2185" s="61"/>
      <c r="P2185" s="69" t="str">
        <f t="shared" si="148"/>
        <v>BNI IDR 768</v>
      </c>
      <c r="Q2185" s="61"/>
    </row>
    <row r="2186" spans="1:17" hidden="1" x14ac:dyDescent="0.25">
      <c r="A2186" s="60" t="str">
        <f t="shared" si="146"/>
        <v>277111,01</v>
      </c>
      <c r="B2186" s="60">
        <f>COUNTIF($J$7:J2186,J2186)</f>
        <v>277</v>
      </c>
      <c r="C2186" s="60" t="str">
        <f t="shared" si="147"/>
        <v>0</v>
      </c>
      <c r="D2186" s="60">
        <f>COUNTIF($K$7:K2186,K2186)</f>
        <v>0</v>
      </c>
      <c r="E2186" s="61"/>
      <c r="F2186" s="239">
        <v>44617</v>
      </c>
      <c r="G2186" s="72"/>
      <c r="H2186" s="73" t="s">
        <v>1207</v>
      </c>
      <c r="I2186" s="243" t="s">
        <v>1208</v>
      </c>
      <c r="J2186" s="67">
        <v>111.01</v>
      </c>
      <c r="K2186" s="65"/>
      <c r="L2186" s="224"/>
      <c r="M2186" s="244">
        <v>421987</v>
      </c>
      <c r="N2186" s="244"/>
      <c r="O2186" s="61"/>
      <c r="P2186" s="69" t="str">
        <f t="shared" si="148"/>
        <v>BNI IDR 768</v>
      </c>
      <c r="Q2186" s="61"/>
    </row>
    <row r="2187" spans="1:17" hidden="1" x14ac:dyDescent="0.25">
      <c r="A2187" s="60" t="str">
        <f t="shared" si="146"/>
        <v>278111,01</v>
      </c>
      <c r="B2187" s="60">
        <f>COUNTIF($J$7:J2187,J2187)</f>
        <v>278</v>
      </c>
      <c r="C2187" s="60" t="str">
        <f t="shared" si="147"/>
        <v>0</v>
      </c>
      <c r="D2187" s="60">
        <f>COUNTIF($K$7:K2187,K2187)</f>
        <v>0</v>
      </c>
      <c r="E2187" s="61"/>
      <c r="F2187" s="239">
        <v>44617</v>
      </c>
      <c r="G2187" s="72"/>
      <c r="H2187" s="73" t="s">
        <v>1209</v>
      </c>
      <c r="I2187" s="243" t="s">
        <v>1210</v>
      </c>
      <c r="J2187" s="67">
        <v>111.01</v>
      </c>
      <c r="K2187" s="65"/>
      <c r="L2187" s="224"/>
      <c r="M2187" s="244">
        <v>215000</v>
      </c>
      <c r="N2187" s="244"/>
      <c r="O2187" s="61"/>
      <c r="P2187" s="69" t="str">
        <f t="shared" si="148"/>
        <v>BNI IDR 768</v>
      </c>
      <c r="Q2187" s="61"/>
    </row>
    <row r="2188" spans="1:17" hidden="1" x14ac:dyDescent="0.25">
      <c r="A2188" s="60" t="str">
        <f t="shared" si="146"/>
        <v>279111,01</v>
      </c>
      <c r="B2188" s="60">
        <f>COUNTIF($J$7:J2188,J2188)</f>
        <v>279</v>
      </c>
      <c r="C2188" s="60" t="str">
        <f t="shared" si="147"/>
        <v>0</v>
      </c>
      <c r="D2188" s="60">
        <f>COUNTIF($K$7:K2188,K2188)</f>
        <v>0</v>
      </c>
      <c r="E2188" s="61"/>
      <c r="F2188" s="239">
        <v>44617</v>
      </c>
      <c r="G2188" s="72"/>
      <c r="H2188" s="73" t="s">
        <v>1209</v>
      </c>
      <c r="I2188" s="243" t="s">
        <v>1206</v>
      </c>
      <c r="J2188" s="67">
        <v>111.01</v>
      </c>
      <c r="K2188" s="65"/>
      <c r="L2188" s="224"/>
      <c r="M2188" s="244">
        <v>6500</v>
      </c>
      <c r="N2188" s="244"/>
      <c r="O2188" s="61"/>
      <c r="P2188" s="69" t="str">
        <f t="shared" si="148"/>
        <v>BNI IDR 768</v>
      </c>
      <c r="Q2188" s="61"/>
    </row>
    <row r="2189" spans="1:17" hidden="1" x14ac:dyDescent="0.25">
      <c r="A2189" s="60" t="str">
        <f t="shared" si="146"/>
        <v>280111,01</v>
      </c>
      <c r="B2189" s="60">
        <f>COUNTIF($J$7:J2189,J2189)</f>
        <v>280</v>
      </c>
      <c r="C2189" s="60" t="str">
        <f t="shared" si="147"/>
        <v>0</v>
      </c>
      <c r="D2189" s="60">
        <f>COUNTIF($K$7:K2189,K2189)</f>
        <v>0</v>
      </c>
      <c r="E2189" s="61"/>
      <c r="F2189" s="239">
        <v>44617</v>
      </c>
      <c r="G2189" s="72"/>
      <c r="H2189" s="73" t="s">
        <v>1211</v>
      </c>
      <c r="I2189" s="243" t="s">
        <v>1212</v>
      </c>
      <c r="J2189" s="67">
        <v>111.01</v>
      </c>
      <c r="K2189" s="65"/>
      <c r="L2189" s="224"/>
      <c r="M2189" s="244">
        <v>6500000</v>
      </c>
      <c r="N2189" s="244"/>
      <c r="O2189" s="61"/>
      <c r="P2189" s="69" t="str">
        <f t="shared" si="148"/>
        <v>BNI IDR 768</v>
      </c>
      <c r="Q2189" s="61"/>
    </row>
    <row r="2190" spans="1:17" hidden="1" x14ac:dyDescent="0.25">
      <c r="A2190" s="60" t="str">
        <f t="shared" si="146"/>
        <v>281111,01</v>
      </c>
      <c r="B2190" s="60">
        <f>COUNTIF($J$7:J2190,J2190)</f>
        <v>281</v>
      </c>
      <c r="C2190" s="60" t="str">
        <f t="shared" si="147"/>
        <v>0</v>
      </c>
      <c r="D2190" s="60">
        <f>COUNTIF($K$7:K2190,K2190)</f>
        <v>0</v>
      </c>
      <c r="E2190" s="61"/>
      <c r="F2190" s="239">
        <v>44617</v>
      </c>
      <c r="G2190" s="72"/>
      <c r="H2190" s="73" t="s">
        <v>1211</v>
      </c>
      <c r="I2190" s="243" t="s">
        <v>1206</v>
      </c>
      <c r="J2190" s="67">
        <v>111.01</v>
      </c>
      <c r="K2190" s="65"/>
      <c r="L2190" s="224"/>
      <c r="M2190" s="244">
        <v>6500</v>
      </c>
      <c r="N2190" s="244"/>
      <c r="O2190" s="61"/>
      <c r="P2190" s="69" t="str">
        <f t="shared" si="148"/>
        <v>BNI IDR 768</v>
      </c>
      <c r="Q2190" s="61"/>
    </row>
    <row r="2191" spans="1:17" hidden="1" x14ac:dyDescent="0.25">
      <c r="A2191" s="60" t="str">
        <f t="shared" si="146"/>
        <v>282111,01</v>
      </c>
      <c r="B2191" s="60">
        <f>COUNTIF($J$7:J2191,J2191)</f>
        <v>282</v>
      </c>
      <c r="C2191" s="60" t="str">
        <f t="shared" si="147"/>
        <v>0</v>
      </c>
      <c r="D2191" s="60">
        <f>COUNTIF($K$7:K2191,K2191)</f>
        <v>0</v>
      </c>
      <c r="E2191" s="61"/>
      <c r="F2191" s="239">
        <v>44617</v>
      </c>
      <c r="G2191" s="72"/>
      <c r="H2191" s="73" t="s">
        <v>1213</v>
      </c>
      <c r="I2191" s="243" t="s">
        <v>1214</v>
      </c>
      <c r="J2191" s="67">
        <v>111.01</v>
      </c>
      <c r="K2191" s="65"/>
      <c r="L2191" s="224"/>
      <c r="M2191" s="244">
        <v>17906360</v>
      </c>
      <c r="N2191" s="244"/>
      <c r="O2191" s="61"/>
      <c r="P2191" s="69" t="str">
        <f t="shared" si="148"/>
        <v>BNI IDR 768</v>
      </c>
      <c r="Q2191" s="61"/>
    </row>
    <row r="2192" spans="1:17" hidden="1" x14ac:dyDescent="0.25">
      <c r="A2192" s="60" t="str">
        <f t="shared" si="146"/>
        <v>283111,01</v>
      </c>
      <c r="B2192" s="60">
        <f>COUNTIF($J$7:J2192,J2192)</f>
        <v>283</v>
      </c>
      <c r="C2192" s="60" t="str">
        <f t="shared" si="147"/>
        <v>0</v>
      </c>
      <c r="D2192" s="60">
        <f>COUNTIF($K$7:K2192,K2192)</f>
        <v>0</v>
      </c>
      <c r="E2192" s="61"/>
      <c r="F2192" s="239">
        <v>44617</v>
      </c>
      <c r="G2192" s="72"/>
      <c r="H2192" s="73" t="s">
        <v>1215</v>
      </c>
      <c r="I2192" s="243" t="s">
        <v>1216</v>
      </c>
      <c r="J2192" s="67">
        <v>111.01</v>
      </c>
      <c r="K2192" s="65"/>
      <c r="L2192" s="224"/>
      <c r="M2192" s="244">
        <v>1000000</v>
      </c>
      <c r="N2192" s="244"/>
      <c r="O2192" s="61"/>
      <c r="P2192" s="69" t="str">
        <f t="shared" si="148"/>
        <v>BNI IDR 768</v>
      </c>
      <c r="Q2192" s="61"/>
    </row>
    <row r="2193" spans="1:17" hidden="1" x14ac:dyDescent="0.25">
      <c r="A2193" s="60" t="str">
        <f t="shared" si="146"/>
        <v>284111,01</v>
      </c>
      <c r="B2193" s="60">
        <f>COUNTIF($J$7:J2193,J2193)</f>
        <v>284</v>
      </c>
      <c r="C2193" s="60" t="str">
        <f t="shared" si="147"/>
        <v>0</v>
      </c>
      <c r="D2193" s="60">
        <f>COUNTIF($K$7:K2193,K2193)</f>
        <v>0</v>
      </c>
      <c r="E2193" s="61"/>
      <c r="F2193" s="239">
        <v>44617</v>
      </c>
      <c r="G2193" s="72"/>
      <c r="H2193" s="73" t="s">
        <v>1215</v>
      </c>
      <c r="I2193" s="243" t="s">
        <v>1206</v>
      </c>
      <c r="J2193" s="67">
        <v>111.01</v>
      </c>
      <c r="K2193" s="65"/>
      <c r="L2193" s="224"/>
      <c r="M2193" s="244">
        <v>6500</v>
      </c>
      <c r="N2193" s="244"/>
      <c r="O2193" s="61"/>
      <c r="P2193" s="69" t="str">
        <f t="shared" si="148"/>
        <v>BNI IDR 768</v>
      </c>
      <c r="Q2193" s="61"/>
    </row>
    <row r="2194" spans="1:17" hidden="1" x14ac:dyDescent="0.25">
      <c r="A2194" s="60" t="str">
        <f t="shared" si="146"/>
        <v>285111,01</v>
      </c>
      <c r="B2194" s="60">
        <f>COUNTIF($J$7:J2194,J2194)</f>
        <v>285</v>
      </c>
      <c r="C2194" s="60" t="str">
        <f t="shared" si="147"/>
        <v>0</v>
      </c>
      <c r="D2194" s="60">
        <f>COUNTIF($K$7:K2194,K2194)</f>
        <v>0</v>
      </c>
      <c r="E2194" s="61"/>
      <c r="F2194" s="239">
        <v>44620</v>
      </c>
      <c r="G2194" s="72"/>
      <c r="H2194" s="73" t="s">
        <v>1219</v>
      </c>
      <c r="I2194" s="243" t="s">
        <v>435</v>
      </c>
      <c r="J2194" s="67">
        <v>111.01</v>
      </c>
      <c r="K2194" s="65"/>
      <c r="L2194" s="222">
        <v>1862954</v>
      </c>
      <c r="M2194" s="223"/>
      <c r="N2194" s="223"/>
      <c r="O2194" s="61"/>
      <c r="P2194" s="69" t="str">
        <f t="shared" si="148"/>
        <v>BNI IDR 768</v>
      </c>
      <c r="Q2194" s="61"/>
    </row>
    <row r="2195" spans="1:17" hidden="1" x14ac:dyDescent="0.25">
      <c r="A2195" s="60" t="str">
        <f t="shared" si="146"/>
        <v>3710,01</v>
      </c>
      <c r="B2195" s="60">
        <f>COUNTIF($J$7:J2195,J2195)</f>
        <v>3</v>
      </c>
      <c r="C2195" s="60" t="str">
        <f t="shared" si="147"/>
        <v>0</v>
      </c>
      <c r="D2195" s="60">
        <f>COUNTIF($K$7:K2195,K2195)</f>
        <v>0</v>
      </c>
      <c r="E2195" s="61"/>
      <c r="F2195" s="239">
        <v>44620</v>
      </c>
      <c r="G2195" s="72"/>
      <c r="H2195" s="73" t="s">
        <v>1219</v>
      </c>
      <c r="I2195" s="243" t="s">
        <v>435</v>
      </c>
      <c r="J2195" s="221">
        <v>710.01</v>
      </c>
      <c r="K2195" s="65"/>
      <c r="L2195" s="224"/>
      <c r="M2195" s="223">
        <v>1862954</v>
      </c>
      <c r="N2195" s="223"/>
      <c r="O2195" s="61"/>
      <c r="P2195" s="69" t="str">
        <f t="shared" si="148"/>
        <v>Pendapatan Jasa Giro/Bunga Bank</v>
      </c>
      <c r="Q2195" s="61"/>
    </row>
    <row r="2196" spans="1:17" hidden="1" x14ac:dyDescent="0.25">
      <c r="A2196" s="60" t="str">
        <f t="shared" si="146"/>
        <v>3810,02</v>
      </c>
      <c r="B2196" s="60">
        <f>COUNTIF($J$7:J2196,J2196)</f>
        <v>3</v>
      </c>
      <c r="C2196" s="60" t="str">
        <f t="shared" si="147"/>
        <v>0</v>
      </c>
      <c r="D2196" s="60">
        <f>COUNTIF($K$7:K2196,K2196)</f>
        <v>0</v>
      </c>
      <c r="E2196" s="61"/>
      <c r="F2196" s="239">
        <v>44620</v>
      </c>
      <c r="G2196" s="72"/>
      <c r="H2196" s="73" t="s">
        <v>1219</v>
      </c>
      <c r="I2196" s="243" t="s">
        <v>1220</v>
      </c>
      <c r="J2196" s="221">
        <v>810.02</v>
      </c>
      <c r="K2196" s="65"/>
      <c r="L2196" s="224">
        <v>372591</v>
      </c>
      <c r="M2196" s="223"/>
      <c r="N2196" s="223"/>
      <c r="O2196" s="61"/>
      <c r="P2196" s="69" t="str">
        <f t="shared" si="148"/>
        <v>Biaya Pajak Jagir</v>
      </c>
      <c r="Q2196" s="61"/>
    </row>
    <row r="2197" spans="1:17" hidden="1" x14ac:dyDescent="0.25">
      <c r="A2197" s="60" t="str">
        <f t="shared" si="146"/>
        <v>286111,01</v>
      </c>
      <c r="B2197" s="60">
        <f>COUNTIF($J$7:J2197,J2197)</f>
        <v>286</v>
      </c>
      <c r="C2197" s="60" t="str">
        <f t="shared" si="147"/>
        <v>0</v>
      </c>
      <c r="D2197" s="60">
        <f>COUNTIF($K$7:K2197,K2197)</f>
        <v>0</v>
      </c>
      <c r="E2197" s="61"/>
      <c r="F2197" s="239">
        <v>44620</v>
      </c>
      <c r="G2197" s="72"/>
      <c r="H2197" s="73" t="s">
        <v>1219</v>
      </c>
      <c r="I2197" s="243" t="s">
        <v>1220</v>
      </c>
      <c r="J2197" s="67">
        <v>111.01</v>
      </c>
      <c r="K2197" s="65"/>
      <c r="L2197" s="224"/>
      <c r="M2197" s="244">
        <v>372591</v>
      </c>
      <c r="N2197" s="244"/>
      <c r="O2197" s="61"/>
      <c r="P2197" s="69" t="str">
        <f t="shared" si="148"/>
        <v>BNI IDR 768</v>
      </c>
      <c r="Q2197" s="61"/>
    </row>
    <row r="2198" spans="1:17" hidden="1" x14ac:dyDescent="0.25">
      <c r="A2198" s="60" t="str">
        <f t="shared" si="146"/>
        <v>65810,01</v>
      </c>
      <c r="B2198" s="60">
        <f>COUNTIF($J$7:J2198,J2198)</f>
        <v>65</v>
      </c>
      <c r="C2198" s="60" t="str">
        <f t="shared" si="147"/>
        <v>0</v>
      </c>
      <c r="D2198" s="60">
        <f>COUNTIF($K$7:K2198,K2198)</f>
        <v>0</v>
      </c>
      <c r="E2198" s="61"/>
      <c r="F2198" s="239">
        <v>44620</v>
      </c>
      <c r="G2198" s="72"/>
      <c r="H2198" s="73" t="s">
        <v>1219</v>
      </c>
      <c r="I2198" s="243" t="s">
        <v>1221</v>
      </c>
      <c r="J2198" s="221">
        <v>810.01</v>
      </c>
      <c r="K2198" s="65"/>
      <c r="L2198" s="224">
        <v>25000</v>
      </c>
      <c r="M2198" s="223"/>
      <c r="N2198" s="223"/>
      <c r="O2198" s="61"/>
      <c r="P2198" s="69" t="str">
        <f t="shared" si="148"/>
        <v>Biaya Admin Transfer dan Rek</v>
      </c>
      <c r="Q2198" s="61"/>
    </row>
    <row r="2199" spans="1:17" hidden="1" x14ac:dyDescent="0.25">
      <c r="A2199" s="60" t="str">
        <f t="shared" si="146"/>
        <v>287111,01</v>
      </c>
      <c r="B2199" s="60">
        <f>COUNTIF($J$7:J2199,J2199)</f>
        <v>287</v>
      </c>
      <c r="C2199" s="60" t="str">
        <f t="shared" si="147"/>
        <v>0</v>
      </c>
      <c r="D2199" s="60">
        <f>COUNTIF($K$7:K2199,K2199)</f>
        <v>0</v>
      </c>
      <c r="E2199" s="61"/>
      <c r="F2199" s="239">
        <v>44620</v>
      </c>
      <c r="G2199" s="72"/>
      <c r="H2199" s="73" t="s">
        <v>1219</v>
      </c>
      <c r="I2199" s="243" t="s">
        <v>1221</v>
      </c>
      <c r="J2199" s="67">
        <v>111.01</v>
      </c>
      <c r="K2199" s="65"/>
      <c r="L2199" s="224"/>
      <c r="M2199" s="244">
        <v>25000</v>
      </c>
      <c r="N2199" s="244"/>
      <c r="O2199" s="61"/>
      <c r="P2199" s="69" t="str">
        <f t="shared" si="148"/>
        <v>BNI IDR 768</v>
      </c>
      <c r="Q2199" s="61"/>
    </row>
    <row r="2200" spans="1:17" hidden="1" x14ac:dyDescent="0.25">
      <c r="A2200" s="60" t="str">
        <f t="shared" si="146"/>
        <v>5111,02</v>
      </c>
      <c r="B2200" s="60">
        <f>COUNTIF($J$7:J2200,J2200)</f>
        <v>5</v>
      </c>
      <c r="C2200" s="60" t="str">
        <f t="shared" si="147"/>
        <v>0</v>
      </c>
      <c r="D2200" s="60">
        <f>COUNTIF($K$7:K2200,K2200)</f>
        <v>0</v>
      </c>
      <c r="E2200" s="61"/>
      <c r="F2200" s="220">
        <v>44620</v>
      </c>
      <c r="G2200" s="72"/>
      <c r="H2200" s="61" t="s">
        <v>1222</v>
      </c>
      <c r="I2200" s="74" t="s">
        <v>1223</v>
      </c>
      <c r="J2200" s="67">
        <v>111.02</v>
      </c>
      <c r="K2200" s="65"/>
      <c r="L2200" s="224">
        <f>14371.01*0.03</f>
        <v>431.13029999999998</v>
      </c>
      <c r="M2200" s="223"/>
      <c r="N2200" s="223"/>
      <c r="O2200" s="61" t="s">
        <v>1224</v>
      </c>
      <c r="P2200" s="69" t="str">
        <f t="shared" si="148"/>
        <v>BNI USD 688</v>
      </c>
      <c r="Q2200" s="61"/>
    </row>
    <row r="2201" spans="1:17" hidden="1" x14ac:dyDescent="0.25">
      <c r="A2201" s="60" t="str">
        <f t="shared" si="146"/>
        <v>4810,02</v>
      </c>
      <c r="B2201" s="60">
        <f>COUNTIF($J$7:J2201,J2201)</f>
        <v>4</v>
      </c>
      <c r="C2201" s="60" t="str">
        <f t="shared" si="147"/>
        <v>0</v>
      </c>
      <c r="D2201" s="60">
        <f>COUNTIF($K$7:K2201,K2201)</f>
        <v>0</v>
      </c>
      <c r="E2201" s="61"/>
      <c r="F2201" s="220">
        <v>44620</v>
      </c>
      <c r="G2201" s="72"/>
      <c r="H2201" s="61" t="s">
        <v>1222</v>
      </c>
      <c r="I2201" s="74" t="s">
        <v>1225</v>
      </c>
      <c r="J2201" s="221">
        <v>810.02</v>
      </c>
      <c r="K2201" s="65"/>
      <c r="L2201" s="224">
        <f>0.01*14371.01</f>
        <v>143.71010000000001</v>
      </c>
      <c r="M2201" s="223"/>
      <c r="N2201" s="223"/>
      <c r="O2201" s="61"/>
      <c r="P2201" s="69" t="str">
        <f t="shared" si="148"/>
        <v>Biaya Pajak Jagir</v>
      </c>
      <c r="Q2201" s="61"/>
    </row>
    <row r="2202" spans="1:17" hidden="1" x14ac:dyDescent="0.25">
      <c r="A2202" s="60" t="str">
        <f t="shared" si="146"/>
        <v>66810,01</v>
      </c>
      <c r="B2202" s="60">
        <f>COUNTIF($J$7:J2202,J2202)</f>
        <v>66</v>
      </c>
      <c r="C2202" s="60" t="str">
        <f t="shared" si="147"/>
        <v>0</v>
      </c>
      <c r="D2202" s="60">
        <f>COUNTIF($K$7:K2202,K2202)</f>
        <v>0</v>
      </c>
      <c r="E2202" s="61"/>
      <c r="F2202" s="220">
        <v>44620</v>
      </c>
      <c r="G2202" s="72"/>
      <c r="H2202" s="61" t="s">
        <v>1222</v>
      </c>
      <c r="I2202" s="74" t="s">
        <v>1226</v>
      </c>
      <c r="J2202" s="67">
        <v>810.01</v>
      </c>
      <c r="K2202" s="65"/>
      <c r="L2202" s="224">
        <f>2.5*14371.01</f>
        <v>35927.525000000001</v>
      </c>
      <c r="M2202" s="223"/>
      <c r="N2202" s="223"/>
      <c r="O2202" s="61"/>
      <c r="P2202" s="69" t="str">
        <f t="shared" si="148"/>
        <v>Biaya Admin Transfer dan Rek</v>
      </c>
      <c r="Q2202" s="61"/>
    </row>
    <row r="2203" spans="1:17" hidden="1" x14ac:dyDescent="0.25">
      <c r="A2203" s="60" t="str">
        <f t="shared" si="146"/>
        <v>4710,01</v>
      </c>
      <c r="B2203" s="60">
        <f>COUNTIF($J$7:J2203,J2203)</f>
        <v>4</v>
      </c>
      <c r="C2203" s="60" t="str">
        <f t="shared" si="147"/>
        <v>0</v>
      </c>
      <c r="D2203" s="60">
        <f>COUNTIF($K$7:K2203,K2203)</f>
        <v>0</v>
      </c>
      <c r="E2203" s="61"/>
      <c r="F2203" s="220">
        <v>44620</v>
      </c>
      <c r="G2203" s="72"/>
      <c r="H2203" s="61" t="s">
        <v>1222</v>
      </c>
      <c r="I2203" s="74" t="s">
        <v>1223</v>
      </c>
      <c r="J2203" s="67">
        <v>710.01</v>
      </c>
      <c r="K2203" s="65"/>
      <c r="L2203" s="224"/>
      <c r="M2203" s="224">
        <f>L2200</f>
        <v>431.13029999999998</v>
      </c>
      <c r="N2203" s="224"/>
      <c r="O2203" s="61"/>
      <c r="P2203" s="69" t="str">
        <f t="shared" si="148"/>
        <v>Pendapatan Jasa Giro/Bunga Bank</v>
      </c>
      <c r="Q2203" s="61"/>
    </row>
    <row r="2204" spans="1:17" hidden="1" x14ac:dyDescent="0.25">
      <c r="A2204" s="60" t="str">
        <f t="shared" si="146"/>
        <v>6111,02</v>
      </c>
      <c r="B2204" s="60">
        <f>COUNTIF($J$7:J2204,J2204)</f>
        <v>6</v>
      </c>
      <c r="C2204" s="60" t="str">
        <f t="shared" si="147"/>
        <v>0</v>
      </c>
      <c r="D2204" s="60">
        <f>COUNTIF($K$7:K2204,K2204)</f>
        <v>0</v>
      </c>
      <c r="E2204" s="61"/>
      <c r="F2204" s="220">
        <v>44620</v>
      </c>
      <c r="G2204" s="72"/>
      <c r="H2204" s="61" t="s">
        <v>1222</v>
      </c>
      <c r="I2204" s="74" t="s">
        <v>1225</v>
      </c>
      <c r="J2204" s="67">
        <v>111.02</v>
      </c>
      <c r="K2204" s="65"/>
      <c r="L2204" s="224"/>
      <c r="M2204" s="224">
        <f>L2201</f>
        <v>143.71010000000001</v>
      </c>
      <c r="N2204" s="224"/>
      <c r="O2204" s="61"/>
      <c r="P2204" s="69" t="str">
        <f t="shared" si="148"/>
        <v>BNI USD 688</v>
      </c>
      <c r="Q2204" s="61"/>
    </row>
    <row r="2205" spans="1:17" hidden="1" x14ac:dyDescent="0.25">
      <c r="A2205" s="60" t="str">
        <f t="shared" si="146"/>
        <v>7111,02</v>
      </c>
      <c r="B2205" s="60">
        <f>COUNTIF($J$7:J2205,J2205)</f>
        <v>7</v>
      </c>
      <c r="C2205" s="60" t="str">
        <f t="shared" si="147"/>
        <v>0</v>
      </c>
      <c r="D2205" s="60">
        <f>COUNTIF($K$7:K2205,K2205)</f>
        <v>0</v>
      </c>
      <c r="E2205" s="61"/>
      <c r="F2205" s="220">
        <v>44620</v>
      </c>
      <c r="G2205" s="72"/>
      <c r="H2205" s="61" t="s">
        <v>1222</v>
      </c>
      <c r="I2205" s="74" t="s">
        <v>1226</v>
      </c>
      <c r="J2205" s="67">
        <v>111.02</v>
      </c>
      <c r="K2205" s="65"/>
      <c r="L2205" s="224"/>
      <c r="M2205" s="224">
        <f>L2202</f>
        <v>35927.525000000001</v>
      </c>
      <c r="N2205" s="224"/>
      <c r="O2205" s="61"/>
      <c r="P2205" s="69" t="str">
        <f t="shared" si="148"/>
        <v>BNI USD 688</v>
      </c>
      <c r="Q2205" s="61"/>
    </row>
    <row r="2206" spans="1:17" hidden="1" x14ac:dyDescent="0.25">
      <c r="A2206" s="60" t="str">
        <f t="shared" si="146"/>
        <v>5810,04</v>
      </c>
      <c r="B2206" s="60">
        <f>COUNTIF($J$7:J2206,J2206)</f>
        <v>5</v>
      </c>
      <c r="C2206" s="60" t="str">
        <f t="shared" si="147"/>
        <v>0</v>
      </c>
      <c r="D2206" s="60">
        <f>COUNTIF($K$7:K2206,K2206)</f>
        <v>0</v>
      </c>
      <c r="E2206" s="61"/>
      <c r="F2206" s="220">
        <v>44620</v>
      </c>
      <c r="G2206" s="72"/>
      <c r="H2206" s="61" t="s">
        <v>1222</v>
      </c>
      <c r="I2206" s="74" t="s">
        <v>1227</v>
      </c>
      <c r="J2206" s="67">
        <v>810.04</v>
      </c>
      <c r="K2206" s="65"/>
      <c r="L2206" s="224">
        <f>1.1*14371.01</f>
        <v>15808.111000000001</v>
      </c>
      <c r="M2206" s="224"/>
      <c r="N2206" s="224"/>
      <c r="O2206" s="61"/>
      <c r="P2206" s="69" t="str">
        <f t="shared" si="148"/>
        <v>Selisih kurs</v>
      </c>
      <c r="Q2206" s="61"/>
    </row>
    <row r="2207" spans="1:17" hidden="1" x14ac:dyDescent="0.25">
      <c r="A2207" s="60" t="str">
        <f t="shared" si="146"/>
        <v>8111,02</v>
      </c>
      <c r="B2207" s="60">
        <f>COUNTIF($J$7:J2207,J2207)</f>
        <v>8</v>
      </c>
      <c r="C2207" s="60" t="str">
        <f t="shared" si="147"/>
        <v>0</v>
      </c>
      <c r="D2207" s="60">
        <f>COUNTIF($K$7:K2207,K2207)</f>
        <v>0</v>
      </c>
      <c r="E2207" s="61"/>
      <c r="F2207" s="220">
        <v>44620</v>
      </c>
      <c r="G2207" s="72"/>
      <c r="H2207" s="61" t="s">
        <v>1222</v>
      </c>
      <c r="I2207" s="74" t="s">
        <v>1227</v>
      </c>
      <c r="J2207" s="67">
        <v>111.02</v>
      </c>
      <c r="K2207" s="65"/>
      <c r="L2207" s="224"/>
      <c r="M2207" s="224">
        <f>L2206</f>
        <v>15808.111000000001</v>
      </c>
      <c r="N2207" s="224"/>
      <c r="O2207" s="61"/>
      <c r="P2207" s="69" t="str">
        <f t="shared" si="148"/>
        <v>BNI USD 688</v>
      </c>
      <c r="Q2207" s="61"/>
    </row>
    <row r="2208" spans="1:17" hidden="1" x14ac:dyDescent="0.25">
      <c r="A2208" s="60" t="str">
        <f t="shared" si="146"/>
        <v>65111,03</v>
      </c>
      <c r="B2208" s="60">
        <f>COUNTIF($J$7:J2208,J2208)</f>
        <v>65</v>
      </c>
      <c r="C2208" s="60" t="str">
        <f t="shared" si="147"/>
        <v>0</v>
      </c>
      <c r="D2208" s="60">
        <f>COUNTIF($K$7:K2208,K2208)</f>
        <v>0</v>
      </c>
      <c r="E2208" s="61"/>
      <c r="F2208" s="232">
        <v>44594</v>
      </c>
      <c r="G2208" s="72" t="s">
        <v>149</v>
      </c>
      <c r="H2208" s="61" t="s">
        <v>1228</v>
      </c>
      <c r="I2208" s="63" t="s">
        <v>1229</v>
      </c>
      <c r="J2208" s="67">
        <v>111.03</v>
      </c>
      <c r="K2208" s="65"/>
      <c r="L2208" s="222">
        <v>205000</v>
      </c>
      <c r="M2208" s="223"/>
      <c r="N2208" s="223"/>
      <c r="O2208" s="61"/>
      <c r="P2208" s="69" t="str">
        <f t="shared" si="148"/>
        <v>BCA 8607</v>
      </c>
      <c r="Q2208" s="61"/>
    </row>
    <row r="2209" spans="1:17" hidden="1" x14ac:dyDescent="0.25">
      <c r="A2209" s="60" t="str">
        <f t="shared" si="146"/>
        <v>58511,04</v>
      </c>
      <c r="B2209" s="60">
        <f>COUNTIF($J$7:J2209,J2209)</f>
        <v>58</v>
      </c>
      <c r="C2209" s="60" t="str">
        <f t="shared" si="147"/>
        <v>0</v>
      </c>
      <c r="D2209" s="60">
        <f>COUNTIF($K$7:K2209,K2209)</f>
        <v>0</v>
      </c>
      <c r="E2209" s="61"/>
      <c r="F2209" s="232">
        <v>44594</v>
      </c>
      <c r="G2209" s="72" t="s">
        <v>149</v>
      </c>
      <c r="H2209" s="61" t="s">
        <v>1228</v>
      </c>
      <c r="I2209" s="63" t="s">
        <v>1229</v>
      </c>
      <c r="J2209" s="64">
        <v>511.04</v>
      </c>
      <c r="K2209" s="65"/>
      <c r="L2209" s="224"/>
      <c r="M2209" s="223">
        <v>205000</v>
      </c>
      <c r="N2209" s="223"/>
      <c r="O2209" s="61"/>
      <c r="P2209" s="69" t="str">
        <f t="shared" si="148"/>
        <v>Biaya pengiriman Via Online (Gojek,Grab), Kuli</v>
      </c>
      <c r="Q2209" s="61"/>
    </row>
    <row r="2210" spans="1:17" hidden="1" x14ac:dyDescent="0.25">
      <c r="A2210" s="60" t="str">
        <f t="shared" si="146"/>
        <v>66111,03</v>
      </c>
      <c r="B2210" s="60">
        <f>COUNTIF($J$7:J2210,J2210)</f>
        <v>66</v>
      </c>
      <c r="C2210" s="60" t="str">
        <f t="shared" si="147"/>
        <v>0</v>
      </c>
      <c r="D2210" s="60">
        <f>COUNTIF($K$7:K2210,K2210)</f>
        <v>0</v>
      </c>
      <c r="E2210" s="61"/>
      <c r="F2210" s="232">
        <v>44594</v>
      </c>
      <c r="G2210" s="72" t="s">
        <v>149</v>
      </c>
      <c r="H2210" s="61" t="s">
        <v>1228</v>
      </c>
      <c r="I2210" s="63" t="s">
        <v>1230</v>
      </c>
      <c r="J2210" s="67">
        <v>111.03</v>
      </c>
      <c r="K2210" s="65"/>
      <c r="L2210" s="222">
        <v>7975000</v>
      </c>
      <c r="M2210" s="223"/>
      <c r="N2210" s="223"/>
      <c r="O2210" s="61"/>
      <c r="P2210" s="69" t="str">
        <f t="shared" si="148"/>
        <v>BCA 8607</v>
      </c>
      <c r="Q2210" s="61"/>
    </row>
    <row r="2211" spans="1:17" hidden="1" x14ac:dyDescent="0.25">
      <c r="A2211" s="60" t="str">
        <f t="shared" si="146"/>
        <v>448112</v>
      </c>
      <c r="B2211" s="60">
        <f>COUNTIF($J$7:J2211,J2211)</f>
        <v>448</v>
      </c>
      <c r="C2211" s="60" t="str">
        <f t="shared" si="147"/>
        <v>2112,08</v>
      </c>
      <c r="D2211" s="60">
        <f>COUNTIF($K$7:K2211,K2211)</f>
        <v>2</v>
      </c>
      <c r="E2211" s="61"/>
      <c r="F2211" s="232">
        <v>44594</v>
      </c>
      <c r="G2211" s="164" t="s">
        <v>149</v>
      </c>
      <c r="H2211" s="61" t="s">
        <v>1228</v>
      </c>
      <c r="I2211" s="63" t="s">
        <v>1230</v>
      </c>
      <c r="J2211" s="64">
        <v>112</v>
      </c>
      <c r="K2211" s="65">
        <v>112.08</v>
      </c>
      <c r="L2211" s="224"/>
      <c r="M2211" s="223">
        <v>7975000</v>
      </c>
      <c r="N2211" s="223"/>
      <c r="O2211" s="61"/>
      <c r="P2211" s="69" t="str">
        <f t="shared" si="148"/>
        <v>Piutang Usaha</v>
      </c>
      <c r="Q2211" s="61"/>
    </row>
    <row r="2212" spans="1:17" hidden="1" x14ac:dyDescent="0.25">
      <c r="A2212" s="60" t="str">
        <f t="shared" si="146"/>
        <v>67111,03</v>
      </c>
      <c r="B2212" s="60">
        <f>COUNTIF($J$7:J2212,J2212)</f>
        <v>67</v>
      </c>
      <c r="C2212" s="60" t="str">
        <f t="shared" si="147"/>
        <v>0</v>
      </c>
      <c r="D2212" s="60">
        <f>COUNTIF($K$7:K2212,K2212)</f>
        <v>0</v>
      </c>
      <c r="E2212" s="61"/>
      <c r="F2212" s="232">
        <v>44594</v>
      </c>
      <c r="G2212" s="72" t="s">
        <v>149</v>
      </c>
      <c r="H2212" s="61" t="s">
        <v>1228</v>
      </c>
      <c r="I2212" s="63" t="s">
        <v>1231</v>
      </c>
      <c r="J2212" s="67">
        <v>111.03</v>
      </c>
      <c r="K2212" s="65"/>
      <c r="L2212" s="222">
        <v>1443750</v>
      </c>
      <c r="M2212" s="223"/>
      <c r="N2212" s="223"/>
      <c r="O2212" s="61"/>
      <c r="P2212" s="69" t="str">
        <f t="shared" si="148"/>
        <v>BCA 8607</v>
      </c>
      <c r="Q2212" s="61"/>
    </row>
    <row r="2213" spans="1:17" hidden="1" x14ac:dyDescent="0.25">
      <c r="A2213" s="60" t="str">
        <f t="shared" si="146"/>
        <v>449112</v>
      </c>
      <c r="B2213" s="60">
        <f>COUNTIF($J$7:J2213,J2213)</f>
        <v>449</v>
      </c>
      <c r="C2213" s="60" t="str">
        <f t="shared" si="147"/>
        <v>63112,06</v>
      </c>
      <c r="D2213" s="60">
        <f>COUNTIF($K$7:K2213,K2213)</f>
        <v>63</v>
      </c>
      <c r="E2213" s="61"/>
      <c r="F2213" s="232">
        <v>44594</v>
      </c>
      <c r="G2213" s="164" t="s">
        <v>149</v>
      </c>
      <c r="H2213" s="61" t="s">
        <v>1228</v>
      </c>
      <c r="I2213" s="63" t="s">
        <v>1231</v>
      </c>
      <c r="J2213" s="64">
        <v>112</v>
      </c>
      <c r="K2213" s="80">
        <v>112.06</v>
      </c>
      <c r="L2213" s="224"/>
      <c r="M2213" s="223">
        <v>1443750</v>
      </c>
      <c r="N2213" s="223"/>
      <c r="O2213" s="61"/>
      <c r="P2213" s="69" t="str">
        <f t="shared" si="148"/>
        <v>Piutang Usaha</v>
      </c>
      <c r="Q2213" s="61"/>
    </row>
    <row r="2214" spans="1:17" hidden="1" x14ac:dyDescent="0.25">
      <c r="A2214" s="60" t="str">
        <f t="shared" si="146"/>
        <v>68111,03</v>
      </c>
      <c r="B2214" s="60">
        <f>COUNTIF($J$7:J2214,J2214)</f>
        <v>68</v>
      </c>
      <c r="C2214" s="60" t="str">
        <f t="shared" si="147"/>
        <v>0</v>
      </c>
      <c r="D2214" s="60">
        <f>COUNTIF($K$7:K2214,K2214)</f>
        <v>0</v>
      </c>
      <c r="E2214" s="61"/>
      <c r="F2214" s="232">
        <v>44594</v>
      </c>
      <c r="G2214" s="72" t="s">
        <v>149</v>
      </c>
      <c r="H2214" s="61" t="s">
        <v>1228</v>
      </c>
      <c r="I2214" s="63" t="s">
        <v>1232</v>
      </c>
      <c r="J2214" s="67">
        <v>111.03</v>
      </c>
      <c r="K2214" s="65"/>
      <c r="L2214" s="222">
        <v>3850000</v>
      </c>
      <c r="M2214" s="223"/>
      <c r="N2214" s="223"/>
      <c r="O2214" s="61"/>
      <c r="P2214" s="69" t="str">
        <f t="shared" si="148"/>
        <v>BCA 8607</v>
      </c>
      <c r="Q2214" s="61"/>
    </row>
    <row r="2215" spans="1:17" hidden="1" x14ac:dyDescent="0.25">
      <c r="A2215" s="60" t="str">
        <f t="shared" si="146"/>
        <v>450112</v>
      </c>
      <c r="B2215" s="60">
        <f>COUNTIF($J$7:J2215,J2215)</f>
        <v>450</v>
      </c>
      <c r="C2215" s="60" t="str">
        <f t="shared" si="147"/>
        <v>64112,06</v>
      </c>
      <c r="D2215" s="60">
        <f>COUNTIF($K$7:K2215,K2215)</f>
        <v>64</v>
      </c>
      <c r="E2215" s="61"/>
      <c r="F2215" s="232">
        <v>44594</v>
      </c>
      <c r="G2215" s="164" t="s">
        <v>149</v>
      </c>
      <c r="H2215" s="61" t="s">
        <v>1228</v>
      </c>
      <c r="I2215" s="63" t="s">
        <v>1232</v>
      </c>
      <c r="J2215" s="64">
        <v>112</v>
      </c>
      <c r="K2215" s="80">
        <v>112.06</v>
      </c>
      <c r="L2215" s="224"/>
      <c r="M2215" s="223">
        <v>3850000</v>
      </c>
      <c r="N2215" s="223"/>
      <c r="O2215" s="61"/>
      <c r="P2215" s="69" t="str">
        <f t="shared" si="148"/>
        <v>Piutang Usaha</v>
      </c>
      <c r="Q2215" s="61"/>
    </row>
    <row r="2216" spans="1:17" hidden="1" x14ac:dyDescent="0.25">
      <c r="A2216" s="60" t="str">
        <f t="shared" si="146"/>
        <v>69111,03</v>
      </c>
      <c r="B2216" s="60">
        <f>COUNTIF($J$7:J2216,J2216)</f>
        <v>69</v>
      </c>
      <c r="C2216" s="60" t="str">
        <f t="shared" si="147"/>
        <v>0</v>
      </c>
      <c r="D2216" s="60">
        <f>COUNTIF($K$7:K2216,K2216)</f>
        <v>0</v>
      </c>
      <c r="E2216" s="61"/>
      <c r="F2216" s="232">
        <v>44594</v>
      </c>
      <c r="G2216" s="72" t="s">
        <v>149</v>
      </c>
      <c r="H2216" s="61" t="s">
        <v>1228</v>
      </c>
      <c r="I2216" s="63" t="s">
        <v>1233</v>
      </c>
      <c r="J2216" s="67">
        <v>111.03</v>
      </c>
      <c r="K2216" s="65"/>
      <c r="L2216" s="222">
        <v>2145000</v>
      </c>
      <c r="M2216" s="223"/>
      <c r="N2216" s="223"/>
      <c r="O2216" s="61"/>
      <c r="P2216" s="69" t="str">
        <f t="shared" si="148"/>
        <v>BCA 8607</v>
      </c>
      <c r="Q2216" s="61"/>
    </row>
    <row r="2217" spans="1:17" hidden="1" x14ac:dyDescent="0.25">
      <c r="A2217" s="60" t="str">
        <f t="shared" si="146"/>
        <v>451112</v>
      </c>
      <c r="B2217" s="60">
        <f>COUNTIF($J$7:J2217,J2217)</f>
        <v>451</v>
      </c>
      <c r="C2217" s="60" t="str">
        <f t="shared" si="147"/>
        <v>24112,3</v>
      </c>
      <c r="D2217" s="60">
        <f>COUNTIF($K$7:K2217,K2217)</f>
        <v>24</v>
      </c>
      <c r="E2217" s="61"/>
      <c r="F2217" s="232">
        <v>44594</v>
      </c>
      <c r="G2217" s="164" t="s">
        <v>149</v>
      </c>
      <c r="H2217" s="61" t="s">
        <v>1228</v>
      </c>
      <c r="I2217" s="63" t="s">
        <v>1233</v>
      </c>
      <c r="J2217" s="64">
        <v>112</v>
      </c>
      <c r="K2217" s="80">
        <v>112.3</v>
      </c>
      <c r="L2217" s="224"/>
      <c r="M2217" s="223">
        <v>2145000</v>
      </c>
      <c r="N2217" s="223"/>
      <c r="O2217" s="61"/>
      <c r="P2217" s="69" t="str">
        <f t="shared" si="148"/>
        <v>Piutang Usaha</v>
      </c>
      <c r="Q2217" s="61"/>
    </row>
    <row r="2218" spans="1:17" hidden="1" x14ac:dyDescent="0.25">
      <c r="A2218" s="60" t="str">
        <f t="shared" si="146"/>
        <v>70111,03</v>
      </c>
      <c r="B2218" s="60">
        <f>COUNTIF($J$7:J2218,J2218)</f>
        <v>70</v>
      </c>
      <c r="C2218" s="60" t="str">
        <f t="shared" si="147"/>
        <v>0</v>
      </c>
      <c r="D2218" s="60">
        <f>COUNTIF($K$7:K2218,K2218)</f>
        <v>0</v>
      </c>
      <c r="E2218" s="61"/>
      <c r="F2218" s="232">
        <v>44594</v>
      </c>
      <c r="G2218" s="72" t="s">
        <v>149</v>
      </c>
      <c r="H2218" s="61" t="s">
        <v>1228</v>
      </c>
      <c r="I2218" s="63" t="s">
        <v>1234</v>
      </c>
      <c r="J2218" s="67">
        <v>111.03</v>
      </c>
      <c r="K2218" s="65"/>
      <c r="L2218" s="222">
        <v>4290000</v>
      </c>
      <c r="M2218" s="223"/>
      <c r="N2218" s="223"/>
      <c r="O2218" s="61"/>
      <c r="P2218" s="69" t="str">
        <f t="shared" si="148"/>
        <v>BCA 8607</v>
      </c>
      <c r="Q2218" s="61"/>
    </row>
    <row r="2219" spans="1:17" hidden="1" x14ac:dyDescent="0.25">
      <c r="A2219" s="60" t="str">
        <f t="shared" si="146"/>
        <v>452112</v>
      </c>
      <c r="B2219" s="60">
        <f>COUNTIF($J$7:J2219,J2219)</f>
        <v>452</v>
      </c>
      <c r="C2219" s="60" t="str">
        <f t="shared" si="147"/>
        <v>25112,3</v>
      </c>
      <c r="D2219" s="60">
        <f>COUNTIF($K$7:K2219,K2219)</f>
        <v>25</v>
      </c>
      <c r="E2219" s="61"/>
      <c r="F2219" s="232">
        <v>44594</v>
      </c>
      <c r="G2219" s="164" t="s">
        <v>149</v>
      </c>
      <c r="H2219" s="61" t="s">
        <v>1228</v>
      </c>
      <c r="I2219" s="63" t="s">
        <v>1234</v>
      </c>
      <c r="J2219" s="64">
        <v>112</v>
      </c>
      <c r="K2219" s="80">
        <v>112.3</v>
      </c>
      <c r="L2219" s="224"/>
      <c r="M2219" s="223">
        <v>4290000</v>
      </c>
      <c r="N2219" s="223"/>
      <c r="O2219" s="61"/>
      <c r="P2219" s="69" t="str">
        <f t="shared" si="148"/>
        <v>Piutang Usaha</v>
      </c>
      <c r="Q2219" s="61"/>
    </row>
    <row r="2220" spans="1:17" hidden="1" x14ac:dyDescent="0.25">
      <c r="A2220" s="60" t="str">
        <f t="shared" si="146"/>
        <v>71111,03</v>
      </c>
      <c r="B2220" s="60">
        <f>COUNTIF($J$7:J2220,J2220)</f>
        <v>71</v>
      </c>
      <c r="C2220" s="60" t="str">
        <f t="shared" si="147"/>
        <v>0</v>
      </c>
      <c r="D2220" s="60">
        <f>COUNTIF($K$7:K2220,K2220)</f>
        <v>0</v>
      </c>
      <c r="E2220" s="61"/>
      <c r="F2220" s="232">
        <v>44595</v>
      </c>
      <c r="G2220" s="72" t="s">
        <v>149</v>
      </c>
      <c r="H2220" s="61" t="s">
        <v>1228</v>
      </c>
      <c r="I2220" s="63" t="s">
        <v>1235</v>
      </c>
      <c r="J2220" s="67">
        <v>111.03</v>
      </c>
      <c r="K2220" s="65"/>
      <c r="L2220" s="222">
        <v>16797000</v>
      </c>
      <c r="M2220" s="223"/>
      <c r="N2220" s="223"/>
      <c r="O2220" s="61"/>
      <c r="P2220" s="69" t="str">
        <f t="shared" si="148"/>
        <v>BCA 8607</v>
      </c>
      <c r="Q2220" s="61"/>
    </row>
    <row r="2221" spans="1:17" hidden="1" x14ac:dyDescent="0.25">
      <c r="A2221" s="60" t="str">
        <f t="shared" si="146"/>
        <v>453112</v>
      </c>
      <c r="B2221" s="60">
        <f>COUNTIF($J$7:J2221,J2221)</f>
        <v>453</v>
      </c>
      <c r="C2221" s="60" t="str">
        <f t="shared" si="147"/>
        <v>65112,06</v>
      </c>
      <c r="D2221" s="60">
        <f>COUNTIF($K$7:K2221,K2221)</f>
        <v>65</v>
      </c>
      <c r="E2221" s="61"/>
      <c r="F2221" s="232">
        <v>44595</v>
      </c>
      <c r="G2221" s="164" t="s">
        <v>149</v>
      </c>
      <c r="H2221" s="61" t="s">
        <v>1228</v>
      </c>
      <c r="I2221" s="63" t="s">
        <v>1235</v>
      </c>
      <c r="J2221" s="64">
        <v>112</v>
      </c>
      <c r="K2221" s="80">
        <v>112.06</v>
      </c>
      <c r="L2221" s="224"/>
      <c r="M2221" s="223">
        <v>16797000</v>
      </c>
      <c r="N2221" s="223"/>
      <c r="O2221" s="61"/>
      <c r="P2221" s="69" t="str">
        <f t="shared" si="148"/>
        <v>Piutang Usaha</v>
      </c>
      <c r="Q2221" s="61"/>
    </row>
    <row r="2222" spans="1:17" hidden="1" x14ac:dyDescent="0.25">
      <c r="A2222" s="60" t="str">
        <f t="shared" si="146"/>
        <v>72111,03</v>
      </c>
      <c r="B2222" s="60">
        <f>COUNTIF($J$7:J2222,J2222)</f>
        <v>72</v>
      </c>
      <c r="C2222" s="60" t="str">
        <f t="shared" si="147"/>
        <v>0</v>
      </c>
      <c r="D2222" s="60">
        <f>COUNTIF($K$7:K2222,K2222)</f>
        <v>0</v>
      </c>
      <c r="E2222" s="61"/>
      <c r="F2222" s="232">
        <v>44595</v>
      </c>
      <c r="G2222" s="72" t="s">
        <v>149</v>
      </c>
      <c r="H2222" s="61" t="s">
        <v>1228</v>
      </c>
      <c r="I2222" s="63" t="s">
        <v>1236</v>
      </c>
      <c r="J2222" s="67">
        <v>111.03</v>
      </c>
      <c r="K2222" s="65"/>
      <c r="L2222" s="222">
        <v>14041500</v>
      </c>
      <c r="M2222" s="223"/>
      <c r="N2222" s="223"/>
      <c r="O2222" s="61"/>
      <c r="P2222" s="69" t="str">
        <f t="shared" si="148"/>
        <v>BCA 8607</v>
      </c>
      <c r="Q2222" s="61"/>
    </row>
    <row r="2223" spans="1:17" hidden="1" x14ac:dyDescent="0.25">
      <c r="A2223" s="60" t="str">
        <f t="shared" si="146"/>
        <v>454112</v>
      </c>
      <c r="B2223" s="60">
        <f>COUNTIF($J$7:J2223,J2223)</f>
        <v>454</v>
      </c>
      <c r="C2223" s="60" t="str">
        <f t="shared" si="147"/>
        <v>66112,06</v>
      </c>
      <c r="D2223" s="60">
        <f>COUNTIF($K$7:K2223,K2223)</f>
        <v>66</v>
      </c>
      <c r="E2223" s="61"/>
      <c r="F2223" s="232">
        <v>44595</v>
      </c>
      <c r="G2223" s="164" t="s">
        <v>149</v>
      </c>
      <c r="H2223" s="61" t="s">
        <v>1228</v>
      </c>
      <c r="I2223" s="63" t="s">
        <v>1236</v>
      </c>
      <c r="J2223" s="64">
        <v>112</v>
      </c>
      <c r="K2223" s="80">
        <v>112.06</v>
      </c>
      <c r="L2223" s="224"/>
      <c r="M2223" s="223">
        <f>L2222</f>
        <v>14041500</v>
      </c>
      <c r="N2223" s="223"/>
      <c r="O2223" s="61"/>
      <c r="P2223" s="69" t="str">
        <f t="shared" si="148"/>
        <v>Piutang Usaha</v>
      </c>
      <c r="Q2223" s="61"/>
    </row>
    <row r="2224" spans="1:17" hidden="1" x14ac:dyDescent="0.25">
      <c r="A2224" s="60" t="str">
        <f t="shared" si="146"/>
        <v>73111,03</v>
      </c>
      <c r="B2224" s="60">
        <f>COUNTIF($J$7:J2224,J2224)</f>
        <v>73</v>
      </c>
      <c r="C2224" s="60" t="str">
        <f t="shared" si="147"/>
        <v>0</v>
      </c>
      <c r="D2224" s="60">
        <f>COUNTIF($K$7:K2224,K2224)</f>
        <v>0</v>
      </c>
      <c r="E2224" s="61"/>
      <c r="F2224" s="232">
        <v>44596</v>
      </c>
      <c r="G2224" s="72" t="s">
        <v>149</v>
      </c>
      <c r="H2224" s="61" t="s">
        <v>1228</v>
      </c>
      <c r="I2224" s="63" t="s">
        <v>1237</v>
      </c>
      <c r="J2224" s="67">
        <v>111.03</v>
      </c>
      <c r="K2224" s="80"/>
      <c r="L2224" s="222">
        <v>6435000</v>
      </c>
      <c r="M2224" s="223"/>
      <c r="N2224" s="223"/>
      <c r="O2224" s="61"/>
      <c r="P2224" s="69" t="str">
        <f t="shared" si="148"/>
        <v>BCA 8607</v>
      </c>
      <c r="Q2224" s="61"/>
    </row>
    <row r="2225" spans="1:17" hidden="1" x14ac:dyDescent="0.25">
      <c r="A2225" s="60" t="str">
        <f t="shared" si="146"/>
        <v>455112</v>
      </c>
      <c r="B2225" s="60">
        <f>COUNTIF($J$7:J2225,J2225)</f>
        <v>455</v>
      </c>
      <c r="C2225" s="60" t="str">
        <f t="shared" si="147"/>
        <v>26112,3</v>
      </c>
      <c r="D2225" s="60">
        <f>COUNTIF($K$7:K2225,K2225)</f>
        <v>26</v>
      </c>
      <c r="E2225" s="61"/>
      <c r="F2225" s="232">
        <v>44596</v>
      </c>
      <c r="G2225" s="164" t="s">
        <v>149</v>
      </c>
      <c r="H2225" s="61" t="s">
        <v>1228</v>
      </c>
      <c r="I2225" s="63" t="s">
        <v>1237</v>
      </c>
      <c r="J2225" s="64">
        <v>112</v>
      </c>
      <c r="K2225" s="80">
        <v>112.3</v>
      </c>
      <c r="L2225" s="224"/>
      <c r="M2225" s="223">
        <v>6435000</v>
      </c>
      <c r="N2225" s="223"/>
      <c r="O2225" s="61"/>
      <c r="P2225" s="69" t="str">
        <f t="shared" si="148"/>
        <v>Piutang Usaha</v>
      </c>
      <c r="Q2225" s="61"/>
    </row>
    <row r="2226" spans="1:17" hidden="1" x14ac:dyDescent="0.25">
      <c r="A2226" s="60" t="str">
        <f t="shared" si="146"/>
        <v>74111,03</v>
      </c>
      <c r="B2226" s="60">
        <f>COUNTIF($J$7:J2226,J2226)</f>
        <v>74</v>
      </c>
      <c r="C2226" s="60" t="str">
        <f t="shared" si="147"/>
        <v>0</v>
      </c>
      <c r="D2226" s="60">
        <f>COUNTIF($K$7:K2226,K2226)</f>
        <v>0</v>
      </c>
      <c r="E2226" s="61"/>
      <c r="F2226" s="232">
        <v>44596</v>
      </c>
      <c r="G2226" s="72" t="s">
        <v>149</v>
      </c>
      <c r="H2226" s="61" t="s">
        <v>1228</v>
      </c>
      <c r="I2226" s="63" t="s">
        <v>1238</v>
      </c>
      <c r="J2226" s="67">
        <v>111.03</v>
      </c>
      <c r="K2226" s="65"/>
      <c r="L2226" s="222">
        <v>49300000</v>
      </c>
      <c r="M2226" s="223"/>
      <c r="N2226" s="223"/>
      <c r="O2226" s="61"/>
      <c r="P2226" s="69" t="str">
        <f t="shared" si="148"/>
        <v>BCA 8607</v>
      </c>
      <c r="Q2226" s="61"/>
    </row>
    <row r="2227" spans="1:17" hidden="1" x14ac:dyDescent="0.25">
      <c r="A2227" s="60" t="str">
        <f t="shared" si="146"/>
        <v>456112</v>
      </c>
      <c r="B2227" s="60">
        <f>COUNTIF($J$7:J2227,J2227)</f>
        <v>456</v>
      </c>
      <c r="C2227" s="60" t="str">
        <f t="shared" si="147"/>
        <v>1112,66</v>
      </c>
      <c r="D2227" s="60">
        <f>COUNTIF($K$7:K2227,K2227)</f>
        <v>1</v>
      </c>
      <c r="E2227" s="61"/>
      <c r="F2227" s="232">
        <v>44596</v>
      </c>
      <c r="G2227" s="164" t="s">
        <v>149</v>
      </c>
      <c r="H2227" s="61" t="s">
        <v>1228</v>
      </c>
      <c r="I2227" s="63" t="s">
        <v>1238</v>
      </c>
      <c r="J2227" s="64">
        <v>112</v>
      </c>
      <c r="K2227" s="80">
        <v>112.66</v>
      </c>
      <c r="L2227" s="224"/>
      <c r="M2227" s="223">
        <v>49300000</v>
      </c>
      <c r="N2227" s="223"/>
      <c r="O2227" s="61"/>
      <c r="P2227" s="69" t="str">
        <f t="shared" si="148"/>
        <v>Piutang Usaha</v>
      </c>
      <c r="Q2227" s="61"/>
    </row>
    <row r="2228" spans="1:17" hidden="1" x14ac:dyDescent="0.25">
      <c r="A2228" s="60" t="str">
        <f t="shared" si="146"/>
        <v>75111,03</v>
      </c>
      <c r="B2228" s="60">
        <f>COUNTIF($J$7:J2228,J2228)</f>
        <v>75</v>
      </c>
      <c r="C2228" s="60" t="str">
        <f t="shared" si="147"/>
        <v>0</v>
      </c>
      <c r="D2228" s="60">
        <f>COUNTIF($K$7:K2228,K2228)</f>
        <v>0</v>
      </c>
      <c r="E2228" s="61"/>
      <c r="F2228" s="232">
        <v>44596</v>
      </c>
      <c r="G2228" s="72" t="s">
        <v>149</v>
      </c>
      <c r="H2228" s="61" t="s">
        <v>1228</v>
      </c>
      <c r="I2228" s="63" t="s">
        <v>476</v>
      </c>
      <c r="J2228" s="67">
        <v>111.03</v>
      </c>
      <c r="K2228" s="80"/>
      <c r="L2228" s="222">
        <v>78000000</v>
      </c>
      <c r="M2228" s="223"/>
      <c r="N2228" s="223"/>
      <c r="O2228" s="61"/>
      <c r="P2228" s="69" t="str">
        <f t="shared" si="148"/>
        <v>BCA 8607</v>
      </c>
      <c r="Q2228" s="61"/>
    </row>
    <row r="2229" spans="1:17" hidden="1" x14ac:dyDescent="0.25">
      <c r="A2229" s="60" t="str">
        <f t="shared" si="146"/>
        <v>457112</v>
      </c>
      <c r="B2229" s="60">
        <f>COUNTIF($J$7:J2229,J2229)</f>
        <v>457</v>
      </c>
      <c r="C2229" s="60" t="str">
        <f t="shared" si="147"/>
        <v>80112,01</v>
      </c>
      <c r="D2229" s="60">
        <f>COUNTIF($K$7:K2229,K2229)</f>
        <v>80</v>
      </c>
      <c r="E2229" s="61"/>
      <c r="F2229" s="232">
        <v>44596</v>
      </c>
      <c r="G2229" s="164" t="s">
        <v>149</v>
      </c>
      <c r="H2229" s="61" t="s">
        <v>1228</v>
      </c>
      <c r="I2229" s="63" t="s">
        <v>476</v>
      </c>
      <c r="J2229" s="64">
        <v>112</v>
      </c>
      <c r="K2229" s="80">
        <v>112.01</v>
      </c>
      <c r="L2229" s="224"/>
      <c r="M2229" s="223">
        <v>78000000</v>
      </c>
      <c r="N2229" s="223"/>
      <c r="O2229" s="61"/>
      <c r="P2229" s="69" t="str">
        <f t="shared" si="148"/>
        <v>Piutang Usaha</v>
      </c>
      <c r="Q2229" s="61"/>
    </row>
    <row r="2230" spans="1:17" hidden="1" x14ac:dyDescent="0.25">
      <c r="A2230" s="60" t="str">
        <f t="shared" si="146"/>
        <v>76111,03</v>
      </c>
      <c r="B2230" s="60">
        <f>COUNTIF($J$7:J2230,J2230)</f>
        <v>76</v>
      </c>
      <c r="C2230" s="60" t="str">
        <f t="shared" si="147"/>
        <v>0</v>
      </c>
      <c r="D2230" s="60">
        <f>COUNTIF($K$7:K2230,K2230)</f>
        <v>0</v>
      </c>
      <c r="E2230" s="61"/>
      <c r="F2230" s="232">
        <v>44596</v>
      </c>
      <c r="G2230" s="72" t="s">
        <v>149</v>
      </c>
      <c r="H2230" s="61" t="s">
        <v>1228</v>
      </c>
      <c r="I2230" s="63" t="s">
        <v>1239</v>
      </c>
      <c r="J2230" s="67">
        <v>111.03</v>
      </c>
      <c r="K2230" s="80"/>
      <c r="L2230" s="222">
        <v>45100000</v>
      </c>
      <c r="M2230" s="223"/>
      <c r="N2230" s="223"/>
      <c r="O2230" s="61"/>
      <c r="P2230" s="69" t="str">
        <f t="shared" si="148"/>
        <v>BCA 8607</v>
      </c>
      <c r="Q2230" s="61"/>
    </row>
    <row r="2231" spans="1:17" hidden="1" x14ac:dyDescent="0.25">
      <c r="A2231" s="60" t="str">
        <f t="shared" si="146"/>
        <v>458112</v>
      </c>
      <c r="B2231" s="60">
        <f>COUNTIF($J$7:J2231,J2231)</f>
        <v>458</v>
      </c>
      <c r="C2231" s="60" t="str">
        <f t="shared" si="147"/>
        <v>81112,01</v>
      </c>
      <c r="D2231" s="60">
        <f>COUNTIF($K$7:K2231,K2231)</f>
        <v>81</v>
      </c>
      <c r="E2231" s="61"/>
      <c r="F2231" s="232">
        <v>44596</v>
      </c>
      <c r="G2231" s="164" t="s">
        <v>149</v>
      </c>
      <c r="H2231" s="61" t="s">
        <v>1228</v>
      </c>
      <c r="I2231" s="63" t="s">
        <v>1239</v>
      </c>
      <c r="J2231" s="64">
        <v>112</v>
      </c>
      <c r="K2231" s="80">
        <v>112.01</v>
      </c>
      <c r="L2231" s="224"/>
      <c r="M2231" s="223">
        <v>45100000</v>
      </c>
      <c r="N2231" s="223"/>
      <c r="O2231" s="61"/>
      <c r="P2231" s="69" t="str">
        <f t="shared" si="148"/>
        <v>Piutang Usaha</v>
      </c>
      <c r="Q2231" s="61"/>
    </row>
    <row r="2232" spans="1:17" hidden="1" x14ac:dyDescent="0.25">
      <c r="A2232" s="60" t="str">
        <f t="shared" si="146"/>
        <v>77111,03</v>
      </c>
      <c r="B2232" s="60">
        <f>COUNTIF($J$7:J2232,J2232)</f>
        <v>77</v>
      </c>
      <c r="C2232" s="60" t="str">
        <f t="shared" si="147"/>
        <v>0</v>
      </c>
      <c r="D2232" s="60">
        <f>COUNTIF($K$7:K2232,K2232)</f>
        <v>0</v>
      </c>
      <c r="E2232" s="61"/>
      <c r="F2232" s="232">
        <v>44596</v>
      </c>
      <c r="G2232" s="72" t="s">
        <v>149</v>
      </c>
      <c r="H2232" s="61" t="s">
        <v>1228</v>
      </c>
      <c r="I2232" s="63" t="s">
        <v>1239</v>
      </c>
      <c r="J2232" s="67">
        <v>111.03</v>
      </c>
      <c r="K2232" s="80"/>
      <c r="L2232" s="222">
        <v>15097500</v>
      </c>
      <c r="M2232" s="223"/>
      <c r="N2232" s="223"/>
      <c r="O2232" s="61"/>
      <c r="P2232" s="69" t="str">
        <f t="shared" si="148"/>
        <v>BCA 8607</v>
      </c>
      <c r="Q2232" s="61"/>
    </row>
    <row r="2233" spans="1:17" hidden="1" x14ac:dyDescent="0.25">
      <c r="A2233" s="60" t="str">
        <f t="shared" si="146"/>
        <v>459112</v>
      </c>
      <c r="B2233" s="60">
        <f>COUNTIF($J$7:J2233,J2233)</f>
        <v>459</v>
      </c>
      <c r="C2233" s="60" t="str">
        <f t="shared" si="147"/>
        <v>82112,01</v>
      </c>
      <c r="D2233" s="60">
        <f>COUNTIF($K$7:K2233,K2233)</f>
        <v>82</v>
      </c>
      <c r="E2233" s="61"/>
      <c r="F2233" s="232">
        <v>44596</v>
      </c>
      <c r="G2233" s="164" t="s">
        <v>149</v>
      </c>
      <c r="H2233" s="61" t="s">
        <v>1228</v>
      </c>
      <c r="I2233" s="63" t="s">
        <v>1239</v>
      </c>
      <c r="J2233" s="64">
        <v>112</v>
      </c>
      <c r="K2233" s="80">
        <v>112.01</v>
      </c>
      <c r="L2233" s="224"/>
      <c r="M2233" s="223">
        <v>15097500</v>
      </c>
      <c r="N2233" s="223"/>
      <c r="O2233" s="61"/>
      <c r="P2233" s="69" t="str">
        <f t="shared" si="148"/>
        <v>Piutang Usaha</v>
      </c>
      <c r="Q2233" s="61"/>
    </row>
    <row r="2234" spans="1:17" hidden="1" x14ac:dyDescent="0.25">
      <c r="A2234" s="60" t="str">
        <f t="shared" si="146"/>
        <v>78111,03</v>
      </c>
      <c r="B2234" s="60">
        <f>COUNTIF($J$7:J2234,J2234)</f>
        <v>78</v>
      </c>
      <c r="C2234" s="60" t="str">
        <f t="shared" si="147"/>
        <v>0</v>
      </c>
      <c r="D2234" s="60">
        <f>COUNTIF($K$7:K2234,K2234)</f>
        <v>0</v>
      </c>
      <c r="E2234" s="61"/>
      <c r="F2234" s="232">
        <v>44596</v>
      </c>
      <c r="G2234" s="72" t="s">
        <v>149</v>
      </c>
      <c r="H2234" s="61" t="s">
        <v>1228</v>
      </c>
      <c r="I2234" s="63" t="s">
        <v>1240</v>
      </c>
      <c r="J2234" s="67">
        <v>111.03</v>
      </c>
      <c r="K2234" s="65"/>
      <c r="L2234" s="222">
        <v>7700000</v>
      </c>
      <c r="M2234" s="223"/>
      <c r="N2234" s="223"/>
      <c r="O2234" s="61"/>
      <c r="P2234" s="69" t="str">
        <f t="shared" si="148"/>
        <v>BCA 8607</v>
      </c>
      <c r="Q2234" s="61"/>
    </row>
    <row r="2235" spans="1:17" hidden="1" x14ac:dyDescent="0.25">
      <c r="A2235" s="60" t="str">
        <f t="shared" si="146"/>
        <v>460112</v>
      </c>
      <c r="B2235" s="60">
        <f>COUNTIF($J$7:J2235,J2235)</f>
        <v>460</v>
      </c>
      <c r="C2235" s="60" t="str">
        <f t="shared" si="147"/>
        <v>67112,06</v>
      </c>
      <c r="D2235" s="60">
        <f>COUNTIF($K$7:K2235,K2235)</f>
        <v>67</v>
      </c>
      <c r="E2235" s="61"/>
      <c r="F2235" s="232">
        <v>44596</v>
      </c>
      <c r="G2235" s="164" t="s">
        <v>149</v>
      </c>
      <c r="H2235" s="61" t="s">
        <v>1228</v>
      </c>
      <c r="I2235" s="63" t="s">
        <v>1240</v>
      </c>
      <c r="J2235" s="64">
        <v>112</v>
      </c>
      <c r="K2235" s="80">
        <v>112.06</v>
      </c>
      <c r="L2235" s="224"/>
      <c r="M2235" s="223">
        <v>7700000</v>
      </c>
      <c r="N2235" s="223"/>
      <c r="O2235" s="61"/>
      <c r="P2235" s="69" t="str">
        <f t="shared" si="148"/>
        <v>Piutang Usaha</v>
      </c>
      <c r="Q2235" s="61"/>
    </row>
    <row r="2236" spans="1:17" hidden="1" x14ac:dyDescent="0.25">
      <c r="A2236" s="60" t="str">
        <f t="shared" si="146"/>
        <v>79111,03</v>
      </c>
      <c r="B2236" s="60">
        <f>COUNTIF($J$7:J2236,J2236)</f>
        <v>79</v>
      </c>
      <c r="C2236" s="60" t="str">
        <f t="shared" si="147"/>
        <v>0</v>
      </c>
      <c r="D2236" s="60">
        <f>COUNTIF($K$7:K2236,K2236)</f>
        <v>0</v>
      </c>
      <c r="E2236" s="61"/>
      <c r="F2236" s="232">
        <v>44598</v>
      </c>
      <c r="G2236" s="72" t="s">
        <v>149</v>
      </c>
      <c r="H2236" s="61" t="s">
        <v>1228</v>
      </c>
      <c r="I2236" s="63" t="s">
        <v>1241</v>
      </c>
      <c r="J2236" s="67">
        <v>111.03</v>
      </c>
      <c r="K2236" s="65"/>
      <c r="L2236" s="222">
        <v>15625500</v>
      </c>
      <c r="M2236" s="223"/>
      <c r="N2236" s="223"/>
      <c r="O2236" s="61"/>
      <c r="P2236" s="69" t="str">
        <f t="shared" si="148"/>
        <v>BCA 8607</v>
      </c>
      <c r="Q2236" s="61"/>
    </row>
    <row r="2237" spans="1:17" hidden="1" x14ac:dyDescent="0.25">
      <c r="A2237" s="60" t="str">
        <f t="shared" si="146"/>
        <v>461112</v>
      </c>
      <c r="B2237" s="60">
        <f>COUNTIF($J$7:J2237,J2237)</f>
        <v>461</v>
      </c>
      <c r="C2237" s="60" t="str">
        <f t="shared" si="147"/>
        <v>68112,06</v>
      </c>
      <c r="D2237" s="60">
        <f>COUNTIF($K$7:K2237,K2237)</f>
        <v>68</v>
      </c>
      <c r="E2237" s="61"/>
      <c r="F2237" s="232">
        <v>44598</v>
      </c>
      <c r="G2237" s="164" t="s">
        <v>149</v>
      </c>
      <c r="H2237" s="61" t="s">
        <v>1228</v>
      </c>
      <c r="I2237" s="63" t="s">
        <v>1241</v>
      </c>
      <c r="J2237" s="64">
        <v>112</v>
      </c>
      <c r="K2237" s="80">
        <v>112.06</v>
      </c>
      <c r="L2237" s="224"/>
      <c r="M2237" s="223">
        <v>15625500</v>
      </c>
      <c r="N2237" s="223"/>
      <c r="O2237" s="61"/>
      <c r="P2237" s="69" t="str">
        <f t="shared" si="148"/>
        <v>Piutang Usaha</v>
      </c>
      <c r="Q2237" s="61"/>
    </row>
    <row r="2238" spans="1:17" hidden="1" x14ac:dyDescent="0.25">
      <c r="A2238" s="60" t="str">
        <f t="shared" si="146"/>
        <v>80111,03</v>
      </c>
      <c r="B2238" s="60">
        <f>COUNTIF($J$7:J2238,J2238)</f>
        <v>80</v>
      </c>
      <c r="C2238" s="60" t="str">
        <f t="shared" si="147"/>
        <v>0</v>
      </c>
      <c r="D2238" s="60">
        <f>COUNTIF($K$7:K2238,K2238)</f>
        <v>0</v>
      </c>
      <c r="E2238" s="61"/>
      <c r="F2238" s="232">
        <v>44599</v>
      </c>
      <c r="G2238" s="72" t="s">
        <v>149</v>
      </c>
      <c r="H2238" s="61" t="s">
        <v>1228</v>
      </c>
      <c r="I2238" s="63" t="s">
        <v>1242</v>
      </c>
      <c r="J2238" s="67">
        <v>111.03</v>
      </c>
      <c r="K2238" s="65"/>
      <c r="L2238" s="222">
        <v>4262500</v>
      </c>
      <c r="M2238" s="223"/>
      <c r="N2238" s="223"/>
      <c r="O2238" s="61"/>
      <c r="P2238" s="69" t="str">
        <f t="shared" si="148"/>
        <v>BCA 8607</v>
      </c>
      <c r="Q2238" s="61"/>
    </row>
    <row r="2239" spans="1:17" hidden="1" x14ac:dyDescent="0.25">
      <c r="A2239" s="60" t="str">
        <f t="shared" si="146"/>
        <v>462112</v>
      </c>
      <c r="B2239" s="60">
        <f>COUNTIF($J$7:J2239,J2239)</f>
        <v>462</v>
      </c>
      <c r="C2239" s="60" t="str">
        <f t="shared" si="147"/>
        <v>12112,07</v>
      </c>
      <c r="D2239" s="60">
        <f>COUNTIF($K$7:K2239,K2239)</f>
        <v>12</v>
      </c>
      <c r="E2239" s="61"/>
      <c r="F2239" s="232">
        <v>44599</v>
      </c>
      <c r="G2239" s="164" t="s">
        <v>149</v>
      </c>
      <c r="H2239" s="61" t="s">
        <v>1228</v>
      </c>
      <c r="I2239" s="63" t="s">
        <v>1242</v>
      </c>
      <c r="J2239" s="64">
        <v>112</v>
      </c>
      <c r="K2239" s="80">
        <v>112.07</v>
      </c>
      <c r="L2239" s="224"/>
      <c r="M2239" s="223">
        <v>4262500</v>
      </c>
      <c r="N2239" s="223"/>
      <c r="O2239" s="61"/>
      <c r="P2239" s="69" t="str">
        <f t="shared" si="148"/>
        <v>Piutang Usaha</v>
      </c>
      <c r="Q2239" s="61"/>
    </row>
    <row r="2240" spans="1:17" hidden="1" x14ac:dyDescent="0.25">
      <c r="A2240" s="60" t="str">
        <f t="shared" si="146"/>
        <v>81111,03</v>
      </c>
      <c r="B2240" s="60">
        <f>COUNTIF($J$7:J2240,J2240)</f>
        <v>81</v>
      </c>
      <c r="C2240" s="60" t="str">
        <f t="shared" si="147"/>
        <v>0</v>
      </c>
      <c r="D2240" s="60">
        <f>COUNTIF($K$7:K2240,K2240)</f>
        <v>0</v>
      </c>
      <c r="E2240" s="61"/>
      <c r="F2240" s="232">
        <v>44599</v>
      </c>
      <c r="G2240" s="72" t="s">
        <v>149</v>
      </c>
      <c r="H2240" s="61" t="s">
        <v>1228</v>
      </c>
      <c r="I2240" s="63" t="s">
        <v>1243</v>
      </c>
      <c r="J2240" s="67">
        <v>111.03</v>
      </c>
      <c r="K2240" s="65"/>
      <c r="L2240" s="222">
        <v>6352500</v>
      </c>
      <c r="M2240" s="223"/>
      <c r="N2240" s="223"/>
      <c r="O2240" s="61"/>
      <c r="P2240" s="69" t="str">
        <f t="shared" si="148"/>
        <v>BCA 8607</v>
      </c>
      <c r="Q2240" s="61"/>
    </row>
    <row r="2241" spans="1:17" hidden="1" x14ac:dyDescent="0.25">
      <c r="A2241" s="60" t="str">
        <f t="shared" si="146"/>
        <v>463112</v>
      </c>
      <c r="B2241" s="60">
        <f>COUNTIF($J$7:J2241,J2241)</f>
        <v>463</v>
      </c>
      <c r="C2241" s="60" t="str">
        <f t="shared" si="147"/>
        <v>69112,06</v>
      </c>
      <c r="D2241" s="60">
        <f>COUNTIF($K$7:K2241,K2241)</f>
        <v>69</v>
      </c>
      <c r="E2241" s="61"/>
      <c r="F2241" s="232">
        <v>44599</v>
      </c>
      <c r="G2241" s="164" t="s">
        <v>149</v>
      </c>
      <c r="H2241" s="61" t="s">
        <v>1228</v>
      </c>
      <c r="I2241" s="63" t="s">
        <v>1243</v>
      </c>
      <c r="J2241" s="64">
        <v>112</v>
      </c>
      <c r="K2241" s="80">
        <v>112.06</v>
      </c>
      <c r="L2241" s="224"/>
      <c r="M2241" s="223">
        <v>6352500</v>
      </c>
      <c r="N2241" s="223"/>
      <c r="O2241" s="61"/>
      <c r="P2241" s="69" t="str">
        <f t="shared" si="148"/>
        <v>Piutang Usaha</v>
      </c>
      <c r="Q2241" s="61"/>
    </row>
    <row r="2242" spans="1:17" hidden="1" x14ac:dyDescent="0.25">
      <c r="A2242" s="60" t="str">
        <f t="shared" si="146"/>
        <v>82111,03</v>
      </c>
      <c r="B2242" s="60">
        <f>COUNTIF($J$7:J2242,J2242)</f>
        <v>82</v>
      </c>
      <c r="C2242" s="60" t="str">
        <f t="shared" si="147"/>
        <v>0</v>
      </c>
      <c r="D2242" s="60">
        <f>COUNTIF($K$7:K2242,K2242)</f>
        <v>0</v>
      </c>
      <c r="E2242" s="61"/>
      <c r="F2242" s="232">
        <v>44599</v>
      </c>
      <c r="G2242" s="72" t="s">
        <v>149</v>
      </c>
      <c r="H2242" s="61" t="s">
        <v>1228</v>
      </c>
      <c r="I2242" s="63" t="s">
        <v>1244</v>
      </c>
      <c r="J2242" s="67">
        <v>111.03</v>
      </c>
      <c r="K2242" s="65"/>
      <c r="L2242" s="222">
        <v>9600000</v>
      </c>
      <c r="M2242" s="223"/>
      <c r="N2242" s="223"/>
      <c r="O2242" s="61"/>
      <c r="P2242" s="69" t="str">
        <f t="shared" si="148"/>
        <v>BCA 8607</v>
      </c>
      <c r="Q2242" s="61"/>
    </row>
    <row r="2243" spans="1:17" hidden="1" x14ac:dyDescent="0.25">
      <c r="A2243" s="60" t="str">
        <f t="shared" si="146"/>
        <v>464112</v>
      </c>
      <c r="B2243" s="60">
        <f>COUNTIF($J$7:J2243,J2243)</f>
        <v>464</v>
      </c>
      <c r="C2243" s="60" t="str">
        <f t="shared" si="147"/>
        <v>12112,35</v>
      </c>
      <c r="D2243" s="60">
        <f>COUNTIF($K$7:K2243,K2243)</f>
        <v>12</v>
      </c>
      <c r="E2243" s="61"/>
      <c r="F2243" s="232">
        <v>44599</v>
      </c>
      <c r="G2243" s="164" t="s">
        <v>149</v>
      </c>
      <c r="H2243" s="61" t="s">
        <v>1228</v>
      </c>
      <c r="I2243" s="63" t="s">
        <v>1244</v>
      </c>
      <c r="J2243" s="64">
        <v>112</v>
      </c>
      <c r="K2243" s="80">
        <v>112.35</v>
      </c>
      <c r="L2243" s="224"/>
      <c r="M2243" s="223">
        <v>9600000</v>
      </c>
      <c r="N2243" s="223"/>
      <c r="O2243" s="61"/>
      <c r="P2243" s="69" t="str">
        <f t="shared" si="148"/>
        <v>Piutang Usaha</v>
      </c>
      <c r="Q2243" s="61"/>
    </row>
    <row r="2244" spans="1:17" hidden="1" x14ac:dyDescent="0.25">
      <c r="A2244" s="60" t="str">
        <f t="shared" si="146"/>
        <v>83111,03</v>
      </c>
      <c r="B2244" s="60">
        <f>COUNTIF($J$7:J2244,J2244)</f>
        <v>83</v>
      </c>
      <c r="C2244" s="60" t="str">
        <f t="shared" si="147"/>
        <v>0</v>
      </c>
      <c r="D2244" s="60">
        <f>COUNTIF($K$7:K2244,K2244)</f>
        <v>0</v>
      </c>
      <c r="E2244" s="61"/>
      <c r="F2244" s="232">
        <v>44599</v>
      </c>
      <c r="G2244" s="72" t="s">
        <v>149</v>
      </c>
      <c r="H2244" s="61" t="s">
        <v>1228</v>
      </c>
      <c r="I2244" s="61" t="s">
        <v>1245</v>
      </c>
      <c r="J2244" s="67">
        <v>111.03</v>
      </c>
      <c r="K2244" s="221"/>
      <c r="L2244" s="246">
        <v>1925000</v>
      </c>
      <c r="M2244" s="223"/>
      <c r="N2244" s="223"/>
      <c r="O2244" s="61"/>
      <c r="P2244" s="69" t="str">
        <f t="shared" si="148"/>
        <v>BCA 8607</v>
      </c>
      <c r="Q2244" s="61"/>
    </row>
    <row r="2245" spans="1:17" hidden="1" x14ac:dyDescent="0.25">
      <c r="A2245" s="60" t="str">
        <f t="shared" si="146"/>
        <v>465112</v>
      </c>
      <c r="B2245" s="60">
        <f>COUNTIF($J$7:J2245,J2245)</f>
        <v>465</v>
      </c>
      <c r="C2245" s="60" t="str">
        <f t="shared" si="147"/>
        <v>8112,61</v>
      </c>
      <c r="D2245" s="60">
        <f>COUNTIF($K$7:K2245,K2245)</f>
        <v>8</v>
      </c>
      <c r="E2245" s="61"/>
      <c r="F2245" s="232">
        <v>44599</v>
      </c>
      <c r="G2245" s="164" t="s">
        <v>149</v>
      </c>
      <c r="H2245" s="61" t="s">
        <v>1228</v>
      </c>
      <c r="I2245" s="61" t="s">
        <v>1245</v>
      </c>
      <c r="J2245" s="64">
        <v>112</v>
      </c>
      <c r="K2245" s="80">
        <v>112.61</v>
      </c>
      <c r="L2245" s="247"/>
      <c r="M2245" s="223">
        <v>1925000</v>
      </c>
      <c r="N2245" s="223"/>
      <c r="O2245" s="61"/>
      <c r="P2245" s="69" t="str">
        <f t="shared" si="148"/>
        <v>Piutang Usaha</v>
      </c>
      <c r="Q2245" s="61"/>
    </row>
    <row r="2246" spans="1:17" hidden="1" x14ac:dyDescent="0.25">
      <c r="A2246" s="60" t="str">
        <f t="shared" si="146"/>
        <v>84111,03</v>
      </c>
      <c r="B2246" s="60">
        <f>COUNTIF($J$7:J2246,J2246)</f>
        <v>84</v>
      </c>
      <c r="C2246" s="60" t="str">
        <f t="shared" si="147"/>
        <v>0</v>
      </c>
      <c r="D2246" s="60">
        <f>COUNTIF($K$7:K2246,K2246)</f>
        <v>0</v>
      </c>
      <c r="E2246" s="61"/>
      <c r="F2246" s="232">
        <v>44599</v>
      </c>
      <c r="G2246" s="72" t="s">
        <v>149</v>
      </c>
      <c r="H2246" s="61" t="s">
        <v>1228</v>
      </c>
      <c r="I2246" s="63" t="s">
        <v>1246</v>
      </c>
      <c r="J2246" s="67">
        <v>111.03</v>
      </c>
      <c r="K2246" s="65"/>
      <c r="L2246" s="222">
        <v>35000000</v>
      </c>
      <c r="M2246" s="223"/>
      <c r="N2246" s="223"/>
      <c r="O2246" s="61"/>
      <c r="P2246" s="69" t="str">
        <f t="shared" si="148"/>
        <v>BCA 8607</v>
      </c>
      <c r="Q2246" s="61"/>
    </row>
    <row r="2247" spans="1:17" hidden="1" x14ac:dyDescent="0.25">
      <c r="A2247" s="60" t="str">
        <f t="shared" ref="A2247:A2310" si="149">B2247&amp;J2247</f>
        <v>466112</v>
      </c>
      <c r="B2247" s="60">
        <f>COUNTIF($J$7:J2247,J2247)</f>
        <v>466</v>
      </c>
      <c r="C2247" s="60" t="str">
        <f t="shared" ref="C2247:C2310" si="150">D2247&amp;K2247</f>
        <v>48112,02</v>
      </c>
      <c r="D2247" s="60">
        <f>COUNTIF($K$7:K2247,K2247)</f>
        <v>48</v>
      </c>
      <c r="E2247" s="61"/>
      <c r="F2247" s="232">
        <v>44599</v>
      </c>
      <c r="G2247" s="164" t="s">
        <v>149</v>
      </c>
      <c r="H2247" s="61" t="s">
        <v>1228</v>
      </c>
      <c r="I2247" s="63" t="s">
        <v>1246</v>
      </c>
      <c r="J2247" s="64">
        <v>112</v>
      </c>
      <c r="K2247" s="65">
        <v>112.02</v>
      </c>
      <c r="L2247" s="224"/>
      <c r="M2247" s="223">
        <v>35000000</v>
      </c>
      <c r="N2247" s="223"/>
      <c r="O2247" s="61"/>
      <c r="P2247" s="69" t="str">
        <f t="shared" ref="P2247:P2310" si="151">IF(J2247=0,"-",+VLOOKUP(J2247,DAF_AKUN,2,FALSE))</f>
        <v>Piutang Usaha</v>
      </c>
      <c r="Q2247" s="61"/>
    </row>
    <row r="2248" spans="1:17" hidden="1" x14ac:dyDescent="0.25">
      <c r="A2248" s="60" t="str">
        <f t="shared" si="149"/>
        <v>85111,03</v>
      </c>
      <c r="B2248" s="60">
        <f>COUNTIF($J$7:J2248,J2248)</f>
        <v>85</v>
      </c>
      <c r="C2248" s="60" t="str">
        <f t="shared" si="150"/>
        <v>0</v>
      </c>
      <c r="D2248" s="60">
        <f>COUNTIF($K$7:K2248,K2248)</f>
        <v>0</v>
      </c>
      <c r="E2248" s="61"/>
      <c r="F2248" s="232">
        <v>44600</v>
      </c>
      <c r="G2248" s="72" t="s">
        <v>149</v>
      </c>
      <c r="H2248" s="61" t="s">
        <v>1228</v>
      </c>
      <c r="I2248" s="63" t="s">
        <v>1246</v>
      </c>
      <c r="J2248" s="67">
        <v>111.03</v>
      </c>
      <c r="K2248" s="65"/>
      <c r="L2248" s="222">
        <v>20000000</v>
      </c>
      <c r="M2248" s="223"/>
      <c r="N2248" s="223"/>
      <c r="O2248" s="61"/>
      <c r="P2248" s="69" t="str">
        <f t="shared" si="151"/>
        <v>BCA 8607</v>
      </c>
      <c r="Q2248" s="61"/>
    </row>
    <row r="2249" spans="1:17" hidden="1" x14ac:dyDescent="0.25">
      <c r="A2249" s="60" t="str">
        <f t="shared" si="149"/>
        <v>467112</v>
      </c>
      <c r="B2249" s="60">
        <f>COUNTIF($J$7:J2249,J2249)</f>
        <v>467</v>
      </c>
      <c r="C2249" s="60" t="str">
        <f t="shared" si="150"/>
        <v>49112,02</v>
      </c>
      <c r="D2249" s="60">
        <f>COUNTIF($K$7:K2249,K2249)</f>
        <v>49</v>
      </c>
      <c r="E2249" s="61"/>
      <c r="F2249" s="232">
        <v>44600</v>
      </c>
      <c r="G2249" s="164" t="s">
        <v>149</v>
      </c>
      <c r="H2249" s="61" t="s">
        <v>1228</v>
      </c>
      <c r="I2249" s="63" t="s">
        <v>1246</v>
      </c>
      <c r="J2249" s="64">
        <v>112</v>
      </c>
      <c r="K2249" s="65">
        <v>112.02</v>
      </c>
      <c r="L2249" s="224"/>
      <c r="M2249" s="223">
        <v>20000000</v>
      </c>
      <c r="N2249" s="223"/>
      <c r="O2249" s="61"/>
      <c r="P2249" s="69" t="str">
        <f t="shared" si="151"/>
        <v>Piutang Usaha</v>
      </c>
      <c r="Q2249" s="61"/>
    </row>
    <row r="2250" spans="1:17" hidden="1" x14ac:dyDescent="0.25">
      <c r="A2250" s="60" t="str">
        <f t="shared" si="149"/>
        <v>86111,03</v>
      </c>
      <c r="B2250" s="60">
        <f>COUNTIF($J$7:J2250,J2250)</f>
        <v>86</v>
      </c>
      <c r="C2250" s="60" t="str">
        <f t="shared" si="150"/>
        <v>0</v>
      </c>
      <c r="D2250" s="60">
        <f>COUNTIF($K$7:K2250,K2250)</f>
        <v>0</v>
      </c>
      <c r="E2250" s="61"/>
      <c r="F2250" s="232">
        <v>44600</v>
      </c>
      <c r="G2250" s="72" t="s">
        <v>149</v>
      </c>
      <c r="H2250" s="61" t="s">
        <v>1228</v>
      </c>
      <c r="I2250" s="63" t="s">
        <v>1247</v>
      </c>
      <c r="J2250" s="67">
        <v>111.03</v>
      </c>
      <c r="K2250" s="65"/>
      <c r="L2250" s="222">
        <v>13629000</v>
      </c>
      <c r="M2250" s="223"/>
      <c r="N2250" s="223"/>
      <c r="O2250" s="61"/>
      <c r="P2250" s="69" t="str">
        <f t="shared" si="151"/>
        <v>BCA 8607</v>
      </c>
      <c r="Q2250" s="61"/>
    </row>
    <row r="2251" spans="1:17" hidden="1" x14ac:dyDescent="0.25">
      <c r="A2251" s="60" t="str">
        <f t="shared" si="149"/>
        <v>468112</v>
      </c>
      <c r="B2251" s="60">
        <f>COUNTIF($J$7:J2251,J2251)</f>
        <v>468</v>
      </c>
      <c r="C2251" s="60" t="str">
        <f t="shared" si="150"/>
        <v>70112,06</v>
      </c>
      <c r="D2251" s="60">
        <f>COUNTIF($K$7:K2251,K2251)</f>
        <v>70</v>
      </c>
      <c r="E2251" s="61"/>
      <c r="F2251" s="232">
        <v>44600</v>
      </c>
      <c r="G2251" s="164" t="s">
        <v>149</v>
      </c>
      <c r="H2251" s="61" t="s">
        <v>1228</v>
      </c>
      <c r="I2251" s="63" t="s">
        <v>1247</v>
      </c>
      <c r="J2251" s="64">
        <v>112</v>
      </c>
      <c r="K2251" s="80">
        <v>112.06</v>
      </c>
      <c r="L2251" s="224"/>
      <c r="M2251" s="223">
        <v>13629000</v>
      </c>
      <c r="N2251" s="223"/>
      <c r="O2251" s="61"/>
      <c r="P2251" s="69" t="str">
        <f t="shared" si="151"/>
        <v>Piutang Usaha</v>
      </c>
      <c r="Q2251" s="61"/>
    </row>
    <row r="2252" spans="1:17" hidden="1" x14ac:dyDescent="0.25">
      <c r="A2252" s="60" t="str">
        <f t="shared" si="149"/>
        <v>87111,03</v>
      </c>
      <c r="B2252" s="60">
        <f>COUNTIF($J$7:J2252,J2252)</f>
        <v>87</v>
      </c>
      <c r="C2252" s="60" t="str">
        <f t="shared" si="150"/>
        <v>0</v>
      </c>
      <c r="D2252" s="60">
        <f>COUNTIF($K$7:K2252,K2252)</f>
        <v>0</v>
      </c>
      <c r="E2252" s="61"/>
      <c r="F2252" s="232">
        <v>44601</v>
      </c>
      <c r="G2252" s="72" t="s">
        <v>149</v>
      </c>
      <c r="H2252" s="61" t="s">
        <v>1228</v>
      </c>
      <c r="I2252" s="63" t="s">
        <v>1248</v>
      </c>
      <c r="J2252" s="67">
        <v>111.03</v>
      </c>
      <c r="K2252" s="65"/>
      <c r="L2252" s="222">
        <v>60500</v>
      </c>
      <c r="M2252" s="223"/>
      <c r="N2252" s="223"/>
      <c r="O2252" s="61"/>
      <c r="P2252" s="69" t="str">
        <f t="shared" si="151"/>
        <v>BCA 8607</v>
      </c>
      <c r="Q2252" s="61"/>
    </row>
    <row r="2253" spans="1:17" hidden="1" x14ac:dyDescent="0.25">
      <c r="A2253" s="60" t="str">
        <f t="shared" si="149"/>
        <v>59511,04</v>
      </c>
      <c r="B2253" s="60">
        <f>COUNTIF($J$7:J2253,J2253)</f>
        <v>59</v>
      </c>
      <c r="C2253" s="60" t="str">
        <f t="shared" si="150"/>
        <v>0</v>
      </c>
      <c r="D2253" s="60">
        <f>COUNTIF($K$7:K2253,K2253)</f>
        <v>0</v>
      </c>
      <c r="E2253" s="61"/>
      <c r="F2253" s="232">
        <v>44601</v>
      </c>
      <c r="G2253" s="72" t="s">
        <v>149</v>
      </c>
      <c r="H2253" s="61" t="s">
        <v>1228</v>
      </c>
      <c r="I2253" s="63" t="s">
        <v>1248</v>
      </c>
      <c r="J2253" s="64">
        <v>511.04</v>
      </c>
      <c r="K2253" s="65"/>
      <c r="L2253" s="224"/>
      <c r="M2253" s="223">
        <v>60500</v>
      </c>
      <c r="N2253" s="223"/>
      <c r="O2253" s="61"/>
      <c r="P2253" s="69" t="str">
        <f t="shared" si="151"/>
        <v>Biaya pengiriman Via Online (Gojek,Grab), Kuli</v>
      </c>
      <c r="Q2253" s="61"/>
    </row>
    <row r="2254" spans="1:17" hidden="1" x14ac:dyDescent="0.25">
      <c r="A2254" s="60" t="str">
        <f t="shared" si="149"/>
        <v>88111,03</v>
      </c>
      <c r="B2254" s="60">
        <f>COUNTIF($J$7:J2254,J2254)</f>
        <v>88</v>
      </c>
      <c r="C2254" s="60" t="str">
        <f t="shared" si="150"/>
        <v>0</v>
      </c>
      <c r="D2254" s="60">
        <f>COUNTIF($K$7:K2254,K2254)</f>
        <v>0</v>
      </c>
      <c r="E2254" s="61"/>
      <c r="F2254" s="232">
        <v>44601</v>
      </c>
      <c r="G2254" s="72" t="s">
        <v>149</v>
      </c>
      <c r="H2254" s="61" t="s">
        <v>1228</v>
      </c>
      <c r="I2254" s="63" t="s">
        <v>1246</v>
      </c>
      <c r="J2254" s="67">
        <v>111.03</v>
      </c>
      <c r="K2254" s="65"/>
      <c r="L2254" s="222">
        <v>25000000</v>
      </c>
      <c r="M2254" s="223"/>
      <c r="N2254" s="223"/>
      <c r="O2254" s="61"/>
      <c r="P2254" s="69" t="str">
        <f t="shared" si="151"/>
        <v>BCA 8607</v>
      </c>
      <c r="Q2254" s="61"/>
    </row>
    <row r="2255" spans="1:17" hidden="1" x14ac:dyDescent="0.25">
      <c r="A2255" s="60" t="str">
        <f t="shared" si="149"/>
        <v>469112</v>
      </c>
      <c r="B2255" s="60">
        <f>COUNTIF($J$7:J2255,J2255)</f>
        <v>469</v>
      </c>
      <c r="C2255" s="60" t="str">
        <f t="shared" si="150"/>
        <v>50112,02</v>
      </c>
      <c r="D2255" s="60">
        <f>COUNTIF($K$7:K2255,K2255)</f>
        <v>50</v>
      </c>
      <c r="E2255" s="61"/>
      <c r="F2255" s="232">
        <v>44601</v>
      </c>
      <c r="G2255" s="164" t="s">
        <v>149</v>
      </c>
      <c r="H2255" s="61" t="s">
        <v>1228</v>
      </c>
      <c r="I2255" s="63" t="s">
        <v>1246</v>
      </c>
      <c r="J2255" s="64">
        <v>112</v>
      </c>
      <c r="K2255" s="65">
        <v>112.02</v>
      </c>
      <c r="L2255" s="224"/>
      <c r="M2255" s="223">
        <v>25000000</v>
      </c>
      <c r="N2255" s="223"/>
      <c r="O2255" s="61"/>
      <c r="P2255" s="69" t="str">
        <f t="shared" si="151"/>
        <v>Piutang Usaha</v>
      </c>
      <c r="Q2255" s="61"/>
    </row>
    <row r="2256" spans="1:17" hidden="1" x14ac:dyDescent="0.25">
      <c r="A2256" s="60" t="str">
        <f t="shared" si="149"/>
        <v>89111,03</v>
      </c>
      <c r="B2256" s="60">
        <f>COUNTIF($J$7:J2256,J2256)</f>
        <v>89</v>
      </c>
      <c r="C2256" s="60" t="str">
        <f t="shared" si="150"/>
        <v>0</v>
      </c>
      <c r="D2256" s="60">
        <f>COUNTIF($K$7:K2256,K2256)</f>
        <v>0</v>
      </c>
      <c r="E2256" s="61"/>
      <c r="F2256" s="232">
        <v>44602</v>
      </c>
      <c r="G2256" s="72" t="s">
        <v>149</v>
      </c>
      <c r="H2256" s="61" t="s">
        <v>1228</v>
      </c>
      <c r="I2256" s="63" t="s">
        <v>1249</v>
      </c>
      <c r="J2256" s="67">
        <v>111.03</v>
      </c>
      <c r="K2256" s="65"/>
      <c r="L2256" s="222">
        <v>7216000</v>
      </c>
      <c r="M2256" s="223"/>
      <c r="N2256" s="223"/>
      <c r="O2256" s="61"/>
      <c r="P2256" s="69" t="str">
        <f t="shared" si="151"/>
        <v>BCA 8607</v>
      </c>
      <c r="Q2256" s="61"/>
    </row>
    <row r="2257" spans="1:17" hidden="1" x14ac:dyDescent="0.25">
      <c r="A2257" s="60" t="str">
        <f t="shared" si="149"/>
        <v>470112</v>
      </c>
      <c r="B2257" s="60">
        <f>COUNTIF($J$7:J2257,J2257)</f>
        <v>470</v>
      </c>
      <c r="C2257" s="60" t="str">
        <f t="shared" si="150"/>
        <v>83112,01</v>
      </c>
      <c r="D2257" s="60">
        <f>COUNTIF($K$7:K2257,K2257)</f>
        <v>83</v>
      </c>
      <c r="E2257" s="61"/>
      <c r="F2257" s="232">
        <v>44602</v>
      </c>
      <c r="G2257" s="164" t="s">
        <v>149</v>
      </c>
      <c r="H2257" s="61" t="s">
        <v>1228</v>
      </c>
      <c r="I2257" s="63" t="s">
        <v>1249</v>
      </c>
      <c r="J2257" s="64">
        <v>112</v>
      </c>
      <c r="K2257" s="65">
        <v>112.01</v>
      </c>
      <c r="L2257" s="224"/>
      <c r="M2257" s="223">
        <v>7216000</v>
      </c>
      <c r="N2257" s="223"/>
      <c r="O2257" s="61"/>
      <c r="P2257" s="69" t="str">
        <f t="shared" si="151"/>
        <v>Piutang Usaha</v>
      </c>
      <c r="Q2257" s="61"/>
    </row>
    <row r="2258" spans="1:17" hidden="1" x14ac:dyDescent="0.25">
      <c r="A2258" s="60" t="str">
        <f t="shared" si="149"/>
        <v>90111,03</v>
      </c>
      <c r="B2258" s="60">
        <f>COUNTIF($J$7:J2258,J2258)</f>
        <v>90</v>
      </c>
      <c r="C2258" s="60" t="str">
        <f t="shared" si="150"/>
        <v>0</v>
      </c>
      <c r="D2258" s="60">
        <f>COUNTIF($K$7:K2258,K2258)</f>
        <v>0</v>
      </c>
      <c r="E2258" s="61"/>
      <c r="F2258" s="232">
        <v>44603</v>
      </c>
      <c r="G2258" s="72" t="s">
        <v>149</v>
      </c>
      <c r="H2258" s="61" t="s">
        <v>1228</v>
      </c>
      <c r="I2258" s="63" t="s">
        <v>1239</v>
      </c>
      <c r="J2258" s="67">
        <v>111.03</v>
      </c>
      <c r="K2258" s="65"/>
      <c r="L2258" s="222">
        <v>45100000</v>
      </c>
      <c r="M2258" s="223"/>
      <c r="N2258" s="223"/>
      <c r="O2258" s="61"/>
      <c r="P2258" s="69" t="str">
        <f t="shared" si="151"/>
        <v>BCA 8607</v>
      </c>
      <c r="Q2258" s="61"/>
    </row>
    <row r="2259" spans="1:17" hidden="1" x14ac:dyDescent="0.25">
      <c r="A2259" s="60" t="str">
        <f t="shared" si="149"/>
        <v>471112</v>
      </c>
      <c r="B2259" s="60">
        <f>COUNTIF($J$7:J2259,J2259)</f>
        <v>471</v>
      </c>
      <c r="C2259" s="60" t="str">
        <f t="shared" si="150"/>
        <v>84112,01</v>
      </c>
      <c r="D2259" s="60">
        <f>COUNTIF($K$7:K2259,K2259)</f>
        <v>84</v>
      </c>
      <c r="E2259" s="61"/>
      <c r="F2259" s="232">
        <v>44603</v>
      </c>
      <c r="G2259" s="164" t="s">
        <v>149</v>
      </c>
      <c r="H2259" s="61" t="s">
        <v>1228</v>
      </c>
      <c r="I2259" s="63" t="s">
        <v>1239</v>
      </c>
      <c r="J2259" s="64">
        <v>112</v>
      </c>
      <c r="K2259" s="80">
        <v>112.01</v>
      </c>
      <c r="L2259" s="224"/>
      <c r="M2259" s="223">
        <v>45100000</v>
      </c>
      <c r="N2259" s="223"/>
      <c r="O2259" s="61"/>
      <c r="P2259" s="69" t="str">
        <f t="shared" si="151"/>
        <v>Piutang Usaha</v>
      </c>
      <c r="Q2259" s="61"/>
    </row>
    <row r="2260" spans="1:17" hidden="1" x14ac:dyDescent="0.25">
      <c r="A2260" s="60" t="str">
        <f t="shared" si="149"/>
        <v>91111,03</v>
      </c>
      <c r="B2260" s="60">
        <f>COUNTIF($J$7:J2260,J2260)</f>
        <v>91</v>
      </c>
      <c r="C2260" s="60" t="str">
        <f t="shared" si="150"/>
        <v>0</v>
      </c>
      <c r="D2260" s="60">
        <f>COUNTIF($K$7:K2260,K2260)</f>
        <v>0</v>
      </c>
      <c r="E2260" s="61"/>
      <c r="F2260" s="232">
        <v>44603</v>
      </c>
      <c r="G2260" s="72" t="s">
        <v>149</v>
      </c>
      <c r="H2260" s="61" t="s">
        <v>1228</v>
      </c>
      <c r="I2260" s="63" t="s">
        <v>1250</v>
      </c>
      <c r="J2260" s="67">
        <v>111.03</v>
      </c>
      <c r="K2260" s="65"/>
      <c r="L2260" s="222">
        <v>100000000</v>
      </c>
      <c r="M2260" s="223"/>
      <c r="N2260" s="223"/>
      <c r="O2260" s="61"/>
      <c r="P2260" s="69" t="str">
        <f t="shared" si="151"/>
        <v>BCA 8607</v>
      </c>
      <c r="Q2260" s="61"/>
    </row>
    <row r="2261" spans="1:17" hidden="1" x14ac:dyDescent="0.25">
      <c r="A2261" s="60" t="str">
        <f t="shared" si="149"/>
        <v>472112</v>
      </c>
      <c r="B2261" s="60">
        <f>COUNTIF($J$7:J2261,J2261)</f>
        <v>472</v>
      </c>
      <c r="C2261" s="60" t="str">
        <f t="shared" si="150"/>
        <v>85112,01</v>
      </c>
      <c r="D2261" s="60">
        <f>COUNTIF($K$7:K2261,K2261)</f>
        <v>85</v>
      </c>
      <c r="E2261" s="61"/>
      <c r="F2261" s="232">
        <v>44603</v>
      </c>
      <c r="G2261" s="164" t="s">
        <v>149</v>
      </c>
      <c r="H2261" s="61" t="s">
        <v>1228</v>
      </c>
      <c r="I2261" s="63" t="s">
        <v>1250</v>
      </c>
      <c r="J2261" s="64">
        <v>112</v>
      </c>
      <c r="K2261" s="80">
        <v>112.01</v>
      </c>
      <c r="L2261" s="224"/>
      <c r="M2261" s="223">
        <v>100000000</v>
      </c>
      <c r="N2261" s="223"/>
      <c r="O2261" s="61"/>
      <c r="P2261" s="69" t="str">
        <f t="shared" si="151"/>
        <v>Piutang Usaha</v>
      </c>
      <c r="Q2261" s="61"/>
    </row>
    <row r="2262" spans="1:17" hidden="1" x14ac:dyDescent="0.25">
      <c r="A2262" s="60" t="str">
        <f t="shared" si="149"/>
        <v>92111,03</v>
      </c>
      <c r="B2262" s="60">
        <f>COUNTIF($J$7:J2262,J2262)</f>
        <v>92</v>
      </c>
      <c r="C2262" s="60" t="str">
        <f t="shared" si="150"/>
        <v>0</v>
      </c>
      <c r="D2262" s="60">
        <f>COUNTIF($K$7:K2262,K2262)</f>
        <v>0</v>
      </c>
      <c r="E2262" s="61"/>
      <c r="F2262" s="232">
        <v>44603</v>
      </c>
      <c r="G2262" s="72" t="s">
        <v>149</v>
      </c>
      <c r="H2262" s="61" t="s">
        <v>1228</v>
      </c>
      <c r="I2262" s="63" t="s">
        <v>1239</v>
      </c>
      <c r="J2262" s="67">
        <v>111.03</v>
      </c>
      <c r="K2262" s="65"/>
      <c r="L2262" s="222">
        <v>3608000</v>
      </c>
      <c r="M2262" s="223"/>
      <c r="N2262" s="223"/>
      <c r="O2262" s="61"/>
      <c r="P2262" s="69" t="str">
        <f t="shared" si="151"/>
        <v>BCA 8607</v>
      </c>
      <c r="Q2262" s="61"/>
    </row>
    <row r="2263" spans="1:17" hidden="1" x14ac:dyDescent="0.25">
      <c r="A2263" s="60" t="str">
        <f t="shared" si="149"/>
        <v>473112</v>
      </c>
      <c r="B2263" s="60">
        <f>COUNTIF($J$7:J2263,J2263)</f>
        <v>473</v>
      </c>
      <c r="C2263" s="60" t="str">
        <f t="shared" si="150"/>
        <v>86112,01</v>
      </c>
      <c r="D2263" s="60">
        <f>COUNTIF($K$7:K2263,K2263)</f>
        <v>86</v>
      </c>
      <c r="E2263" s="61"/>
      <c r="F2263" s="232">
        <v>44603</v>
      </c>
      <c r="G2263" s="164" t="s">
        <v>149</v>
      </c>
      <c r="H2263" s="61" t="s">
        <v>1228</v>
      </c>
      <c r="I2263" s="63" t="s">
        <v>1239</v>
      </c>
      <c r="J2263" s="64">
        <v>112</v>
      </c>
      <c r="K2263" s="80">
        <v>112.01</v>
      </c>
      <c r="L2263" s="224"/>
      <c r="M2263" s="223">
        <v>3608000</v>
      </c>
      <c r="N2263" s="223"/>
      <c r="O2263" s="61"/>
      <c r="P2263" s="69" t="str">
        <f t="shared" si="151"/>
        <v>Piutang Usaha</v>
      </c>
      <c r="Q2263" s="61"/>
    </row>
    <row r="2264" spans="1:17" hidden="1" x14ac:dyDescent="0.25">
      <c r="A2264" s="60" t="str">
        <f t="shared" si="149"/>
        <v>93111,03</v>
      </c>
      <c r="B2264" s="60">
        <f>COUNTIF($J$7:J2264,J2264)</f>
        <v>93</v>
      </c>
      <c r="C2264" s="60" t="str">
        <f t="shared" si="150"/>
        <v>0</v>
      </c>
      <c r="D2264" s="60">
        <f>COUNTIF($K$7:K2264,K2264)</f>
        <v>0</v>
      </c>
      <c r="E2264" s="61"/>
      <c r="F2264" s="232">
        <v>44603</v>
      </c>
      <c r="G2264" s="72" t="s">
        <v>149</v>
      </c>
      <c r="H2264" s="61" t="s">
        <v>1228</v>
      </c>
      <c r="I2264" s="63" t="s">
        <v>1251</v>
      </c>
      <c r="J2264" s="67">
        <v>111.03</v>
      </c>
      <c r="K2264" s="65"/>
      <c r="L2264" s="222">
        <v>8398500</v>
      </c>
      <c r="M2264" s="223"/>
      <c r="N2264" s="223"/>
      <c r="O2264" s="61"/>
      <c r="P2264" s="69" t="str">
        <f t="shared" si="151"/>
        <v>BCA 8607</v>
      </c>
      <c r="Q2264" s="61"/>
    </row>
    <row r="2265" spans="1:17" hidden="1" x14ac:dyDescent="0.25">
      <c r="A2265" s="60" t="str">
        <f t="shared" si="149"/>
        <v>474112</v>
      </c>
      <c r="B2265" s="60">
        <f>COUNTIF($J$7:J2265,J2265)</f>
        <v>474</v>
      </c>
      <c r="C2265" s="60" t="str">
        <f t="shared" si="150"/>
        <v>71112,06</v>
      </c>
      <c r="D2265" s="60">
        <f>COUNTIF($K$7:K2265,K2265)</f>
        <v>71</v>
      </c>
      <c r="E2265" s="61"/>
      <c r="F2265" s="232">
        <v>44603</v>
      </c>
      <c r="G2265" s="164" t="s">
        <v>149</v>
      </c>
      <c r="H2265" s="61" t="s">
        <v>1228</v>
      </c>
      <c r="I2265" s="63" t="s">
        <v>1251</v>
      </c>
      <c r="J2265" s="64">
        <v>112</v>
      </c>
      <c r="K2265" s="80">
        <v>112.06</v>
      </c>
      <c r="L2265" s="224"/>
      <c r="M2265" s="223">
        <v>8398500</v>
      </c>
      <c r="N2265" s="223"/>
      <c r="O2265" s="61"/>
      <c r="P2265" s="69" t="str">
        <f t="shared" si="151"/>
        <v>Piutang Usaha</v>
      </c>
      <c r="Q2265" s="61"/>
    </row>
    <row r="2266" spans="1:17" hidden="1" x14ac:dyDescent="0.25">
      <c r="A2266" s="60" t="str">
        <f t="shared" si="149"/>
        <v>94111,03</v>
      </c>
      <c r="B2266" s="60">
        <f>COUNTIF($J$7:J2266,J2266)</f>
        <v>94</v>
      </c>
      <c r="C2266" s="60" t="str">
        <f t="shared" si="150"/>
        <v>0</v>
      </c>
      <c r="D2266" s="60">
        <f>COUNTIF($K$7:K2266,K2266)</f>
        <v>0</v>
      </c>
      <c r="E2266" s="61"/>
      <c r="F2266" s="232">
        <v>44603</v>
      </c>
      <c r="G2266" s="72" t="s">
        <v>149</v>
      </c>
      <c r="H2266" s="61" t="s">
        <v>1228</v>
      </c>
      <c r="I2266" s="63" t="s">
        <v>1252</v>
      </c>
      <c r="J2266" s="67">
        <v>111.03</v>
      </c>
      <c r="K2266" s="65"/>
      <c r="L2266" s="222">
        <v>12045000</v>
      </c>
      <c r="M2266" s="223"/>
      <c r="N2266" s="223"/>
      <c r="O2266" s="61"/>
      <c r="P2266" s="69" t="str">
        <f t="shared" si="151"/>
        <v>BCA 8607</v>
      </c>
      <c r="Q2266" s="61"/>
    </row>
    <row r="2267" spans="1:17" hidden="1" x14ac:dyDescent="0.25">
      <c r="A2267" s="60" t="str">
        <f t="shared" si="149"/>
        <v>475112</v>
      </c>
      <c r="B2267" s="60">
        <f>COUNTIF($J$7:J2267,J2267)</f>
        <v>475</v>
      </c>
      <c r="C2267" s="60" t="str">
        <f t="shared" si="150"/>
        <v>72112,06</v>
      </c>
      <c r="D2267" s="60">
        <f>COUNTIF($K$7:K2267,K2267)</f>
        <v>72</v>
      </c>
      <c r="E2267" s="61"/>
      <c r="F2267" s="232">
        <v>44603</v>
      </c>
      <c r="G2267" s="164" t="s">
        <v>149</v>
      </c>
      <c r="H2267" s="61" t="s">
        <v>1228</v>
      </c>
      <c r="I2267" s="63" t="s">
        <v>1252</v>
      </c>
      <c r="J2267" s="64">
        <v>112</v>
      </c>
      <c r="K2267" s="80">
        <v>112.06</v>
      </c>
      <c r="L2267" s="224"/>
      <c r="M2267" s="223">
        <v>12045000</v>
      </c>
      <c r="N2267" s="223"/>
      <c r="O2267" s="61"/>
      <c r="P2267" s="69" t="str">
        <f t="shared" si="151"/>
        <v>Piutang Usaha</v>
      </c>
      <c r="Q2267" s="61"/>
    </row>
    <row r="2268" spans="1:17" hidden="1" x14ac:dyDescent="0.25">
      <c r="A2268" s="60" t="str">
        <f t="shared" si="149"/>
        <v>95111,03</v>
      </c>
      <c r="B2268" s="60">
        <f>COUNTIF($J$7:J2268,J2268)</f>
        <v>95</v>
      </c>
      <c r="C2268" s="60" t="str">
        <f t="shared" si="150"/>
        <v>0</v>
      </c>
      <c r="D2268" s="60">
        <f>COUNTIF($K$7:K2268,K2268)</f>
        <v>0</v>
      </c>
      <c r="E2268" s="61"/>
      <c r="F2268" s="232">
        <v>44603</v>
      </c>
      <c r="G2268" s="72" t="s">
        <v>149</v>
      </c>
      <c r="H2268" s="61" t="s">
        <v>1228</v>
      </c>
      <c r="I2268" s="63" t="s">
        <v>1253</v>
      </c>
      <c r="J2268" s="67">
        <v>111.03</v>
      </c>
      <c r="K2268" s="65"/>
      <c r="L2268" s="222">
        <v>4042500</v>
      </c>
      <c r="M2268" s="223"/>
      <c r="N2268" s="223"/>
      <c r="O2268" s="61"/>
      <c r="P2268" s="69" t="str">
        <f t="shared" si="151"/>
        <v>BCA 8607</v>
      </c>
      <c r="Q2268" s="61"/>
    </row>
    <row r="2269" spans="1:17" hidden="1" x14ac:dyDescent="0.25">
      <c r="A2269" s="60" t="str">
        <f t="shared" si="149"/>
        <v>476112</v>
      </c>
      <c r="B2269" s="60">
        <f>COUNTIF($J$7:J2269,J2269)</f>
        <v>476</v>
      </c>
      <c r="C2269" s="60" t="str">
        <f t="shared" si="150"/>
        <v>73112,06</v>
      </c>
      <c r="D2269" s="60">
        <f>COUNTIF($K$7:K2269,K2269)</f>
        <v>73</v>
      </c>
      <c r="E2269" s="61"/>
      <c r="F2269" s="232">
        <v>44603</v>
      </c>
      <c r="G2269" s="164" t="s">
        <v>149</v>
      </c>
      <c r="H2269" s="61" t="s">
        <v>1228</v>
      </c>
      <c r="I2269" s="63" t="s">
        <v>1253</v>
      </c>
      <c r="J2269" s="64">
        <v>112</v>
      </c>
      <c r="K2269" s="80">
        <v>112.06</v>
      </c>
      <c r="L2269" s="224"/>
      <c r="M2269" s="223">
        <v>4042500</v>
      </c>
      <c r="N2269" s="223"/>
      <c r="O2269" s="61"/>
      <c r="P2269" s="69" t="str">
        <f t="shared" si="151"/>
        <v>Piutang Usaha</v>
      </c>
      <c r="Q2269" s="61"/>
    </row>
    <row r="2270" spans="1:17" hidden="1" x14ac:dyDescent="0.25">
      <c r="A2270" s="60" t="str">
        <f t="shared" si="149"/>
        <v>96111,03</v>
      </c>
      <c r="B2270" s="60">
        <f>COUNTIF($J$7:J2270,J2270)</f>
        <v>96</v>
      </c>
      <c r="C2270" s="60" t="str">
        <f t="shared" si="150"/>
        <v>0</v>
      </c>
      <c r="D2270" s="60">
        <f>COUNTIF($K$7:K2270,K2270)</f>
        <v>0</v>
      </c>
      <c r="E2270" s="61"/>
      <c r="F2270" s="232">
        <v>44603</v>
      </c>
      <c r="G2270" s="72" t="s">
        <v>149</v>
      </c>
      <c r="H2270" s="61" t="s">
        <v>1228</v>
      </c>
      <c r="I2270" s="63" t="s">
        <v>1254</v>
      </c>
      <c r="J2270" s="67">
        <v>111.03</v>
      </c>
      <c r="K2270" s="65"/>
      <c r="L2270" s="222">
        <v>35904000</v>
      </c>
      <c r="M2270" s="223"/>
      <c r="N2270" s="223"/>
      <c r="O2270" s="61"/>
      <c r="P2270" s="69" t="str">
        <f t="shared" si="151"/>
        <v>BCA 8607</v>
      </c>
      <c r="Q2270" s="61"/>
    </row>
    <row r="2271" spans="1:17" hidden="1" x14ac:dyDescent="0.25">
      <c r="A2271" s="60" t="str">
        <f t="shared" si="149"/>
        <v>97111,03</v>
      </c>
      <c r="B2271" s="60">
        <f>COUNTIF($J$7:J2271,J2271)</f>
        <v>97</v>
      </c>
      <c r="C2271" s="60" t="str">
        <f t="shared" si="150"/>
        <v>0</v>
      </c>
      <c r="D2271" s="60">
        <f>COUNTIF($K$7:K2271,K2271)</f>
        <v>0</v>
      </c>
      <c r="E2271" s="61"/>
      <c r="F2271" s="232">
        <v>44603</v>
      </c>
      <c r="G2271" s="72" t="s">
        <v>149</v>
      </c>
      <c r="H2271" s="61" t="s">
        <v>1228</v>
      </c>
      <c r="I2271" s="63" t="s">
        <v>1255</v>
      </c>
      <c r="J2271" s="67">
        <v>111.03</v>
      </c>
      <c r="K2271" s="65"/>
      <c r="L2271" s="222">
        <v>2062500</v>
      </c>
      <c r="M2271" s="223"/>
      <c r="N2271" s="223"/>
      <c r="O2271" s="61"/>
      <c r="P2271" s="69" t="str">
        <f t="shared" si="151"/>
        <v>BCA 8607</v>
      </c>
      <c r="Q2271" s="61"/>
    </row>
    <row r="2272" spans="1:17" hidden="1" x14ac:dyDescent="0.25">
      <c r="A2272" s="60" t="str">
        <f t="shared" si="149"/>
        <v>98111,03</v>
      </c>
      <c r="B2272" s="60">
        <f>COUNTIF($J$7:J2272,J2272)</f>
        <v>98</v>
      </c>
      <c r="C2272" s="60" t="str">
        <f t="shared" si="150"/>
        <v>0</v>
      </c>
      <c r="D2272" s="60">
        <f>COUNTIF($K$7:K2272,K2272)</f>
        <v>0</v>
      </c>
      <c r="E2272" s="61"/>
      <c r="F2272" s="232">
        <v>44603</v>
      </c>
      <c r="G2272" s="72" t="s">
        <v>149</v>
      </c>
      <c r="H2272" s="61" t="s">
        <v>1228</v>
      </c>
      <c r="I2272" s="63" t="s">
        <v>1256</v>
      </c>
      <c r="J2272" s="67">
        <v>111.03</v>
      </c>
      <c r="K2272" s="65"/>
      <c r="L2272" s="222">
        <v>1732500</v>
      </c>
      <c r="M2272" s="223"/>
      <c r="N2272" s="223"/>
      <c r="O2272" s="61"/>
      <c r="P2272" s="69" t="str">
        <f t="shared" si="151"/>
        <v>BCA 8607</v>
      </c>
      <c r="Q2272" s="61"/>
    </row>
    <row r="2273" spans="1:17" hidden="1" x14ac:dyDescent="0.25">
      <c r="A2273" s="60" t="str">
        <f t="shared" si="149"/>
        <v>99111,03</v>
      </c>
      <c r="B2273" s="60">
        <f>COUNTIF($J$7:J2273,J2273)</f>
        <v>99</v>
      </c>
      <c r="C2273" s="60" t="str">
        <f t="shared" si="150"/>
        <v>0</v>
      </c>
      <c r="D2273" s="60">
        <f>COUNTIF($K$7:K2273,K2273)</f>
        <v>0</v>
      </c>
      <c r="E2273" s="61"/>
      <c r="F2273" s="232">
        <v>44603</v>
      </c>
      <c r="G2273" s="72" t="s">
        <v>149</v>
      </c>
      <c r="H2273" s="61" t="s">
        <v>1228</v>
      </c>
      <c r="I2273" s="63" t="s">
        <v>1257</v>
      </c>
      <c r="J2273" s="67">
        <v>111.03</v>
      </c>
      <c r="K2273" s="65"/>
      <c r="L2273" s="222">
        <v>4488000</v>
      </c>
      <c r="M2273" s="223"/>
      <c r="N2273" s="223"/>
      <c r="O2273" s="61"/>
      <c r="P2273" s="69" t="str">
        <f t="shared" si="151"/>
        <v>BCA 8607</v>
      </c>
      <c r="Q2273" s="61"/>
    </row>
    <row r="2274" spans="1:17" hidden="1" x14ac:dyDescent="0.25">
      <c r="A2274" s="60" t="str">
        <f t="shared" si="149"/>
        <v>477112</v>
      </c>
      <c r="B2274" s="60">
        <f>COUNTIF($J$7:J2274,J2274)</f>
        <v>477</v>
      </c>
      <c r="C2274" s="60" t="str">
        <f t="shared" si="150"/>
        <v>28112,43</v>
      </c>
      <c r="D2274" s="60">
        <f>COUNTIF($K$7:K2274,K2274)</f>
        <v>28</v>
      </c>
      <c r="E2274" s="61"/>
      <c r="F2274" s="232">
        <v>44603</v>
      </c>
      <c r="G2274" s="164" t="s">
        <v>149</v>
      </c>
      <c r="H2274" s="61" t="s">
        <v>1228</v>
      </c>
      <c r="I2274" s="63" t="s">
        <v>1254</v>
      </c>
      <c r="J2274" s="64">
        <v>112</v>
      </c>
      <c r="K2274" s="80">
        <v>112.43</v>
      </c>
      <c r="L2274" s="224"/>
      <c r="M2274" s="223">
        <v>35904000</v>
      </c>
      <c r="N2274" s="223"/>
      <c r="O2274" s="61"/>
      <c r="P2274" s="69" t="str">
        <f t="shared" si="151"/>
        <v>Piutang Usaha</v>
      </c>
      <c r="Q2274" s="61"/>
    </row>
    <row r="2275" spans="1:17" hidden="1" x14ac:dyDescent="0.25">
      <c r="A2275" s="60" t="str">
        <f t="shared" si="149"/>
        <v>478112</v>
      </c>
      <c r="B2275" s="60">
        <f>COUNTIF($J$7:J2275,J2275)</f>
        <v>478</v>
      </c>
      <c r="C2275" s="60" t="str">
        <f t="shared" si="150"/>
        <v>29112,43</v>
      </c>
      <c r="D2275" s="60">
        <f>COUNTIF($K$7:K2275,K2275)</f>
        <v>29</v>
      </c>
      <c r="E2275" s="61"/>
      <c r="F2275" s="232">
        <v>44603</v>
      </c>
      <c r="G2275" s="164" t="s">
        <v>149</v>
      </c>
      <c r="H2275" s="61" t="s">
        <v>1228</v>
      </c>
      <c r="I2275" s="63" t="s">
        <v>1255</v>
      </c>
      <c r="J2275" s="64">
        <v>112</v>
      </c>
      <c r="K2275" s="80">
        <v>112.43</v>
      </c>
      <c r="L2275" s="224"/>
      <c r="M2275" s="223">
        <v>2062500</v>
      </c>
      <c r="N2275" s="223"/>
      <c r="O2275" s="61"/>
      <c r="P2275" s="69" t="str">
        <f t="shared" si="151"/>
        <v>Piutang Usaha</v>
      </c>
      <c r="Q2275" s="61"/>
    </row>
    <row r="2276" spans="1:17" hidden="1" x14ac:dyDescent="0.25">
      <c r="A2276" s="60" t="str">
        <f t="shared" si="149"/>
        <v>479112</v>
      </c>
      <c r="B2276" s="60">
        <f>COUNTIF($J$7:J2276,J2276)</f>
        <v>479</v>
      </c>
      <c r="C2276" s="60" t="str">
        <f t="shared" si="150"/>
        <v>30112,43</v>
      </c>
      <c r="D2276" s="60">
        <f>COUNTIF($K$7:K2276,K2276)</f>
        <v>30</v>
      </c>
      <c r="E2276" s="61"/>
      <c r="F2276" s="232">
        <v>44603</v>
      </c>
      <c r="G2276" s="164" t="s">
        <v>149</v>
      </c>
      <c r="H2276" s="61" t="s">
        <v>1228</v>
      </c>
      <c r="I2276" s="63" t="s">
        <v>1256</v>
      </c>
      <c r="J2276" s="64">
        <v>112</v>
      </c>
      <c r="K2276" s="80">
        <v>112.43</v>
      </c>
      <c r="L2276" s="224"/>
      <c r="M2276" s="223">
        <v>1732500</v>
      </c>
      <c r="N2276" s="223"/>
      <c r="O2276" s="61"/>
      <c r="P2276" s="69" t="str">
        <f t="shared" si="151"/>
        <v>Piutang Usaha</v>
      </c>
      <c r="Q2276" s="61"/>
    </row>
    <row r="2277" spans="1:17" hidden="1" x14ac:dyDescent="0.25">
      <c r="A2277" s="60" t="str">
        <f t="shared" si="149"/>
        <v>480112</v>
      </c>
      <c r="B2277" s="60">
        <f>COUNTIF($J$7:J2277,J2277)</f>
        <v>480</v>
      </c>
      <c r="C2277" s="60" t="str">
        <f t="shared" si="150"/>
        <v>31112,43</v>
      </c>
      <c r="D2277" s="60">
        <f>COUNTIF($K$7:K2277,K2277)</f>
        <v>31</v>
      </c>
      <c r="E2277" s="61"/>
      <c r="F2277" s="232">
        <v>44603</v>
      </c>
      <c r="G2277" s="164" t="s">
        <v>149</v>
      </c>
      <c r="H2277" s="61" t="s">
        <v>1228</v>
      </c>
      <c r="I2277" s="63" t="s">
        <v>1257</v>
      </c>
      <c r="J2277" s="64">
        <v>112</v>
      </c>
      <c r="K2277" s="80">
        <v>112.43</v>
      </c>
      <c r="L2277" s="224"/>
      <c r="M2277" s="223">
        <v>4488000</v>
      </c>
      <c r="N2277" s="223"/>
      <c r="O2277" s="61"/>
      <c r="P2277" s="69" t="str">
        <f t="shared" si="151"/>
        <v>Piutang Usaha</v>
      </c>
      <c r="Q2277" s="61"/>
    </row>
    <row r="2278" spans="1:17" hidden="1" x14ac:dyDescent="0.25">
      <c r="A2278" s="60" t="str">
        <f t="shared" si="149"/>
        <v>100111,03</v>
      </c>
      <c r="B2278" s="60">
        <f>COUNTIF($J$7:J2278,J2278)</f>
        <v>100</v>
      </c>
      <c r="C2278" s="60" t="str">
        <f t="shared" si="150"/>
        <v>0</v>
      </c>
      <c r="D2278" s="60">
        <f>COUNTIF($K$7:K2278,K2278)</f>
        <v>0</v>
      </c>
      <c r="E2278" s="61"/>
      <c r="F2278" s="232">
        <v>44606</v>
      </c>
      <c r="G2278" s="72" t="s">
        <v>149</v>
      </c>
      <c r="H2278" s="61" t="s">
        <v>1228</v>
      </c>
      <c r="I2278" s="63" t="s">
        <v>1258</v>
      </c>
      <c r="J2278" s="67">
        <v>111.03</v>
      </c>
      <c r="K2278" s="80"/>
      <c r="L2278" s="222">
        <v>9504000</v>
      </c>
      <c r="M2278" s="223"/>
      <c r="N2278" s="223"/>
      <c r="O2278" s="61"/>
      <c r="P2278" s="69" t="str">
        <f t="shared" si="151"/>
        <v>BCA 8607</v>
      </c>
      <c r="Q2278" s="61"/>
    </row>
    <row r="2279" spans="1:17" hidden="1" x14ac:dyDescent="0.25">
      <c r="A2279" s="60" t="str">
        <f t="shared" si="149"/>
        <v>481112</v>
      </c>
      <c r="B2279" s="60">
        <f>COUNTIF($J$7:J2279,J2279)</f>
        <v>481</v>
      </c>
      <c r="C2279" s="60" t="str">
        <f t="shared" si="150"/>
        <v>4112,67</v>
      </c>
      <c r="D2279" s="60">
        <f>COUNTIF($K$7:K2279,K2279)</f>
        <v>4</v>
      </c>
      <c r="E2279" s="61"/>
      <c r="F2279" s="232">
        <v>44606</v>
      </c>
      <c r="G2279" s="164" t="s">
        <v>149</v>
      </c>
      <c r="H2279" s="61" t="s">
        <v>1228</v>
      </c>
      <c r="I2279" s="63" t="s">
        <v>1258</v>
      </c>
      <c r="J2279" s="64">
        <v>112</v>
      </c>
      <c r="K2279" s="80">
        <v>112.67</v>
      </c>
      <c r="L2279" s="247"/>
      <c r="M2279" s="223">
        <v>9504000</v>
      </c>
      <c r="N2279" s="223"/>
      <c r="O2279" s="61"/>
      <c r="P2279" s="69" t="str">
        <f t="shared" si="151"/>
        <v>Piutang Usaha</v>
      </c>
      <c r="Q2279" s="61"/>
    </row>
    <row r="2280" spans="1:17" hidden="1" x14ac:dyDescent="0.25">
      <c r="A2280" s="60" t="str">
        <f t="shared" si="149"/>
        <v>101111,03</v>
      </c>
      <c r="B2280" s="60">
        <f>COUNTIF($J$7:J2280,J2280)</f>
        <v>101</v>
      </c>
      <c r="C2280" s="60" t="str">
        <f t="shared" si="150"/>
        <v>0</v>
      </c>
      <c r="D2280" s="60">
        <f>COUNTIF($K$7:K2280,K2280)</f>
        <v>0</v>
      </c>
      <c r="E2280" s="61"/>
      <c r="F2280" s="232">
        <v>44606</v>
      </c>
      <c r="G2280" s="72" t="s">
        <v>149</v>
      </c>
      <c r="H2280" s="61" t="s">
        <v>1228</v>
      </c>
      <c r="I2280" s="61" t="s">
        <v>1259</v>
      </c>
      <c r="J2280" s="67">
        <v>111.03</v>
      </c>
      <c r="K2280" s="221"/>
      <c r="L2280" s="246">
        <v>4518734</v>
      </c>
      <c r="M2280" s="223"/>
      <c r="N2280" s="223"/>
      <c r="O2280" s="61"/>
      <c r="P2280" s="69" t="str">
        <f t="shared" si="151"/>
        <v>BCA 8607</v>
      </c>
      <c r="Q2280" s="61"/>
    </row>
    <row r="2281" spans="1:17" hidden="1" x14ac:dyDescent="0.25">
      <c r="A2281" s="60" t="str">
        <f t="shared" si="149"/>
        <v>62220,03</v>
      </c>
      <c r="B2281" s="60">
        <f>COUNTIF($J$7:J2281,J2281)</f>
        <v>62</v>
      </c>
      <c r="C2281" s="60" t="str">
        <f t="shared" si="150"/>
        <v>0</v>
      </c>
      <c r="D2281" s="60">
        <f>COUNTIF($K$7:K2281,K2281)</f>
        <v>0</v>
      </c>
      <c r="E2281" s="61"/>
      <c r="F2281" s="232">
        <v>44606</v>
      </c>
      <c r="G2281" s="72" t="s">
        <v>149</v>
      </c>
      <c r="H2281" s="61" t="s">
        <v>1228</v>
      </c>
      <c r="I2281" s="61" t="s">
        <v>1259</v>
      </c>
      <c r="J2281" s="235">
        <v>220.03</v>
      </c>
      <c r="K2281" s="221"/>
      <c r="L2281" s="247"/>
      <c r="M2281" s="223">
        <v>4518734</v>
      </c>
      <c r="N2281" s="223"/>
      <c r="O2281" s="61"/>
      <c r="P2281" s="69" t="str">
        <f t="shared" si="151"/>
        <v>Hutang BIaya</v>
      </c>
      <c r="Q2281" s="61"/>
    </row>
    <row r="2282" spans="1:17" hidden="1" x14ac:dyDescent="0.25">
      <c r="A2282" s="60" t="str">
        <f t="shared" si="149"/>
        <v>102111,03</v>
      </c>
      <c r="B2282" s="60">
        <f>COUNTIF($J$7:J2282,J2282)</f>
        <v>102</v>
      </c>
      <c r="C2282" s="60" t="str">
        <f t="shared" si="150"/>
        <v>0</v>
      </c>
      <c r="D2282" s="60">
        <f>COUNTIF($K$7:K2282,K2282)</f>
        <v>0</v>
      </c>
      <c r="E2282" s="61"/>
      <c r="F2282" s="232">
        <v>44607</v>
      </c>
      <c r="G2282" s="72" t="s">
        <v>149</v>
      </c>
      <c r="H2282" s="61" t="s">
        <v>1228</v>
      </c>
      <c r="I2282" s="63" t="s">
        <v>1260</v>
      </c>
      <c r="J2282" s="67">
        <v>111.03</v>
      </c>
      <c r="K2282" s="65"/>
      <c r="L2282" s="222">
        <v>19206000</v>
      </c>
      <c r="M2282" s="223"/>
      <c r="N2282" s="223"/>
      <c r="O2282" s="61"/>
      <c r="P2282" s="69" t="str">
        <f t="shared" si="151"/>
        <v>BCA 8607</v>
      </c>
      <c r="Q2282" s="61"/>
    </row>
    <row r="2283" spans="1:17" hidden="1" x14ac:dyDescent="0.25">
      <c r="A2283" s="60" t="str">
        <f t="shared" si="149"/>
        <v>482112</v>
      </c>
      <c r="B2283" s="60">
        <f>COUNTIF($J$7:J2283,J2283)</f>
        <v>482</v>
      </c>
      <c r="C2283" s="60" t="str">
        <f t="shared" si="150"/>
        <v>74112,06</v>
      </c>
      <c r="D2283" s="60">
        <f>COUNTIF($K$7:K2283,K2283)</f>
        <v>74</v>
      </c>
      <c r="E2283" s="61"/>
      <c r="F2283" s="232">
        <v>44607</v>
      </c>
      <c r="G2283" s="164" t="s">
        <v>149</v>
      </c>
      <c r="H2283" s="61" t="s">
        <v>1228</v>
      </c>
      <c r="I2283" s="63" t="s">
        <v>1260</v>
      </c>
      <c r="J2283" s="64">
        <v>112</v>
      </c>
      <c r="K2283" s="80">
        <v>112.06</v>
      </c>
      <c r="L2283" s="224"/>
      <c r="M2283" s="223">
        <v>19206000</v>
      </c>
      <c r="N2283" s="223"/>
      <c r="O2283" s="61"/>
      <c r="P2283" s="69" t="str">
        <f t="shared" si="151"/>
        <v>Piutang Usaha</v>
      </c>
      <c r="Q2283" s="61"/>
    </row>
    <row r="2284" spans="1:17" hidden="1" x14ac:dyDescent="0.25">
      <c r="A2284" s="60" t="str">
        <f t="shared" si="149"/>
        <v>103111,03</v>
      </c>
      <c r="B2284" s="60">
        <f>COUNTIF($J$7:J2284,J2284)</f>
        <v>103</v>
      </c>
      <c r="C2284" s="60" t="str">
        <f t="shared" si="150"/>
        <v>0</v>
      </c>
      <c r="D2284" s="60">
        <f>COUNTIF($K$7:K2284,K2284)</f>
        <v>0</v>
      </c>
      <c r="E2284" s="61"/>
      <c r="F2284" s="232">
        <v>44608</v>
      </c>
      <c r="G2284" s="72" t="s">
        <v>149</v>
      </c>
      <c r="H2284" s="61" t="s">
        <v>1228</v>
      </c>
      <c r="I2284" s="63" t="s">
        <v>1261</v>
      </c>
      <c r="J2284" s="67">
        <v>111.03</v>
      </c>
      <c r="K2284" s="80"/>
      <c r="L2284" s="222">
        <v>8758750</v>
      </c>
      <c r="M2284" s="223"/>
      <c r="N2284" s="223"/>
      <c r="O2284" s="61"/>
      <c r="P2284" s="69" t="str">
        <f t="shared" si="151"/>
        <v>BCA 8607</v>
      </c>
      <c r="Q2284" s="61"/>
    </row>
    <row r="2285" spans="1:17" hidden="1" x14ac:dyDescent="0.25">
      <c r="A2285" s="60" t="str">
        <f t="shared" si="149"/>
        <v>483112</v>
      </c>
      <c r="B2285" s="60">
        <f>COUNTIF($J$7:J2285,J2285)</f>
        <v>483</v>
      </c>
      <c r="C2285" s="60" t="str">
        <f t="shared" si="150"/>
        <v>75112,06</v>
      </c>
      <c r="D2285" s="60">
        <f>COUNTIF($K$7:K2285,K2285)</f>
        <v>75</v>
      </c>
      <c r="E2285" s="61"/>
      <c r="F2285" s="232">
        <v>44608</v>
      </c>
      <c r="G2285" s="164" t="s">
        <v>149</v>
      </c>
      <c r="H2285" s="61" t="s">
        <v>1228</v>
      </c>
      <c r="I2285" s="63" t="s">
        <v>1261</v>
      </c>
      <c r="J2285" s="64">
        <v>112</v>
      </c>
      <c r="K2285" s="80">
        <v>112.06</v>
      </c>
      <c r="L2285" s="224"/>
      <c r="M2285" s="223">
        <v>8758750</v>
      </c>
      <c r="N2285" s="223"/>
      <c r="O2285" s="61"/>
      <c r="P2285" s="69" t="str">
        <f t="shared" si="151"/>
        <v>Piutang Usaha</v>
      </c>
      <c r="Q2285" s="61"/>
    </row>
    <row r="2286" spans="1:17" hidden="1" x14ac:dyDescent="0.25">
      <c r="A2286" s="60" t="str">
        <f t="shared" si="149"/>
        <v>104111,03</v>
      </c>
      <c r="B2286" s="60">
        <f>COUNTIF($J$7:J2286,J2286)</f>
        <v>104</v>
      </c>
      <c r="C2286" s="60" t="str">
        <f t="shared" si="150"/>
        <v>0</v>
      </c>
      <c r="D2286" s="60">
        <f>COUNTIF($K$7:K2286,K2286)</f>
        <v>0</v>
      </c>
      <c r="E2286" s="61"/>
      <c r="F2286" s="232">
        <v>44608</v>
      </c>
      <c r="G2286" s="72" t="s">
        <v>149</v>
      </c>
      <c r="H2286" s="61" t="s">
        <v>1228</v>
      </c>
      <c r="I2286" s="63" t="s">
        <v>1262</v>
      </c>
      <c r="J2286" s="67">
        <v>111.03</v>
      </c>
      <c r="K2286" s="80"/>
      <c r="L2286" s="222">
        <v>3465000</v>
      </c>
      <c r="M2286" s="223"/>
      <c r="N2286" s="223"/>
      <c r="O2286" s="61"/>
      <c r="P2286" s="69" t="str">
        <f t="shared" si="151"/>
        <v>BCA 8607</v>
      </c>
      <c r="Q2286" s="61"/>
    </row>
    <row r="2287" spans="1:17" hidden="1" x14ac:dyDescent="0.25">
      <c r="A2287" s="60" t="str">
        <f t="shared" si="149"/>
        <v>484112</v>
      </c>
      <c r="B2287" s="60">
        <f>COUNTIF($J$7:J2287,J2287)</f>
        <v>484</v>
      </c>
      <c r="C2287" s="60" t="str">
        <f t="shared" si="150"/>
        <v>76112,06</v>
      </c>
      <c r="D2287" s="60">
        <f>COUNTIF($K$7:K2287,K2287)</f>
        <v>76</v>
      </c>
      <c r="E2287" s="61"/>
      <c r="F2287" s="232">
        <v>44608</v>
      </c>
      <c r="G2287" s="164" t="s">
        <v>149</v>
      </c>
      <c r="H2287" s="61" t="s">
        <v>1228</v>
      </c>
      <c r="I2287" s="63" t="s">
        <v>1262</v>
      </c>
      <c r="J2287" s="64">
        <v>112</v>
      </c>
      <c r="K2287" s="80">
        <v>112.06</v>
      </c>
      <c r="L2287" s="224"/>
      <c r="M2287" s="223">
        <v>3465000</v>
      </c>
      <c r="N2287" s="223"/>
      <c r="O2287" s="61"/>
      <c r="P2287" s="69" t="str">
        <f t="shared" si="151"/>
        <v>Piutang Usaha</v>
      </c>
      <c r="Q2287" s="61"/>
    </row>
    <row r="2288" spans="1:17" hidden="1" x14ac:dyDescent="0.25">
      <c r="A2288" s="60" t="str">
        <f t="shared" si="149"/>
        <v>105111,03</v>
      </c>
      <c r="B2288" s="60">
        <f>COUNTIF($J$7:J2288,J2288)</f>
        <v>105</v>
      </c>
      <c r="C2288" s="60" t="str">
        <f t="shared" si="150"/>
        <v>0</v>
      </c>
      <c r="D2288" s="60">
        <f>COUNTIF($K$7:K2288,K2288)</f>
        <v>0</v>
      </c>
      <c r="E2288" s="61"/>
      <c r="F2288" s="232">
        <v>44609</v>
      </c>
      <c r="G2288" s="72" t="s">
        <v>149</v>
      </c>
      <c r="H2288" s="61" t="s">
        <v>1228</v>
      </c>
      <c r="I2288" s="243" t="s">
        <v>1263</v>
      </c>
      <c r="J2288" s="67">
        <v>111.03</v>
      </c>
      <c r="K2288" s="80"/>
      <c r="L2288" s="222">
        <v>6435000</v>
      </c>
      <c r="M2288" s="223"/>
      <c r="N2288" s="223"/>
      <c r="O2288" s="61"/>
      <c r="P2288" s="69" t="str">
        <f t="shared" si="151"/>
        <v>BCA 8607</v>
      </c>
      <c r="Q2288" s="61"/>
    </row>
    <row r="2289" spans="1:17" hidden="1" x14ac:dyDescent="0.25">
      <c r="A2289" s="60" t="str">
        <f t="shared" si="149"/>
        <v>485112</v>
      </c>
      <c r="B2289" s="60">
        <f>COUNTIF($J$7:J2289,J2289)</f>
        <v>485</v>
      </c>
      <c r="C2289" s="60" t="str">
        <f t="shared" si="150"/>
        <v>27112,3</v>
      </c>
      <c r="D2289" s="60">
        <f>COUNTIF($K$7:K2289,K2289)</f>
        <v>27</v>
      </c>
      <c r="E2289" s="61"/>
      <c r="F2289" s="232">
        <v>44609</v>
      </c>
      <c r="G2289" s="164" t="s">
        <v>149</v>
      </c>
      <c r="H2289" s="61" t="s">
        <v>1228</v>
      </c>
      <c r="I2289" s="243" t="s">
        <v>1263</v>
      </c>
      <c r="J2289" s="64">
        <v>112</v>
      </c>
      <c r="K2289" s="80">
        <v>112.3</v>
      </c>
      <c r="L2289" s="224"/>
      <c r="M2289" s="224">
        <v>6435000</v>
      </c>
      <c r="N2289" s="224"/>
      <c r="O2289" s="61"/>
      <c r="P2289" s="69" t="str">
        <f t="shared" si="151"/>
        <v>Piutang Usaha</v>
      </c>
      <c r="Q2289" s="61"/>
    </row>
    <row r="2290" spans="1:17" hidden="1" x14ac:dyDescent="0.25">
      <c r="A2290" s="60" t="str">
        <f t="shared" si="149"/>
        <v>106111,03</v>
      </c>
      <c r="B2290" s="60">
        <f>COUNTIF($J$7:J2290,J2290)</f>
        <v>106</v>
      </c>
      <c r="C2290" s="60" t="str">
        <f t="shared" si="150"/>
        <v>0</v>
      </c>
      <c r="D2290" s="60">
        <f>COUNTIF($K$7:K2290,K2290)</f>
        <v>0</v>
      </c>
      <c r="E2290" s="61"/>
      <c r="F2290" s="232">
        <v>44609</v>
      </c>
      <c r="G2290" s="72" t="s">
        <v>149</v>
      </c>
      <c r="H2290" s="61" t="s">
        <v>1228</v>
      </c>
      <c r="I2290" s="243" t="s">
        <v>1239</v>
      </c>
      <c r="J2290" s="67">
        <v>111.03</v>
      </c>
      <c r="K2290" s="80"/>
      <c r="L2290" s="222">
        <v>7216000</v>
      </c>
      <c r="M2290" s="223"/>
      <c r="N2290" s="223"/>
      <c r="O2290" s="61"/>
      <c r="P2290" s="69" t="str">
        <f t="shared" si="151"/>
        <v>BCA 8607</v>
      </c>
      <c r="Q2290" s="61"/>
    </row>
    <row r="2291" spans="1:17" hidden="1" x14ac:dyDescent="0.25">
      <c r="A2291" s="60" t="str">
        <f t="shared" si="149"/>
        <v>486112</v>
      </c>
      <c r="B2291" s="60">
        <f>COUNTIF($J$7:J2291,J2291)</f>
        <v>486</v>
      </c>
      <c r="C2291" s="60" t="str">
        <f t="shared" si="150"/>
        <v>87112,01</v>
      </c>
      <c r="D2291" s="60">
        <f>COUNTIF($K$7:K2291,K2291)</f>
        <v>87</v>
      </c>
      <c r="E2291" s="61"/>
      <c r="F2291" s="232">
        <v>44609</v>
      </c>
      <c r="G2291" s="164" t="s">
        <v>149</v>
      </c>
      <c r="H2291" s="61" t="s">
        <v>1228</v>
      </c>
      <c r="I2291" s="243" t="s">
        <v>1239</v>
      </c>
      <c r="J2291" s="64">
        <v>112</v>
      </c>
      <c r="K2291" s="80">
        <v>112.01</v>
      </c>
      <c r="L2291" s="224"/>
      <c r="M2291" s="224">
        <v>7216000</v>
      </c>
      <c r="N2291" s="224"/>
      <c r="O2291" s="61"/>
      <c r="P2291" s="69" t="str">
        <f t="shared" si="151"/>
        <v>Piutang Usaha</v>
      </c>
      <c r="Q2291" s="61"/>
    </row>
    <row r="2292" spans="1:17" hidden="1" x14ac:dyDescent="0.25">
      <c r="A2292" s="60" t="str">
        <f t="shared" si="149"/>
        <v>107111,03</v>
      </c>
      <c r="B2292" s="60">
        <f>COUNTIF($J$7:J2292,J2292)</f>
        <v>107</v>
      </c>
      <c r="C2292" s="60" t="str">
        <f t="shared" si="150"/>
        <v>0</v>
      </c>
      <c r="D2292" s="60">
        <f>COUNTIF($K$7:K2292,K2292)</f>
        <v>0</v>
      </c>
      <c r="E2292" s="61"/>
      <c r="F2292" s="232">
        <v>44609</v>
      </c>
      <c r="G2292" s="72" t="s">
        <v>149</v>
      </c>
      <c r="H2292" s="61" t="s">
        <v>1228</v>
      </c>
      <c r="I2292" s="63" t="s">
        <v>1264</v>
      </c>
      <c r="J2292" s="67">
        <v>111.03</v>
      </c>
      <c r="K2292" s="65"/>
      <c r="L2292" s="222">
        <v>8976000</v>
      </c>
      <c r="M2292" s="223"/>
      <c r="N2292" s="223"/>
      <c r="O2292" s="61"/>
      <c r="P2292" s="69" t="str">
        <f t="shared" si="151"/>
        <v>BCA 8607</v>
      </c>
      <c r="Q2292" s="61"/>
    </row>
    <row r="2293" spans="1:17" hidden="1" x14ac:dyDescent="0.25">
      <c r="A2293" s="60" t="str">
        <f t="shared" si="149"/>
        <v>487112</v>
      </c>
      <c r="B2293" s="60">
        <f>COUNTIF($J$7:J2293,J2293)</f>
        <v>487</v>
      </c>
      <c r="C2293" s="60" t="str">
        <f t="shared" si="150"/>
        <v>5112,53</v>
      </c>
      <c r="D2293" s="60">
        <f>COUNTIF($K$7:K2293,K2293)</f>
        <v>5</v>
      </c>
      <c r="E2293" s="61"/>
      <c r="F2293" s="232">
        <v>44609</v>
      </c>
      <c r="G2293" s="164" t="s">
        <v>149</v>
      </c>
      <c r="H2293" s="61" t="s">
        <v>1228</v>
      </c>
      <c r="I2293" s="63" t="s">
        <v>1264</v>
      </c>
      <c r="J2293" s="64">
        <v>112</v>
      </c>
      <c r="K2293" s="80">
        <v>112.53</v>
      </c>
      <c r="L2293" s="224"/>
      <c r="M2293" s="223">
        <v>8976000</v>
      </c>
      <c r="N2293" s="223"/>
      <c r="O2293" s="61"/>
      <c r="P2293" s="69" t="str">
        <f t="shared" si="151"/>
        <v>Piutang Usaha</v>
      </c>
      <c r="Q2293" s="61"/>
    </row>
    <row r="2294" spans="1:17" hidden="1" x14ac:dyDescent="0.25">
      <c r="A2294" s="60" t="str">
        <f t="shared" si="149"/>
        <v>108111,03</v>
      </c>
      <c r="B2294" s="60">
        <f>COUNTIF($J$7:J2294,J2294)</f>
        <v>108</v>
      </c>
      <c r="C2294" s="60" t="str">
        <f t="shared" si="150"/>
        <v>0</v>
      </c>
      <c r="D2294" s="60">
        <f>COUNTIF($K$7:K2294,K2294)</f>
        <v>0</v>
      </c>
      <c r="E2294" s="61"/>
      <c r="F2294" s="232">
        <v>44610</v>
      </c>
      <c r="G2294" s="72" t="s">
        <v>149</v>
      </c>
      <c r="H2294" s="61" t="s">
        <v>1228</v>
      </c>
      <c r="I2294" s="63" t="s">
        <v>1246</v>
      </c>
      <c r="J2294" s="67">
        <v>111.03</v>
      </c>
      <c r="K2294" s="65"/>
      <c r="L2294" s="222">
        <v>20000000</v>
      </c>
      <c r="M2294" s="223"/>
      <c r="N2294" s="223"/>
      <c r="O2294" s="61"/>
      <c r="P2294" s="69" t="str">
        <f t="shared" si="151"/>
        <v>BCA 8607</v>
      </c>
      <c r="Q2294" s="61"/>
    </row>
    <row r="2295" spans="1:17" hidden="1" x14ac:dyDescent="0.25">
      <c r="A2295" s="60" t="str">
        <f t="shared" si="149"/>
        <v>488112</v>
      </c>
      <c r="B2295" s="60">
        <f>COUNTIF($J$7:J2295,J2295)</f>
        <v>488</v>
      </c>
      <c r="C2295" s="60" t="str">
        <f t="shared" si="150"/>
        <v>51112,02</v>
      </c>
      <c r="D2295" s="60">
        <f>COUNTIF($K$7:K2295,K2295)</f>
        <v>51</v>
      </c>
      <c r="E2295" s="61"/>
      <c r="F2295" s="232">
        <v>44610</v>
      </c>
      <c r="G2295" s="164" t="s">
        <v>149</v>
      </c>
      <c r="H2295" s="61" t="s">
        <v>1228</v>
      </c>
      <c r="I2295" s="63" t="s">
        <v>1246</v>
      </c>
      <c r="J2295" s="64">
        <v>112</v>
      </c>
      <c r="K2295" s="65">
        <v>112.02</v>
      </c>
      <c r="L2295" s="224"/>
      <c r="M2295" s="223">
        <v>20000000</v>
      </c>
      <c r="N2295" s="223"/>
      <c r="O2295" s="61"/>
      <c r="P2295" s="69" t="str">
        <f t="shared" si="151"/>
        <v>Piutang Usaha</v>
      </c>
      <c r="Q2295" s="61"/>
    </row>
    <row r="2296" spans="1:17" hidden="1" x14ac:dyDescent="0.25">
      <c r="A2296" s="60" t="str">
        <f t="shared" si="149"/>
        <v>109111,03</v>
      </c>
      <c r="B2296" s="60">
        <f>COUNTIF($J$7:J2296,J2296)</f>
        <v>109</v>
      </c>
      <c r="C2296" s="60" t="str">
        <f t="shared" si="150"/>
        <v>0</v>
      </c>
      <c r="D2296" s="60">
        <f>COUNTIF($K$7:K2296,K2296)</f>
        <v>0</v>
      </c>
      <c r="E2296" s="61"/>
      <c r="F2296" s="232">
        <v>44610</v>
      </c>
      <c r="G2296" s="72" t="s">
        <v>149</v>
      </c>
      <c r="H2296" s="61" t="s">
        <v>1228</v>
      </c>
      <c r="I2296" s="63" t="s">
        <v>1244</v>
      </c>
      <c r="J2296" s="67">
        <v>111.03</v>
      </c>
      <c r="K2296" s="65"/>
      <c r="L2296" s="222">
        <v>9600000</v>
      </c>
      <c r="M2296" s="223"/>
      <c r="N2296" s="223"/>
      <c r="O2296" s="61"/>
      <c r="P2296" s="69" t="str">
        <f t="shared" si="151"/>
        <v>BCA 8607</v>
      </c>
      <c r="Q2296" s="61"/>
    </row>
    <row r="2297" spans="1:17" hidden="1" x14ac:dyDescent="0.25">
      <c r="A2297" s="60" t="str">
        <f t="shared" si="149"/>
        <v>489112</v>
      </c>
      <c r="B2297" s="60">
        <f>COUNTIF($J$7:J2297,J2297)</f>
        <v>489</v>
      </c>
      <c r="C2297" s="60" t="str">
        <f t="shared" si="150"/>
        <v>13112,35</v>
      </c>
      <c r="D2297" s="60">
        <f>COUNTIF($K$7:K2297,K2297)</f>
        <v>13</v>
      </c>
      <c r="E2297" s="61"/>
      <c r="F2297" s="232">
        <v>44610</v>
      </c>
      <c r="G2297" s="164" t="s">
        <v>149</v>
      </c>
      <c r="H2297" s="61" t="s">
        <v>1228</v>
      </c>
      <c r="I2297" s="63" t="s">
        <v>1244</v>
      </c>
      <c r="J2297" s="64">
        <v>112</v>
      </c>
      <c r="K2297" s="80">
        <v>112.35</v>
      </c>
      <c r="L2297" s="224"/>
      <c r="M2297" s="223">
        <v>9600000</v>
      </c>
      <c r="N2297" s="223"/>
      <c r="O2297" s="61"/>
      <c r="P2297" s="69" t="str">
        <f t="shared" si="151"/>
        <v>Piutang Usaha</v>
      </c>
      <c r="Q2297" s="61"/>
    </row>
    <row r="2298" spans="1:17" hidden="1" x14ac:dyDescent="0.25">
      <c r="A2298" s="60" t="str">
        <f t="shared" si="149"/>
        <v>110111,03</v>
      </c>
      <c r="B2298" s="60">
        <f>COUNTIF($J$7:J2298,J2298)</f>
        <v>110</v>
      </c>
      <c r="C2298" s="60" t="str">
        <f t="shared" si="150"/>
        <v>0</v>
      </c>
      <c r="D2298" s="60">
        <f>COUNTIF($K$7:K2298,K2298)</f>
        <v>0</v>
      </c>
      <c r="E2298" s="61"/>
      <c r="F2298" s="232">
        <v>44613</v>
      </c>
      <c r="G2298" s="72" t="s">
        <v>149</v>
      </c>
      <c r="H2298" s="61" t="s">
        <v>1228</v>
      </c>
      <c r="I2298" s="63" t="s">
        <v>1265</v>
      </c>
      <c r="J2298" s="67">
        <v>111.03</v>
      </c>
      <c r="K2298" s="65"/>
      <c r="L2298" s="222">
        <v>30000000</v>
      </c>
      <c r="M2298" s="223"/>
      <c r="N2298" s="223"/>
      <c r="O2298" s="61"/>
      <c r="P2298" s="69" t="str">
        <f t="shared" si="151"/>
        <v>BCA 8607</v>
      </c>
      <c r="Q2298" s="61"/>
    </row>
    <row r="2299" spans="1:17" hidden="1" x14ac:dyDescent="0.25">
      <c r="A2299" s="60" t="str">
        <f t="shared" si="149"/>
        <v>490112</v>
      </c>
      <c r="B2299" s="60">
        <f>COUNTIF($J$7:J2299,J2299)</f>
        <v>490</v>
      </c>
      <c r="C2299" s="60" t="str">
        <f t="shared" si="150"/>
        <v>5112,54</v>
      </c>
      <c r="D2299" s="60">
        <f>COUNTIF($K$7:K2299,K2299)</f>
        <v>5</v>
      </c>
      <c r="E2299" s="61"/>
      <c r="F2299" s="232">
        <v>44613</v>
      </c>
      <c r="G2299" s="164" t="s">
        <v>149</v>
      </c>
      <c r="H2299" s="61" t="s">
        <v>1228</v>
      </c>
      <c r="I2299" s="63" t="s">
        <v>1265</v>
      </c>
      <c r="J2299" s="64">
        <v>112</v>
      </c>
      <c r="K2299" s="80">
        <v>112.54</v>
      </c>
      <c r="L2299" s="224"/>
      <c r="M2299" s="223">
        <v>30000000</v>
      </c>
      <c r="N2299" s="223"/>
      <c r="O2299" s="61"/>
      <c r="P2299" s="69" t="str">
        <f t="shared" si="151"/>
        <v>Piutang Usaha</v>
      </c>
      <c r="Q2299" s="61"/>
    </row>
    <row r="2300" spans="1:17" hidden="1" x14ac:dyDescent="0.25">
      <c r="A2300" s="60" t="str">
        <f t="shared" si="149"/>
        <v>111111,03</v>
      </c>
      <c r="B2300" s="60">
        <f>COUNTIF($J$7:J2300,J2300)</f>
        <v>111</v>
      </c>
      <c r="C2300" s="60" t="str">
        <f t="shared" si="150"/>
        <v>0</v>
      </c>
      <c r="D2300" s="60">
        <f>COUNTIF($K$7:K2300,K2300)</f>
        <v>0</v>
      </c>
      <c r="E2300" s="61"/>
      <c r="F2300" s="232">
        <v>44613</v>
      </c>
      <c r="G2300" s="72" t="s">
        <v>149</v>
      </c>
      <c r="H2300" s="61" t="s">
        <v>1228</v>
      </c>
      <c r="I2300" s="63" t="s">
        <v>1266</v>
      </c>
      <c r="J2300" s="67">
        <v>111.03</v>
      </c>
      <c r="K2300" s="65"/>
      <c r="L2300" s="222">
        <v>1500000</v>
      </c>
      <c r="M2300" s="223"/>
      <c r="N2300" s="223"/>
      <c r="O2300" s="61"/>
      <c r="P2300" s="69" t="str">
        <f t="shared" si="151"/>
        <v>BCA 8607</v>
      </c>
      <c r="Q2300" s="61"/>
    </row>
    <row r="2301" spans="1:17" hidden="1" x14ac:dyDescent="0.25">
      <c r="A2301" s="60" t="str">
        <f t="shared" si="149"/>
        <v>491112</v>
      </c>
      <c r="B2301" s="60">
        <f>COUNTIF($J$7:J2301,J2301)</f>
        <v>491</v>
      </c>
      <c r="C2301" s="60" t="str">
        <f t="shared" si="150"/>
        <v>2112,25</v>
      </c>
      <c r="D2301" s="60">
        <f>COUNTIF($K$7:K2301,K2301)</f>
        <v>2</v>
      </c>
      <c r="E2301" s="61"/>
      <c r="F2301" s="232">
        <v>44613</v>
      </c>
      <c r="G2301" s="164" t="s">
        <v>149</v>
      </c>
      <c r="H2301" s="61" t="s">
        <v>1228</v>
      </c>
      <c r="I2301" s="63" t="s">
        <v>1266</v>
      </c>
      <c r="J2301" s="64">
        <v>112</v>
      </c>
      <c r="K2301" s="80">
        <v>112.25</v>
      </c>
      <c r="L2301" s="224"/>
      <c r="M2301" s="223">
        <v>1500000</v>
      </c>
      <c r="N2301" s="223"/>
      <c r="O2301" s="61"/>
      <c r="P2301" s="69" t="str">
        <f t="shared" si="151"/>
        <v>Piutang Usaha</v>
      </c>
      <c r="Q2301" s="61"/>
    </row>
    <row r="2302" spans="1:17" hidden="1" x14ac:dyDescent="0.25">
      <c r="A2302" s="60" t="str">
        <f t="shared" si="149"/>
        <v>112111,03</v>
      </c>
      <c r="B2302" s="60">
        <f>COUNTIF($J$7:J2302,J2302)</f>
        <v>112</v>
      </c>
      <c r="C2302" s="60" t="str">
        <f t="shared" si="150"/>
        <v>0</v>
      </c>
      <c r="D2302" s="60">
        <f>COUNTIF($K$7:K2302,K2302)</f>
        <v>0</v>
      </c>
      <c r="E2302" s="61"/>
      <c r="F2302" s="232">
        <v>44613</v>
      </c>
      <c r="G2302" s="72" t="s">
        <v>149</v>
      </c>
      <c r="H2302" s="61" t="s">
        <v>1228</v>
      </c>
      <c r="I2302" s="63" t="s">
        <v>1267</v>
      </c>
      <c r="J2302" s="67">
        <v>111.03</v>
      </c>
      <c r="K2302" s="65"/>
      <c r="L2302" s="222">
        <v>4262500</v>
      </c>
      <c r="M2302" s="223"/>
      <c r="N2302" s="223"/>
      <c r="O2302" s="61"/>
      <c r="P2302" s="69" t="str">
        <f t="shared" si="151"/>
        <v>BCA 8607</v>
      </c>
      <c r="Q2302" s="61"/>
    </row>
    <row r="2303" spans="1:17" hidden="1" x14ac:dyDescent="0.25">
      <c r="A2303" s="60" t="str">
        <f t="shared" si="149"/>
        <v>492112</v>
      </c>
      <c r="B2303" s="60">
        <f>COUNTIF($J$7:J2303,J2303)</f>
        <v>492</v>
      </c>
      <c r="C2303" s="60" t="str">
        <f t="shared" si="150"/>
        <v>13112,07</v>
      </c>
      <c r="D2303" s="60">
        <f>COUNTIF($K$7:K2303,K2303)</f>
        <v>13</v>
      </c>
      <c r="E2303" s="61"/>
      <c r="F2303" s="232">
        <v>44613</v>
      </c>
      <c r="G2303" s="164" t="s">
        <v>149</v>
      </c>
      <c r="H2303" s="61" t="s">
        <v>1228</v>
      </c>
      <c r="I2303" s="63" t="s">
        <v>1267</v>
      </c>
      <c r="J2303" s="64">
        <v>112</v>
      </c>
      <c r="K2303" s="80">
        <v>112.07</v>
      </c>
      <c r="L2303" s="224"/>
      <c r="M2303" s="223">
        <v>4262500</v>
      </c>
      <c r="N2303" s="223"/>
      <c r="O2303" s="61"/>
      <c r="P2303" s="69" t="str">
        <f t="shared" si="151"/>
        <v>Piutang Usaha</v>
      </c>
      <c r="Q2303" s="61"/>
    </row>
    <row r="2304" spans="1:17" hidden="1" x14ac:dyDescent="0.25">
      <c r="A2304" s="60" t="str">
        <f t="shared" si="149"/>
        <v>113111,03</v>
      </c>
      <c r="B2304" s="60">
        <f>COUNTIF($J$7:J2304,J2304)</f>
        <v>113</v>
      </c>
      <c r="C2304" s="60" t="str">
        <f t="shared" si="150"/>
        <v>0</v>
      </c>
      <c r="D2304" s="60">
        <f>COUNTIF($K$7:K2304,K2304)</f>
        <v>0</v>
      </c>
      <c r="E2304" s="61"/>
      <c r="F2304" s="232">
        <v>44613</v>
      </c>
      <c r="G2304" s="72" t="s">
        <v>149</v>
      </c>
      <c r="H2304" s="61" t="s">
        <v>1228</v>
      </c>
      <c r="I2304" s="63" t="s">
        <v>1268</v>
      </c>
      <c r="J2304" s="67">
        <v>111.03</v>
      </c>
      <c r="K2304" s="65"/>
      <c r="L2304" s="222">
        <v>4290000</v>
      </c>
      <c r="M2304" s="223"/>
      <c r="N2304" s="223"/>
      <c r="O2304" s="61"/>
      <c r="P2304" s="69" t="str">
        <f t="shared" si="151"/>
        <v>BCA 8607</v>
      </c>
      <c r="Q2304" s="61"/>
    </row>
    <row r="2305" spans="1:17" hidden="1" x14ac:dyDescent="0.25">
      <c r="A2305" s="60" t="str">
        <f t="shared" si="149"/>
        <v>493112</v>
      </c>
      <c r="B2305" s="60">
        <f>COUNTIF($J$7:J2305,J2305)</f>
        <v>493</v>
      </c>
      <c r="C2305" s="60" t="str">
        <f t="shared" si="150"/>
        <v>28112,3</v>
      </c>
      <c r="D2305" s="60">
        <f>COUNTIF($K$7:K2305,K2305)</f>
        <v>28</v>
      </c>
      <c r="E2305" s="61"/>
      <c r="F2305" s="232">
        <v>44613</v>
      </c>
      <c r="G2305" s="164" t="s">
        <v>149</v>
      </c>
      <c r="H2305" s="61" t="s">
        <v>1228</v>
      </c>
      <c r="I2305" s="63" t="s">
        <v>1268</v>
      </c>
      <c r="J2305" s="64">
        <v>112</v>
      </c>
      <c r="K2305" s="80">
        <v>112.3</v>
      </c>
      <c r="L2305" s="224"/>
      <c r="M2305" s="223">
        <v>4290000</v>
      </c>
      <c r="N2305" s="223"/>
      <c r="O2305" s="61"/>
      <c r="P2305" s="69" t="str">
        <f t="shared" si="151"/>
        <v>Piutang Usaha</v>
      </c>
      <c r="Q2305" s="61"/>
    </row>
    <row r="2306" spans="1:17" hidden="1" x14ac:dyDescent="0.25">
      <c r="A2306" s="60" t="str">
        <f t="shared" si="149"/>
        <v>9210,01</v>
      </c>
      <c r="B2306" s="60">
        <f>COUNTIF($J$7:J2306,J2306)</f>
        <v>9</v>
      </c>
      <c r="C2306" s="60" t="str">
        <f t="shared" si="150"/>
        <v>1210,01,46</v>
      </c>
      <c r="D2306" s="60">
        <f>COUNTIF($K$7:K2306,K2306)</f>
        <v>1</v>
      </c>
      <c r="E2306" s="61"/>
      <c r="F2306" s="232">
        <v>44614</v>
      </c>
      <c r="G2306" s="72" t="s">
        <v>149</v>
      </c>
      <c r="H2306" s="61" t="s">
        <v>1228</v>
      </c>
      <c r="I2306" s="248" t="s">
        <v>1269</v>
      </c>
      <c r="J2306" s="233">
        <v>210.01</v>
      </c>
      <c r="K2306" s="80" t="s">
        <v>1270</v>
      </c>
      <c r="L2306" s="249">
        <v>808850900</v>
      </c>
      <c r="M2306" s="223"/>
      <c r="N2306" s="223"/>
      <c r="O2306" s="61"/>
      <c r="P2306" s="69" t="str">
        <f t="shared" si="151"/>
        <v>Hutang Usaha</v>
      </c>
      <c r="Q2306" s="61"/>
    </row>
    <row r="2307" spans="1:17" hidden="1" x14ac:dyDescent="0.25">
      <c r="A2307" s="60" t="str">
        <f t="shared" si="149"/>
        <v>67810,01</v>
      </c>
      <c r="B2307" s="60">
        <f>COUNTIF($J$7:J2307,J2307)</f>
        <v>67</v>
      </c>
      <c r="C2307" s="60" t="str">
        <f t="shared" si="150"/>
        <v>0</v>
      </c>
      <c r="D2307" s="60">
        <f>COUNTIF($K$7:K2307,K2307)</f>
        <v>0</v>
      </c>
      <c r="E2307" s="61"/>
      <c r="F2307" s="232">
        <v>44614</v>
      </c>
      <c r="G2307" s="232"/>
      <c r="H2307" s="61" t="s">
        <v>1228</v>
      </c>
      <c r="I2307" s="63" t="s">
        <v>1271</v>
      </c>
      <c r="J2307" s="67">
        <v>810.01</v>
      </c>
      <c r="K2307" s="65"/>
      <c r="L2307" s="224">
        <v>50000</v>
      </c>
      <c r="M2307" s="223"/>
      <c r="N2307" s="223"/>
      <c r="O2307" s="61"/>
      <c r="P2307" s="69" t="str">
        <f t="shared" si="151"/>
        <v>Biaya Admin Transfer dan Rek</v>
      </c>
      <c r="Q2307" s="61"/>
    </row>
    <row r="2308" spans="1:17" hidden="1" x14ac:dyDescent="0.25">
      <c r="A2308" s="60" t="str">
        <f t="shared" si="149"/>
        <v>6810,04</v>
      </c>
      <c r="B2308" s="60">
        <f>COUNTIF($J$7:J2308,J2308)</f>
        <v>6</v>
      </c>
      <c r="C2308" s="60" t="str">
        <f t="shared" si="150"/>
        <v>0</v>
      </c>
      <c r="D2308" s="60">
        <f>COUNTIF($K$7:K2308,K2308)</f>
        <v>0</v>
      </c>
      <c r="E2308" s="61"/>
      <c r="F2308" s="232">
        <v>44614</v>
      </c>
      <c r="G2308" s="232"/>
      <c r="H2308" s="61" t="s">
        <v>1228</v>
      </c>
      <c r="I2308" s="63" t="s">
        <v>1272</v>
      </c>
      <c r="J2308" s="67">
        <v>810.04</v>
      </c>
      <c r="K2308" s="65"/>
      <c r="L2308" s="224">
        <f>M2309-L2307-L2306</f>
        <v>3959410</v>
      </c>
      <c r="M2308" s="223"/>
      <c r="N2308" s="223"/>
      <c r="O2308" s="61"/>
      <c r="P2308" s="69" t="str">
        <f t="shared" si="151"/>
        <v>Selisih kurs</v>
      </c>
      <c r="Q2308" s="61"/>
    </row>
    <row r="2309" spans="1:17" hidden="1" x14ac:dyDescent="0.25">
      <c r="A2309" s="60" t="str">
        <f t="shared" si="149"/>
        <v>114111,03</v>
      </c>
      <c r="B2309" s="60">
        <f>COUNTIF($J$7:J2309,J2309)</f>
        <v>114</v>
      </c>
      <c r="C2309" s="60" t="str">
        <f t="shared" si="150"/>
        <v>0</v>
      </c>
      <c r="D2309" s="60">
        <f>COUNTIF($K$7:K2309,K2309)</f>
        <v>0</v>
      </c>
      <c r="E2309" s="61"/>
      <c r="F2309" s="232">
        <v>44614</v>
      </c>
      <c r="G2309" s="232"/>
      <c r="H2309" s="61" t="s">
        <v>1228</v>
      </c>
      <c r="I2309" s="63" t="s">
        <v>1269</v>
      </c>
      <c r="J2309" s="67">
        <v>111.03</v>
      </c>
      <c r="K2309" s="65"/>
      <c r="L2309" s="224"/>
      <c r="M2309" s="244">
        <v>812860310</v>
      </c>
      <c r="N2309" s="244"/>
      <c r="O2309" s="61"/>
      <c r="P2309" s="69" t="str">
        <f t="shared" si="151"/>
        <v>BCA 8607</v>
      </c>
      <c r="Q2309" s="61"/>
    </row>
    <row r="2310" spans="1:17" hidden="1" x14ac:dyDescent="0.25">
      <c r="A2310" s="60" t="str">
        <f t="shared" si="149"/>
        <v>115111,03</v>
      </c>
      <c r="B2310" s="60">
        <f>COUNTIF($J$7:J2310,J2310)</f>
        <v>115</v>
      </c>
      <c r="C2310" s="60" t="str">
        <f t="shared" si="150"/>
        <v>0</v>
      </c>
      <c r="D2310" s="60">
        <f>COUNTIF($K$7:K2310,K2310)</f>
        <v>0</v>
      </c>
      <c r="E2310" s="61"/>
      <c r="F2310" s="232">
        <v>44614</v>
      </c>
      <c r="G2310" s="232"/>
      <c r="H2310" s="61" t="s">
        <v>1228</v>
      </c>
      <c r="I2310" s="63" t="s">
        <v>1273</v>
      </c>
      <c r="J2310" s="67">
        <v>111.03</v>
      </c>
      <c r="K2310" s="65"/>
      <c r="L2310" s="222">
        <v>59000</v>
      </c>
      <c r="M2310" s="223"/>
      <c r="N2310" s="223"/>
      <c r="O2310" s="61"/>
      <c r="P2310" s="69" t="str">
        <f t="shared" si="151"/>
        <v>BCA 8607</v>
      </c>
      <c r="Q2310" s="61"/>
    </row>
    <row r="2311" spans="1:17" hidden="1" x14ac:dyDescent="0.25">
      <c r="A2311" s="60" t="str">
        <f t="shared" ref="A2311:A2374" si="152">B2311&amp;J2311</f>
        <v>60511,04</v>
      </c>
      <c r="B2311" s="60">
        <f>COUNTIF($J$7:J2311,J2311)</f>
        <v>60</v>
      </c>
      <c r="C2311" s="60" t="str">
        <f t="shared" ref="C2311:C2374" si="153">D2311&amp;K2311</f>
        <v>0</v>
      </c>
      <c r="D2311" s="60">
        <f>COUNTIF($K$7:K2311,K2311)</f>
        <v>0</v>
      </c>
      <c r="E2311" s="61"/>
      <c r="F2311" s="232">
        <v>44614</v>
      </c>
      <c r="G2311" s="232"/>
      <c r="H2311" s="61" t="s">
        <v>1228</v>
      </c>
      <c r="I2311" s="63" t="s">
        <v>1273</v>
      </c>
      <c r="J2311" s="64">
        <v>511.04</v>
      </c>
      <c r="K2311" s="65"/>
      <c r="L2311" s="224"/>
      <c r="M2311" s="223">
        <v>59000</v>
      </c>
      <c r="N2311" s="223"/>
      <c r="O2311" s="61"/>
      <c r="P2311" s="69" t="str">
        <f t="shared" ref="P2311:P2374" si="154">IF(J2311=0,"-",+VLOOKUP(J2311,DAF_AKUN,2,FALSE))</f>
        <v>Biaya pengiriman Via Online (Gojek,Grab), Kuli</v>
      </c>
      <c r="Q2311" s="61"/>
    </row>
    <row r="2312" spans="1:17" hidden="1" x14ac:dyDescent="0.25">
      <c r="A2312" s="60" t="str">
        <f t="shared" si="152"/>
        <v>116111,03</v>
      </c>
      <c r="B2312" s="60">
        <f>COUNTIF($J$7:J2312,J2312)</f>
        <v>116</v>
      </c>
      <c r="C2312" s="60" t="str">
        <f t="shared" si="153"/>
        <v>0</v>
      </c>
      <c r="D2312" s="60">
        <f>COUNTIF($K$7:K2312,K2312)</f>
        <v>0</v>
      </c>
      <c r="E2312" s="61"/>
      <c r="F2312" s="232">
        <v>44614</v>
      </c>
      <c r="G2312" s="232"/>
      <c r="H2312" s="61" t="s">
        <v>1228</v>
      </c>
      <c r="I2312" s="63" t="s">
        <v>1274</v>
      </c>
      <c r="J2312" s="67">
        <v>111.03</v>
      </c>
      <c r="K2312" s="65"/>
      <c r="L2312" s="222">
        <v>15686000</v>
      </c>
      <c r="M2312" s="223"/>
      <c r="N2312" s="223"/>
      <c r="O2312" s="61"/>
      <c r="P2312" s="69" t="str">
        <f t="shared" si="154"/>
        <v>BCA 8607</v>
      </c>
      <c r="Q2312" s="61"/>
    </row>
    <row r="2313" spans="1:17" hidden="1" x14ac:dyDescent="0.25">
      <c r="A2313" s="60" t="str">
        <f t="shared" si="152"/>
        <v>494112</v>
      </c>
      <c r="B2313" s="60">
        <f>COUNTIF($J$7:J2313,J2313)</f>
        <v>494</v>
      </c>
      <c r="C2313" s="60" t="str">
        <f t="shared" si="153"/>
        <v>77112,06</v>
      </c>
      <c r="D2313" s="60">
        <f>COUNTIF($K$7:K2313,K2313)</f>
        <v>77</v>
      </c>
      <c r="E2313" s="61"/>
      <c r="F2313" s="232">
        <v>44614</v>
      </c>
      <c r="G2313" s="164" t="s">
        <v>149</v>
      </c>
      <c r="H2313" s="61" t="s">
        <v>1228</v>
      </c>
      <c r="I2313" s="63" t="s">
        <v>1274</v>
      </c>
      <c r="J2313" s="64">
        <v>112</v>
      </c>
      <c r="K2313" s="80">
        <v>112.06</v>
      </c>
      <c r="L2313" s="224"/>
      <c r="M2313" s="223">
        <v>15686000</v>
      </c>
      <c r="N2313" s="223"/>
      <c r="O2313" s="61"/>
      <c r="P2313" s="69" t="str">
        <f t="shared" si="154"/>
        <v>Piutang Usaha</v>
      </c>
      <c r="Q2313" s="61"/>
    </row>
    <row r="2314" spans="1:17" hidden="1" x14ac:dyDescent="0.25">
      <c r="A2314" s="60" t="str">
        <f t="shared" si="152"/>
        <v>117111,03</v>
      </c>
      <c r="B2314" s="60">
        <f>COUNTIF($J$7:J2314,J2314)</f>
        <v>117</v>
      </c>
      <c r="C2314" s="60" t="str">
        <f t="shared" si="153"/>
        <v>0</v>
      </c>
      <c r="D2314" s="60">
        <f>COUNTIF($K$7:K2314,K2314)</f>
        <v>0</v>
      </c>
      <c r="E2314" s="61"/>
      <c r="F2314" s="232">
        <v>44614</v>
      </c>
      <c r="G2314" s="232"/>
      <c r="H2314" s="61" t="s">
        <v>1228</v>
      </c>
      <c r="I2314" s="63" t="s">
        <v>476</v>
      </c>
      <c r="J2314" s="67">
        <v>111.03</v>
      </c>
      <c r="K2314" s="65"/>
      <c r="L2314" s="222">
        <v>100000000</v>
      </c>
      <c r="M2314" s="223"/>
      <c r="N2314" s="223"/>
      <c r="O2314" s="61"/>
      <c r="P2314" s="69" t="str">
        <f t="shared" si="154"/>
        <v>BCA 8607</v>
      </c>
      <c r="Q2314" s="61"/>
    </row>
    <row r="2315" spans="1:17" hidden="1" x14ac:dyDescent="0.25">
      <c r="A2315" s="60" t="str">
        <f t="shared" si="152"/>
        <v>495112</v>
      </c>
      <c r="B2315" s="60">
        <f>COUNTIF($J$7:J2315,J2315)</f>
        <v>495</v>
      </c>
      <c r="C2315" s="60" t="str">
        <f t="shared" si="153"/>
        <v>88112,01</v>
      </c>
      <c r="D2315" s="60">
        <f>COUNTIF($K$7:K2315,K2315)</f>
        <v>88</v>
      </c>
      <c r="E2315" s="61"/>
      <c r="F2315" s="232">
        <v>44614</v>
      </c>
      <c r="G2315" s="164" t="s">
        <v>149</v>
      </c>
      <c r="H2315" s="61" t="s">
        <v>1228</v>
      </c>
      <c r="I2315" s="63" t="s">
        <v>476</v>
      </c>
      <c r="J2315" s="64">
        <v>112</v>
      </c>
      <c r="K2315" s="65">
        <v>112.01</v>
      </c>
      <c r="L2315" s="224"/>
      <c r="M2315" s="223">
        <v>100000000</v>
      </c>
      <c r="N2315" s="223"/>
      <c r="O2315" s="61"/>
      <c r="P2315" s="69" t="str">
        <f t="shared" si="154"/>
        <v>Piutang Usaha</v>
      </c>
      <c r="Q2315" s="61"/>
    </row>
    <row r="2316" spans="1:17" hidden="1" x14ac:dyDescent="0.25">
      <c r="A2316" s="60" t="str">
        <f t="shared" si="152"/>
        <v>118111,03</v>
      </c>
      <c r="B2316" s="60">
        <f>COUNTIF($J$7:J2316,J2316)</f>
        <v>118</v>
      </c>
      <c r="C2316" s="60" t="str">
        <f t="shared" si="153"/>
        <v>0</v>
      </c>
      <c r="D2316" s="60">
        <f>COUNTIF($K$7:K2316,K2316)</f>
        <v>0</v>
      </c>
      <c r="E2316" s="61"/>
      <c r="F2316" s="232">
        <v>44614</v>
      </c>
      <c r="G2316" s="232"/>
      <c r="H2316" s="61" t="s">
        <v>1228</v>
      </c>
      <c r="I2316" s="63" t="s">
        <v>1275</v>
      </c>
      <c r="J2316" s="67">
        <v>111.03</v>
      </c>
      <c r="K2316" s="65"/>
      <c r="L2316" s="222">
        <v>18040000</v>
      </c>
      <c r="M2316" s="223"/>
      <c r="N2316" s="223"/>
      <c r="O2316" s="61"/>
      <c r="P2316" s="69" t="str">
        <f t="shared" si="154"/>
        <v>BCA 8607</v>
      </c>
      <c r="Q2316" s="61"/>
    </row>
    <row r="2317" spans="1:17" hidden="1" x14ac:dyDescent="0.25">
      <c r="A2317" s="60" t="str">
        <f t="shared" si="152"/>
        <v>496112</v>
      </c>
      <c r="B2317" s="60">
        <f>COUNTIF($J$7:J2317,J2317)</f>
        <v>496</v>
      </c>
      <c r="C2317" s="60" t="str">
        <f t="shared" si="153"/>
        <v>89112,01</v>
      </c>
      <c r="D2317" s="60">
        <f>COUNTIF($K$7:K2317,K2317)</f>
        <v>89</v>
      </c>
      <c r="E2317" s="61"/>
      <c r="F2317" s="232">
        <v>44614</v>
      </c>
      <c r="G2317" s="164" t="s">
        <v>149</v>
      </c>
      <c r="H2317" s="61" t="s">
        <v>1228</v>
      </c>
      <c r="I2317" s="63" t="s">
        <v>1275</v>
      </c>
      <c r="J2317" s="64">
        <v>112</v>
      </c>
      <c r="K2317" s="65">
        <v>112.01</v>
      </c>
      <c r="L2317" s="224"/>
      <c r="M2317" s="223">
        <v>18040000</v>
      </c>
      <c r="N2317" s="223"/>
      <c r="O2317" s="61"/>
      <c r="P2317" s="69" t="str">
        <f t="shared" si="154"/>
        <v>Piutang Usaha</v>
      </c>
      <c r="Q2317" s="61"/>
    </row>
    <row r="2318" spans="1:17" hidden="1" x14ac:dyDescent="0.25">
      <c r="A2318" s="60" t="str">
        <f t="shared" si="152"/>
        <v>119111,03</v>
      </c>
      <c r="B2318" s="60">
        <f>COUNTIF($J$7:J2318,J2318)</f>
        <v>119</v>
      </c>
      <c r="C2318" s="60" t="str">
        <f t="shared" si="153"/>
        <v>0</v>
      </c>
      <c r="D2318" s="60">
        <f>COUNTIF($K$7:K2318,K2318)</f>
        <v>0</v>
      </c>
      <c r="E2318" s="61"/>
      <c r="F2318" s="232">
        <v>44615</v>
      </c>
      <c r="G2318" s="232"/>
      <c r="H2318" s="61" t="s">
        <v>1228</v>
      </c>
      <c r="I2318" s="63" t="s">
        <v>1276</v>
      </c>
      <c r="J2318" s="67">
        <v>111.03</v>
      </c>
      <c r="K2318" s="65"/>
      <c r="L2318" s="222">
        <v>23611500</v>
      </c>
      <c r="M2318" s="223"/>
      <c r="N2318" s="223"/>
      <c r="O2318" s="61"/>
      <c r="P2318" s="69" t="str">
        <f t="shared" si="154"/>
        <v>BCA 8607</v>
      </c>
      <c r="Q2318" s="61"/>
    </row>
    <row r="2319" spans="1:17" hidden="1" x14ac:dyDescent="0.25">
      <c r="A2319" s="60" t="str">
        <f t="shared" si="152"/>
        <v>497112</v>
      </c>
      <c r="B2319" s="60">
        <f>COUNTIF($J$7:J2319,J2319)</f>
        <v>497</v>
      </c>
      <c r="C2319" s="60" t="str">
        <f t="shared" si="153"/>
        <v>78112,06</v>
      </c>
      <c r="D2319" s="60">
        <f>COUNTIF($K$7:K2319,K2319)</f>
        <v>78</v>
      </c>
      <c r="E2319" s="61"/>
      <c r="F2319" s="232">
        <v>44615</v>
      </c>
      <c r="G2319" s="164" t="s">
        <v>149</v>
      </c>
      <c r="H2319" s="61" t="s">
        <v>1228</v>
      </c>
      <c r="I2319" s="63" t="s">
        <v>1276</v>
      </c>
      <c r="J2319" s="64">
        <v>112</v>
      </c>
      <c r="K2319" s="80">
        <v>112.06</v>
      </c>
      <c r="L2319" s="224"/>
      <c r="M2319" s="223">
        <v>23611500</v>
      </c>
      <c r="N2319" s="223"/>
      <c r="O2319" s="61"/>
      <c r="P2319" s="69" t="str">
        <f t="shared" si="154"/>
        <v>Piutang Usaha</v>
      </c>
      <c r="Q2319" s="61"/>
    </row>
    <row r="2320" spans="1:17" hidden="1" x14ac:dyDescent="0.25">
      <c r="A2320" s="60" t="str">
        <f t="shared" si="152"/>
        <v>120111,03</v>
      </c>
      <c r="B2320" s="60">
        <f>COUNTIF($J$7:J2320,J2320)</f>
        <v>120</v>
      </c>
      <c r="C2320" s="60" t="str">
        <f t="shared" si="153"/>
        <v>0</v>
      </c>
      <c r="D2320" s="60">
        <f>COUNTIF($K$7:K2320,K2320)</f>
        <v>0</v>
      </c>
      <c r="E2320" s="61"/>
      <c r="F2320" s="232">
        <v>44616</v>
      </c>
      <c r="G2320" s="232"/>
      <c r="H2320" s="61" t="s">
        <v>1228</v>
      </c>
      <c r="I2320" s="63" t="s">
        <v>99</v>
      </c>
      <c r="J2320" s="67">
        <v>111.03</v>
      </c>
      <c r="K2320" s="65"/>
      <c r="L2320" s="222">
        <v>4262500</v>
      </c>
      <c r="M2320" s="223"/>
      <c r="N2320" s="223"/>
      <c r="O2320" s="61"/>
      <c r="P2320" s="69" t="str">
        <f t="shared" si="154"/>
        <v>BCA 8607</v>
      </c>
      <c r="Q2320" s="61"/>
    </row>
    <row r="2321" spans="1:17" hidden="1" x14ac:dyDescent="0.25">
      <c r="A2321" s="60" t="str">
        <f t="shared" si="152"/>
        <v>498112</v>
      </c>
      <c r="B2321" s="60">
        <f>COUNTIF($J$7:J2321,J2321)</f>
        <v>498</v>
      </c>
      <c r="C2321" s="60" t="str">
        <f t="shared" si="153"/>
        <v>14112,07</v>
      </c>
      <c r="D2321" s="60">
        <f>COUNTIF($K$7:K2321,K2321)</f>
        <v>14</v>
      </c>
      <c r="E2321" s="61"/>
      <c r="F2321" s="232">
        <v>44616</v>
      </c>
      <c r="G2321" s="164" t="s">
        <v>149</v>
      </c>
      <c r="H2321" s="61" t="s">
        <v>1228</v>
      </c>
      <c r="I2321" s="63" t="s">
        <v>99</v>
      </c>
      <c r="J2321" s="64">
        <v>112</v>
      </c>
      <c r="K2321" s="80">
        <v>112.07</v>
      </c>
      <c r="L2321" s="224"/>
      <c r="M2321" s="223">
        <v>4262500</v>
      </c>
      <c r="N2321" s="223"/>
      <c r="O2321" s="61"/>
      <c r="P2321" s="69" t="str">
        <f t="shared" si="154"/>
        <v>Piutang Usaha</v>
      </c>
      <c r="Q2321" s="61"/>
    </row>
    <row r="2322" spans="1:17" hidden="1" x14ac:dyDescent="0.25">
      <c r="A2322" s="60" t="str">
        <f t="shared" si="152"/>
        <v>121111,03</v>
      </c>
      <c r="B2322" s="60">
        <f>COUNTIF($J$7:J2322,J2322)</f>
        <v>121</v>
      </c>
      <c r="C2322" s="60" t="str">
        <f t="shared" si="153"/>
        <v>0</v>
      </c>
      <c r="D2322" s="60">
        <f>COUNTIF($K$7:K2322,K2322)</f>
        <v>0</v>
      </c>
      <c r="E2322" s="61"/>
      <c r="F2322" s="232">
        <v>44616</v>
      </c>
      <c r="G2322" s="232"/>
      <c r="H2322" s="61" t="s">
        <v>1228</v>
      </c>
      <c r="I2322" s="63" t="s">
        <v>461</v>
      </c>
      <c r="J2322" s="67">
        <v>111.03</v>
      </c>
      <c r="K2322" s="65"/>
      <c r="L2322" s="222">
        <v>10000000</v>
      </c>
      <c r="M2322" s="223"/>
      <c r="N2322" s="223"/>
      <c r="O2322" s="61"/>
      <c r="P2322" s="69" t="str">
        <f t="shared" si="154"/>
        <v>BCA 8607</v>
      </c>
      <c r="Q2322" s="61"/>
    </row>
    <row r="2323" spans="1:17" hidden="1" x14ac:dyDescent="0.25">
      <c r="A2323" s="60" t="str">
        <f t="shared" si="152"/>
        <v>499112</v>
      </c>
      <c r="B2323" s="60">
        <f>COUNTIF($J$7:J2323,J2323)</f>
        <v>499</v>
      </c>
      <c r="C2323" s="60" t="str">
        <f t="shared" si="153"/>
        <v>52112,02</v>
      </c>
      <c r="D2323" s="60">
        <f>COUNTIF($K$7:K2323,K2323)</f>
        <v>52</v>
      </c>
      <c r="E2323" s="61"/>
      <c r="F2323" s="232">
        <v>44616</v>
      </c>
      <c r="G2323" s="164" t="s">
        <v>149</v>
      </c>
      <c r="H2323" s="61" t="s">
        <v>1228</v>
      </c>
      <c r="I2323" s="63" t="s">
        <v>461</v>
      </c>
      <c r="J2323" s="64">
        <v>112</v>
      </c>
      <c r="K2323" s="80">
        <v>112.02</v>
      </c>
      <c r="L2323" s="224"/>
      <c r="M2323" s="223">
        <v>10000000</v>
      </c>
      <c r="N2323" s="223"/>
      <c r="O2323" s="61"/>
      <c r="P2323" s="69" t="str">
        <f t="shared" si="154"/>
        <v>Piutang Usaha</v>
      </c>
      <c r="Q2323" s="61"/>
    </row>
    <row r="2324" spans="1:17" hidden="1" x14ac:dyDescent="0.25">
      <c r="A2324" s="60" t="str">
        <f t="shared" si="152"/>
        <v>122111,03</v>
      </c>
      <c r="B2324" s="60">
        <f>COUNTIF($J$7:J2324,J2324)</f>
        <v>122</v>
      </c>
      <c r="C2324" s="60" t="str">
        <f t="shared" si="153"/>
        <v>0</v>
      </c>
      <c r="D2324" s="60">
        <f>COUNTIF($K$7:K2324,K2324)</f>
        <v>0</v>
      </c>
      <c r="E2324" s="61"/>
      <c r="F2324" s="232">
        <v>44616</v>
      </c>
      <c r="G2324" s="232"/>
      <c r="H2324" s="61" t="s">
        <v>1228</v>
      </c>
      <c r="I2324" s="63" t="s">
        <v>1277</v>
      </c>
      <c r="J2324" s="67">
        <v>111.03</v>
      </c>
      <c r="K2324" s="65"/>
      <c r="L2324" s="222">
        <v>1045000</v>
      </c>
      <c r="M2324" s="223"/>
      <c r="N2324" s="223"/>
      <c r="O2324" s="61"/>
      <c r="P2324" s="69" t="str">
        <f t="shared" si="154"/>
        <v>BCA 8607</v>
      </c>
      <c r="Q2324" s="61"/>
    </row>
    <row r="2325" spans="1:17" hidden="1" x14ac:dyDescent="0.25">
      <c r="A2325" s="60" t="str">
        <f t="shared" si="152"/>
        <v>500112</v>
      </c>
      <c r="B2325" s="60">
        <f>COUNTIF($J$7:J2325,J2325)</f>
        <v>500</v>
      </c>
      <c r="C2325" s="60" t="str">
        <f t="shared" si="153"/>
        <v>2112,7</v>
      </c>
      <c r="D2325" s="60">
        <f>COUNTIF($K$7:K2325,K2325)</f>
        <v>2</v>
      </c>
      <c r="E2325" s="61"/>
      <c r="F2325" s="232">
        <v>44616</v>
      </c>
      <c r="G2325" s="164" t="s">
        <v>149</v>
      </c>
      <c r="H2325" s="61" t="s">
        <v>1228</v>
      </c>
      <c r="I2325" s="63" t="s">
        <v>1277</v>
      </c>
      <c r="J2325" s="64">
        <v>112</v>
      </c>
      <c r="K2325" s="80">
        <v>112.7</v>
      </c>
      <c r="L2325" s="224"/>
      <c r="M2325" s="223">
        <v>1045000</v>
      </c>
      <c r="N2325" s="223"/>
      <c r="O2325" s="61"/>
      <c r="P2325" s="69" t="str">
        <f t="shared" si="154"/>
        <v>Piutang Usaha</v>
      </c>
      <c r="Q2325" s="61"/>
    </row>
    <row r="2326" spans="1:17" hidden="1" x14ac:dyDescent="0.25">
      <c r="A2326" s="60" t="str">
        <f t="shared" si="152"/>
        <v>123111,03</v>
      </c>
      <c r="B2326" s="60">
        <f>COUNTIF($J$7:J2326,J2326)</f>
        <v>123</v>
      </c>
      <c r="C2326" s="60" t="str">
        <f t="shared" si="153"/>
        <v>0</v>
      </c>
      <c r="D2326" s="60">
        <f>COUNTIF($K$7:K2326,K2326)</f>
        <v>0</v>
      </c>
      <c r="E2326" s="61"/>
      <c r="F2326" s="232">
        <v>44616</v>
      </c>
      <c r="G2326" s="232"/>
      <c r="H2326" s="61" t="s">
        <v>1228</v>
      </c>
      <c r="I2326" s="63" t="s">
        <v>1268</v>
      </c>
      <c r="J2326" s="67">
        <v>111.03</v>
      </c>
      <c r="K2326" s="65"/>
      <c r="L2326" s="222">
        <v>2145000</v>
      </c>
      <c r="M2326" s="223"/>
      <c r="N2326" s="223"/>
      <c r="O2326" s="61"/>
      <c r="P2326" s="69" t="str">
        <f t="shared" si="154"/>
        <v>BCA 8607</v>
      </c>
      <c r="Q2326" s="61"/>
    </row>
    <row r="2327" spans="1:17" hidden="1" x14ac:dyDescent="0.25">
      <c r="A2327" s="60" t="str">
        <f t="shared" si="152"/>
        <v>501112</v>
      </c>
      <c r="B2327" s="60">
        <f>COUNTIF($J$7:J2327,J2327)</f>
        <v>501</v>
      </c>
      <c r="C2327" s="60" t="str">
        <f t="shared" si="153"/>
        <v>29112,3</v>
      </c>
      <c r="D2327" s="60">
        <f>COUNTIF($K$7:K2327,K2327)</f>
        <v>29</v>
      </c>
      <c r="E2327" s="61"/>
      <c r="F2327" s="232">
        <v>44616</v>
      </c>
      <c r="G2327" s="164" t="s">
        <v>149</v>
      </c>
      <c r="H2327" s="61" t="s">
        <v>1228</v>
      </c>
      <c r="I2327" s="63" t="s">
        <v>1268</v>
      </c>
      <c r="J2327" s="64">
        <v>112</v>
      </c>
      <c r="K2327" s="80">
        <v>112.3</v>
      </c>
      <c r="L2327" s="224"/>
      <c r="M2327" s="223">
        <v>2145000</v>
      </c>
      <c r="N2327" s="223"/>
      <c r="O2327" s="61"/>
      <c r="P2327" s="69" t="str">
        <f t="shared" si="154"/>
        <v>Piutang Usaha</v>
      </c>
      <c r="Q2327" s="61"/>
    </row>
    <row r="2328" spans="1:17" hidden="1" x14ac:dyDescent="0.25">
      <c r="A2328" s="60" t="str">
        <f t="shared" si="152"/>
        <v>124111,03</v>
      </c>
      <c r="B2328" s="60">
        <f>COUNTIF($J$7:J2328,J2328)</f>
        <v>124</v>
      </c>
      <c r="C2328" s="60" t="str">
        <f t="shared" si="153"/>
        <v>0</v>
      </c>
      <c r="D2328" s="60">
        <f>COUNTIF($K$7:K2328,K2328)</f>
        <v>0</v>
      </c>
      <c r="E2328" s="61"/>
      <c r="F2328" s="232">
        <v>44617</v>
      </c>
      <c r="G2328" s="232"/>
      <c r="H2328" s="61" t="s">
        <v>1228</v>
      </c>
      <c r="I2328" s="63" t="s">
        <v>1278</v>
      </c>
      <c r="J2328" s="67">
        <v>111.03</v>
      </c>
      <c r="K2328" s="65"/>
      <c r="L2328" s="222">
        <v>50688000</v>
      </c>
      <c r="M2328" s="223"/>
      <c r="N2328" s="223"/>
      <c r="O2328" s="61"/>
      <c r="P2328" s="69" t="str">
        <f t="shared" si="154"/>
        <v>BCA 8607</v>
      </c>
      <c r="Q2328" s="61"/>
    </row>
    <row r="2329" spans="1:17" hidden="1" x14ac:dyDescent="0.25">
      <c r="A2329" s="60" t="str">
        <f t="shared" si="152"/>
        <v>502112</v>
      </c>
      <c r="B2329" s="60">
        <f>COUNTIF($J$7:J2329,J2329)</f>
        <v>502</v>
      </c>
      <c r="C2329" s="60" t="str">
        <f t="shared" si="153"/>
        <v>32112,43</v>
      </c>
      <c r="D2329" s="60">
        <f>COUNTIF($K$7:K2329,K2329)</f>
        <v>32</v>
      </c>
      <c r="E2329" s="61"/>
      <c r="F2329" s="232">
        <v>44617</v>
      </c>
      <c r="G2329" s="164" t="s">
        <v>149</v>
      </c>
      <c r="H2329" s="61" t="s">
        <v>1228</v>
      </c>
      <c r="I2329" s="63" t="s">
        <v>1278</v>
      </c>
      <c r="J2329" s="64">
        <v>112</v>
      </c>
      <c r="K2329" s="80">
        <v>112.43</v>
      </c>
      <c r="L2329" s="224"/>
      <c r="M2329" s="223">
        <v>50688000</v>
      </c>
      <c r="N2329" s="223"/>
      <c r="O2329" s="61"/>
      <c r="P2329" s="69" t="str">
        <f t="shared" si="154"/>
        <v>Piutang Usaha</v>
      </c>
      <c r="Q2329" s="61"/>
    </row>
    <row r="2330" spans="1:17" hidden="1" x14ac:dyDescent="0.25">
      <c r="A2330" s="60" t="str">
        <f t="shared" si="152"/>
        <v>125111,03</v>
      </c>
      <c r="B2330" s="60">
        <f>COUNTIF($J$7:J2330,J2330)</f>
        <v>125</v>
      </c>
      <c r="C2330" s="60" t="str">
        <f t="shared" si="153"/>
        <v>0</v>
      </c>
      <c r="D2330" s="60">
        <f>COUNTIF($K$7:K2330,K2330)</f>
        <v>0</v>
      </c>
      <c r="E2330" s="61"/>
      <c r="F2330" s="232">
        <v>44617</v>
      </c>
      <c r="G2330" s="232"/>
      <c r="H2330" s="61" t="s">
        <v>1228</v>
      </c>
      <c r="I2330" s="63" t="s">
        <v>553</v>
      </c>
      <c r="J2330" s="67">
        <v>111.03</v>
      </c>
      <c r="K2330" s="65"/>
      <c r="L2330" s="222">
        <v>100000000</v>
      </c>
      <c r="M2330" s="223"/>
      <c r="N2330" s="223"/>
      <c r="O2330" s="61"/>
      <c r="P2330" s="69" t="str">
        <f t="shared" si="154"/>
        <v>BCA 8607</v>
      </c>
      <c r="Q2330" s="61"/>
    </row>
    <row r="2331" spans="1:17" hidden="1" x14ac:dyDescent="0.25">
      <c r="A2331" s="60" t="str">
        <f t="shared" si="152"/>
        <v>503112</v>
      </c>
      <c r="B2331" s="60">
        <f>COUNTIF($J$7:J2331,J2331)</f>
        <v>503</v>
      </c>
      <c r="C2331" s="60" t="str">
        <f t="shared" si="153"/>
        <v>90112,01</v>
      </c>
      <c r="D2331" s="60">
        <f>COUNTIF($K$7:K2331,K2331)</f>
        <v>90</v>
      </c>
      <c r="E2331" s="61"/>
      <c r="F2331" s="232">
        <v>44617</v>
      </c>
      <c r="G2331" s="164" t="s">
        <v>149</v>
      </c>
      <c r="H2331" s="61" t="s">
        <v>1228</v>
      </c>
      <c r="I2331" s="63" t="s">
        <v>553</v>
      </c>
      <c r="J2331" s="64">
        <v>112</v>
      </c>
      <c r="K2331" s="65">
        <v>112.01</v>
      </c>
      <c r="L2331" s="224"/>
      <c r="M2331" s="223">
        <v>100000000</v>
      </c>
      <c r="N2331" s="223"/>
      <c r="O2331" s="61"/>
      <c r="P2331" s="69" t="str">
        <f t="shared" si="154"/>
        <v>Piutang Usaha</v>
      </c>
      <c r="Q2331" s="61"/>
    </row>
    <row r="2332" spans="1:17" hidden="1" x14ac:dyDescent="0.25">
      <c r="A2332" s="60" t="str">
        <f t="shared" si="152"/>
        <v>126111,03</v>
      </c>
      <c r="B2332" s="60">
        <f>COUNTIF($J$7:J2332,J2332)</f>
        <v>126</v>
      </c>
      <c r="C2332" s="60" t="str">
        <f t="shared" si="153"/>
        <v>0</v>
      </c>
      <c r="D2332" s="60">
        <f>COUNTIF($K$7:K2332,K2332)</f>
        <v>0</v>
      </c>
      <c r="E2332" s="61"/>
      <c r="F2332" s="232">
        <v>44617</v>
      </c>
      <c r="G2332" s="232"/>
      <c r="H2332" s="61" t="s">
        <v>1228</v>
      </c>
      <c r="I2332" s="63" t="s">
        <v>1279</v>
      </c>
      <c r="J2332" s="67">
        <v>111.03</v>
      </c>
      <c r="K2332" s="65"/>
      <c r="L2332" s="222">
        <v>5197500</v>
      </c>
      <c r="M2332" s="223"/>
      <c r="N2332" s="223"/>
      <c r="O2332" s="61"/>
      <c r="P2332" s="69" t="str">
        <f t="shared" si="154"/>
        <v>BCA 8607</v>
      </c>
      <c r="Q2332" s="61"/>
    </row>
    <row r="2333" spans="1:17" hidden="1" x14ac:dyDescent="0.25">
      <c r="A2333" s="60" t="str">
        <f t="shared" si="152"/>
        <v>504112</v>
      </c>
      <c r="B2333" s="60">
        <f>COUNTIF($J$7:J2333,J2333)</f>
        <v>504</v>
      </c>
      <c r="C2333" s="60" t="str">
        <f t="shared" si="153"/>
        <v>79112,06</v>
      </c>
      <c r="D2333" s="60">
        <f>COUNTIF($K$7:K2333,K2333)</f>
        <v>79</v>
      </c>
      <c r="E2333" s="61"/>
      <c r="F2333" s="232">
        <v>44617</v>
      </c>
      <c r="G2333" s="164" t="s">
        <v>149</v>
      </c>
      <c r="H2333" s="61" t="s">
        <v>1228</v>
      </c>
      <c r="I2333" s="63" t="s">
        <v>1279</v>
      </c>
      <c r="J2333" s="64">
        <v>112</v>
      </c>
      <c r="K2333" s="80">
        <v>112.06</v>
      </c>
      <c r="L2333" s="224"/>
      <c r="M2333" s="223">
        <v>5197500</v>
      </c>
      <c r="N2333" s="223"/>
      <c r="O2333" s="61" t="s">
        <v>0</v>
      </c>
      <c r="P2333" s="69" t="str">
        <f t="shared" si="154"/>
        <v>Piutang Usaha</v>
      </c>
      <c r="Q2333" s="61"/>
    </row>
    <row r="2334" spans="1:17" hidden="1" x14ac:dyDescent="0.25">
      <c r="A2334" s="60" t="str">
        <f t="shared" si="152"/>
        <v>68810,01</v>
      </c>
      <c r="B2334" s="60">
        <f>COUNTIF($J$7:J2334,J2334)</f>
        <v>68</v>
      </c>
      <c r="C2334" s="60" t="str">
        <f t="shared" si="153"/>
        <v>0</v>
      </c>
      <c r="D2334" s="60">
        <f>COUNTIF($K$7:K2334,K2334)</f>
        <v>0</v>
      </c>
      <c r="E2334" s="61"/>
      <c r="F2334" s="232">
        <v>44620</v>
      </c>
      <c r="G2334" s="232"/>
      <c r="H2334" s="61" t="s">
        <v>1228</v>
      </c>
      <c r="I2334" s="63" t="s">
        <v>438</v>
      </c>
      <c r="J2334" s="64">
        <v>810.01</v>
      </c>
      <c r="K2334" s="65"/>
      <c r="L2334" s="224">
        <v>30000</v>
      </c>
      <c r="M2334" s="223"/>
      <c r="N2334" s="223"/>
      <c r="O2334" s="61"/>
      <c r="P2334" s="69" t="str">
        <f t="shared" si="154"/>
        <v>Biaya Admin Transfer dan Rek</v>
      </c>
      <c r="Q2334" s="61"/>
    </row>
    <row r="2335" spans="1:17" hidden="1" x14ac:dyDescent="0.25">
      <c r="A2335" s="60" t="str">
        <f t="shared" si="152"/>
        <v>127111,03</v>
      </c>
      <c r="B2335" s="60">
        <f>COUNTIF($J$7:J2335,J2335)</f>
        <v>127</v>
      </c>
      <c r="C2335" s="60" t="str">
        <f t="shared" si="153"/>
        <v>0</v>
      </c>
      <c r="D2335" s="60">
        <f>COUNTIF($K$7:K2335,K2335)</f>
        <v>0</v>
      </c>
      <c r="E2335" s="61"/>
      <c r="F2335" s="232">
        <v>44620</v>
      </c>
      <c r="G2335" s="232"/>
      <c r="H2335" s="61" t="s">
        <v>1228</v>
      </c>
      <c r="I2335" s="63" t="s">
        <v>438</v>
      </c>
      <c r="J2335" s="67">
        <v>111.03</v>
      </c>
      <c r="K2335" s="65"/>
      <c r="L2335" s="224"/>
      <c r="M2335" s="244">
        <v>30000</v>
      </c>
      <c r="N2335" s="244"/>
      <c r="O2335" s="61"/>
      <c r="P2335" s="69" t="str">
        <f t="shared" si="154"/>
        <v>BCA 8607</v>
      </c>
      <c r="Q2335" s="61"/>
    </row>
    <row r="2336" spans="1:17" hidden="1" x14ac:dyDescent="0.25">
      <c r="A2336" s="60" t="str">
        <f t="shared" si="152"/>
        <v>69810,01</v>
      </c>
      <c r="B2336" s="60">
        <f>COUNTIF($J$7:J2336,J2336)</f>
        <v>69</v>
      </c>
      <c r="C2336" s="60" t="str">
        <f t="shared" si="153"/>
        <v>0</v>
      </c>
      <c r="D2336" s="60">
        <f>COUNTIF($K$7:K2336,K2336)</f>
        <v>0</v>
      </c>
      <c r="E2336" s="61"/>
      <c r="F2336" s="232">
        <v>44620</v>
      </c>
      <c r="G2336" s="232"/>
      <c r="H2336" s="61" t="s">
        <v>1280</v>
      </c>
      <c r="I2336" s="63" t="s">
        <v>438</v>
      </c>
      <c r="J2336" s="64">
        <v>810.01</v>
      </c>
      <c r="K2336" s="65"/>
      <c r="L2336" s="224">
        <v>30000</v>
      </c>
      <c r="M2336" s="223"/>
      <c r="N2336" s="223"/>
      <c r="O2336" s="61"/>
      <c r="P2336" s="69" t="str">
        <f t="shared" si="154"/>
        <v>Biaya Admin Transfer dan Rek</v>
      </c>
      <c r="Q2336" s="61"/>
    </row>
    <row r="2337" spans="1:17" hidden="1" x14ac:dyDescent="0.25">
      <c r="A2337" s="60" t="str">
        <f t="shared" si="152"/>
        <v>2111,04</v>
      </c>
      <c r="B2337" s="60">
        <f>COUNTIF($J$7:J2337,J2337)</f>
        <v>2</v>
      </c>
      <c r="C2337" s="60" t="str">
        <f t="shared" si="153"/>
        <v>0</v>
      </c>
      <c r="D2337" s="60">
        <f>COUNTIF($K$7:K2337,K2337)</f>
        <v>0</v>
      </c>
      <c r="E2337" s="61"/>
      <c r="F2337" s="232">
        <v>44620</v>
      </c>
      <c r="G2337" s="232"/>
      <c r="H2337" s="61" t="s">
        <v>1280</v>
      </c>
      <c r="I2337" s="63" t="s">
        <v>438</v>
      </c>
      <c r="J2337" s="67">
        <v>111.04</v>
      </c>
      <c r="K2337" s="65"/>
      <c r="L2337" s="224"/>
      <c r="M2337" s="223">
        <v>30000</v>
      </c>
      <c r="N2337" s="223"/>
      <c r="O2337" s="61"/>
      <c r="P2337" s="69" t="str">
        <f t="shared" si="154"/>
        <v>BCA 8615</v>
      </c>
      <c r="Q2337" s="61"/>
    </row>
    <row r="2338" spans="1:17" hidden="1" x14ac:dyDescent="0.25">
      <c r="A2338" s="60" t="str">
        <f t="shared" si="152"/>
        <v>70810,01</v>
      </c>
      <c r="B2338" s="60">
        <f>COUNTIF($J$7:J2338,J2338)</f>
        <v>70</v>
      </c>
      <c r="C2338" s="60" t="str">
        <f t="shared" si="153"/>
        <v>0</v>
      </c>
      <c r="D2338" s="60">
        <f>COUNTIF($K$7:K2338,K2338)</f>
        <v>0</v>
      </c>
      <c r="E2338" s="61"/>
      <c r="F2338" s="232">
        <v>44620</v>
      </c>
      <c r="G2338" s="232"/>
      <c r="H2338" s="61" t="s">
        <v>1281</v>
      </c>
      <c r="I2338" s="63" t="s">
        <v>1282</v>
      </c>
      <c r="J2338" s="64">
        <v>810.01</v>
      </c>
      <c r="K2338" s="65"/>
      <c r="L2338" s="224">
        <f>5*O2338</f>
        <v>71855.025000000009</v>
      </c>
      <c r="M2338" s="223"/>
      <c r="N2338" s="223"/>
      <c r="O2338" s="61">
        <f>[1]NOTES!F3</f>
        <v>14371.005000000001</v>
      </c>
      <c r="P2338" s="69" t="str">
        <f t="shared" si="154"/>
        <v>Biaya Admin Transfer dan Rek</v>
      </c>
      <c r="Q2338" s="61"/>
    </row>
    <row r="2339" spans="1:17" hidden="1" x14ac:dyDescent="0.25">
      <c r="A2339" s="60" t="str">
        <f t="shared" si="152"/>
        <v>2111,05</v>
      </c>
      <c r="B2339" s="60">
        <f>COUNTIF($J$7:J2339,J2339)</f>
        <v>2</v>
      </c>
      <c r="C2339" s="60" t="str">
        <f t="shared" si="153"/>
        <v>0</v>
      </c>
      <c r="D2339" s="60">
        <f>COUNTIF($K$7:K2339,K2339)</f>
        <v>0</v>
      </c>
      <c r="E2339" s="61"/>
      <c r="F2339" s="232">
        <v>44620</v>
      </c>
      <c r="G2339" s="232"/>
      <c r="H2339" s="61" t="s">
        <v>1281</v>
      </c>
      <c r="I2339" s="63" t="s">
        <v>1282</v>
      </c>
      <c r="J2339" s="67">
        <v>111.05</v>
      </c>
      <c r="K2339" s="65"/>
      <c r="L2339" s="224"/>
      <c r="M2339" s="223">
        <f>L2338</f>
        <v>71855.025000000009</v>
      </c>
      <c r="N2339" s="223"/>
      <c r="O2339" s="61"/>
      <c r="P2339" s="69" t="str">
        <f t="shared" si="154"/>
        <v>BCA USD 8623</v>
      </c>
      <c r="Q2339" s="61"/>
    </row>
    <row r="2340" spans="1:17" hidden="1" x14ac:dyDescent="0.25">
      <c r="A2340" s="60" t="str">
        <f t="shared" si="152"/>
        <v>20610,1</v>
      </c>
      <c r="B2340" s="60">
        <f>COUNTIF($J$7:J2340,J2340)</f>
        <v>20</v>
      </c>
      <c r="C2340" s="60" t="str">
        <f t="shared" si="153"/>
        <v>0</v>
      </c>
      <c r="D2340" s="60">
        <f>COUNTIF($K$7:K2340,K2340)</f>
        <v>0</v>
      </c>
      <c r="E2340" s="61"/>
      <c r="F2340" s="232">
        <v>44599</v>
      </c>
      <c r="G2340" s="232" t="s">
        <v>149</v>
      </c>
      <c r="H2340" s="61" t="s">
        <v>1283</v>
      </c>
      <c r="I2340" s="63" t="s">
        <v>1284</v>
      </c>
      <c r="J2340" s="221">
        <v>610.1</v>
      </c>
      <c r="K2340" s="65"/>
      <c r="L2340" s="224">
        <v>410337</v>
      </c>
      <c r="M2340" s="223"/>
      <c r="N2340" s="223"/>
      <c r="O2340" s="61"/>
      <c r="P2340" s="69" t="str">
        <f t="shared" si="154"/>
        <v>Biaya Rumah Tangga Kantor</v>
      </c>
      <c r="Q2340" s="61"/>
    </row>
    <row r="2341" spans="1:17" hidden="1" x14ac:dyDescent="0.25">
      <c r="A2341" s="60" t="str">
        <f t="shared" si="152"/>
        <v>21610,1</v>
      </c>
      <c r="B2341" s="60">
        <f>COUNTIF($J$7:J2341,J2341)</f>
        <v>21</v>
      </c>
      <c r="C2341" s="60" t="str">
        <f t="shared" si="153"/>
        <v>0</v>
      </c>
      <c r="D2341" s="60">
        <f>COUNTIF($K$7:K2341,K2341)</f>
        <v>0</v>
      </c>
      <c r="E2341" s="61"/>
      <c r="F2341" s="232">
        <v>44599</v>
      </c>
      <c r="G2341" s="232" t="s">
        <v>149</v>
      </c>
      <c r="H2341" s="61" t="s">
        <v>1283</v>
      </c>
      <c r="I2341" s="63" t="s">
        <v>1285</v>
      </c>
      <c r="J2341" s="221">
        <v>610.1</v>
      </c>
      <c r="K2341" s="65"/>
      <c r="L2341" s="224">
        <v>100000</v>
      </c>
      <c r="M2341" s="223"/>
      <c r="N2341" s="223"/>
      <c r="O2341" s="61"/>
      <c r="P2341" s="69" t="str">
        <f t="shared" si="154"/>
        <v>Biaya Rumah Tangga Kantor</v>
      </c>
      <c r="Q2341" s="61"/>
    </row>
    <row r="2342" spans="1:17" hidden="1" x14ac:dyDescent="0.25">
      <c r="A2342" s="60" t="str">
        <f t="shared" si="152"/>
        <v>47119</v>
      </c>
      <c r="B2342" s="60">
        <f>COUNTIF($J$7:J2342,J2342)</f>
        <v>47</v>
      </c>
      <c r="C2342" s="60" t="str">
        <f t="shared" si="153"/>
        <v>18119,02</v>
      </c>
      <c r="D2342" s="60">
        <f>COUNTIF($K$7:K2342,K2342)</f>
        <v>18</v>
      </c>
      <c r="E2342" s="61"/>
      <c r="F2342" s="232">
        <v>44599</v>
      </c>
      <c r="G2342" s="232" t="s">
        <v>149</v>
      </c>
      <c r="H2342" s="61" t="s">
        <v>1283</v>
      </c>
      <c r="I2342" s="63" t="s">
        <v>1286</v>
      </c>
      <c r="J2342" s="76">
        <v>119</v>
      </c>
      <c r="K2342" s="75">
        <v>119.02</v>
      </c>
      <c r="L2342" s="224"/>
      <c r="M2342" s="223">
        <v>600000</v>
      </c>
      <c r="N2342" s="223"/>
      <c r="O2342" s="61"/>
      <c r="P2342" s="69" t="str">
        <f t="shared" si="154"/>
        <v>Uang Muka Biaya Pengiriman dan Perjalanan Dinas Marketing</v>
      </c>
      <c r="Q2342" s="61"/>
    </row>
    <row r="2343" spans="1:17" hidden="1" x14ac:dyDescent="0.25">
      <c r="A2343" s="60" t="str">
        <f t="shared" si="152"/>
        <v>48119</v>
      </c>
      <c r="B2343" s="60">
        <f>COUNTIF($J$7:J2343,J2343)</f>
        <v>48</v>
      </c>
      <c r="C2343" s="60" t="str">
        <f t="shared" si="153"/>
        <v>19119,02</v>
      </c>
      <c r="D2343" s="60">
        <f>COUNTIF($K$7:K2343,K2343)</f>
        <v>19</v>
      </c>
      <c r="E2343" s="61"/>
      <c r="F2343" s="232">
        <v>44599</v>
      </c>
      <c r="G2343" s="232" t="s">
        <v>149</v>
      </c>
      <c r="H2343" s="61" t="s">
        <v>1283</v>
      </c>
      <c r="I2343" s="63" t="s">
        <v>1287</v>
      </c>
      <c r="J2343" s="76">
        <v>119</v>
      </c>
      <c r="K2343" s="75">
        <v>119.02</v>
      </c>
      <c r="L2343" s="224">
        <f>M2342-L2340-L2341</f>
        <v>89663</v>
      </c>
      <c r="M2343" s="223"/>
      <c r="N2343" s="223"/>
      <c r="O2343" s="61"/>
      <c r="P2343" s="69" t="str">
        <f t="shared" si="154"/>
        <v>Uang Muka Biaya Pengiriman dan Perjalanan Dinas Marketing</v>
      </c>
      <c r="Q2343" s="61"/>
    </row>
    <row r="2344" spans="1:17" hidden="1" x14ac:dyDescent="0.25">
      <c r="A2344" s="60" t="str">
        <f t="shared" si="152"/>
        <v>4610,13</v>
      </c>
      <c r="B2344" s="60">
        <f>COUNTIF($J$7:J2344,J2344)</f>
        <v>4</v>
      </c>
      <c r="C2344" s="60" t="str">
        <f t="shared" si="153"/>
        <v>0</v>
      </c>
      <c r="D2344" s="60">
        <f>COUNTIF($K$7:K2344,K2344)</f>
        <v>0</v>
      </c>
      <c r="E2344" s="61"/>
      <c r="F2344" s="220">
        <v>44595</v>
      </c>
      <c r="G2344" s="232"/>
      <c r="H2344" s="61" t="s">
        <v>150</v>
      </c>
      <c r="I2344" s="63" t="s">
        <v>1288</v>
      </c>
      <c r="J2344" s="61">
        <v>610.13</v>
      </c>
      <c r="K2344" s="75"/>
      <c r="L2344" s="224">
        <v>970000</v>
      </c>
      <c r="M2344" s="223"/>
      <c r="N2344" s="223"/>
      <c r="O2344" s="61"/>
      <c r="P2344" s="69" t="str">
        <f t="shared" si="154"/>
        <v>Biaya Pemeliharaan Peralatan dan Inventaris Kantor</v>
      </c>
      <c r="Q2344" s="61"/>
    </row>
    <row r="2345" spans="1:17" hidden="1" x14ac:dyDescent="0.25">
      <c r="A2345" s="60" t="str">
        <f t="shared" si="152"/>
        <v>20211,02</v>
      </c>
      <c r="B2345" s="60">
        <f>COUNTIF($J$7:J2345,J2345)</f>
        <v>20</v>
      </c>
      <c r="C2345" s="60" t="str">
        <f t="shared" si="153"/>
        <v>0</v>
      </c>
      <c r="D2345" s="60">
        <f>COUNTIF($K$7:K2345,K2345)</f>
        <v>0</v>
      </c>
      <c r="E2345" s="61"/>
      <c r="F2345" s="220">
        <v>44595</v>
      </c>
      <c r="G2345" s="232"/>
      <c r="H2345" s="61" t="s">
        <v>150</v>
      </c>
      <c r="I2345" s="63" t="s">
        <v>1288</v>
      </c>
      <c r="J2345" s="67">
        <v>211.02</v>
      </c>
      <c r="K2345" s="75"/>
      <c r="L2345" s="224"/>
      <c r="M2345" s="223">
        <v>30000</v>
      </c>
      <c r="N2345" s="223"/>
      <c r="O2345" s="61" t="s">
        <v>586</v>
      </c>
      <c r="P2345" s="69" t="str">
        <f t="shared" si="154"/>
        <v>Hutang PPh 21</v>
      </c>
      <c r="Q2345" s="61"/>
    </row>
    <row r="2346" spans="1:17" hidden="1" x14ac:dyDescent="0.25">
      <c r="A2346" s="60" t="str">
        <f t="shared" si="152"/>
        <v>63220,03</v>
      </c>
      <c r="B2346" s="60">
        <f>COUNTIF($J$7:J2346,J2346)</f>
        <v>63</v>
      </c>
      <c r="C2346" s="60" t="str">
        <f t="shared" si="153"/>
        <v>0</v>
      </c>
      <c r="D2346" s="60">
        <f>COUNTIF($K$7:K2346,K2346)</f>
        <v>0</v>
      </c>
      <c r="E2346" s="61"/>
      <c r="F2346" s="220">
        <v>44595</v>
      </c>
      <c r="G2346" s="232"/>
      <c r="H2346" s="61" t="s">
        <v>150</v>
      </c>
      <c r="I2346" s="63" t="s">
        <v>1288</v>
      </c>
      <c r="J2346" s="67">
        <v>220.03</v>
      </c>
      <c r="K2346" s="75"/>
      <c r="L2346" s="224"/>
      <c r="M2346" s="223">
        <v>940000</v>
      </c>
      <c r="N2346" s="223"/>
      <c r="O2346" s="61"/>
      <c r="P2346" s="69" t="str">
        <f t="shared" si="154"/>
        <v>Hutang BIaya</v>
      </c>
      <c r="Q2346" s="61"/>
    </row>
    <row r="2347" spans="1:17" ht="30" hidden="1" x14ac:dyDescent="0.25">
      <c r="A2347" s="60" t="str">
        <f t="shared" si="152"/>
        <v>64220,03</v>
      </c>
      <c r="B2347" s="60">
        <f>COUNTIF($J$7:J2347,J2347)</f>
        <v>64</v>
      </c>
      <c r="C2347" s="60" t="str">
        <f t="shared" si="153"/>
        <v>0</v>
      </c>
      <c r="D2347" s="60">
        <f>COUNTIF($K$7:K2347,K2347)</f>
        <v>0</v>
      </c>
      <c r="E2347" s="61"/>
      <c r="F2347" s="220">
        <v>44595</v>
      </c>
      <c r="G2347" s="72" t="s">
        <v>149</v>
      </c>
      <c r="H2347" s="73" t="s">
        <v>1289</v>
      </c>
      <c r="I2347" s="250" t="s">
        <v>1290</v>
      </c>
      <c r="J2347" s="67">
        <v>220.03</v>
      </c>
      <c r="K2347" s="65"/>
      <c r="L2347" s="251">
        <v>940000</v>
      </c>
      <c r="M2347" s="252"/>
      <c r="N2347" s="252"/>
      <c r="O2347" s="61"/>
      <c r="P2347" s="69" t="str">
        <f t="shared" si="154"/>
        <v>Hutang BIaya</v>
      </c>
      <c r="Q2347" s="61"/>
    </row>
    <row r="2348" spans="1:17" hidden="1" x14ac:dyDescent="0.25">
      <c r="A2348" s="60" t="str">
        <f t="shared" si="152"/>
        <v>22610,1</v>
      </c>
      <c r="B2348" s="60">
        <f>COUNTIF($J$7:J2348,J2348)</f>
        <v>22</v>
      </c>
      <c r="C2348" s="60" t="str">
        <f t="shared" si="153"/>
        <v>0</v>
      </c>
      <c r="D2348" s="60">
        <f>COUNTIF($K$7:K2348,K2348)</f>
        <v>0</v>
      </c>
      <c r="E2348" s="61"/>
      <c r="F2348" s="220">
        <v>44595</v>
      </c>
      <c r="G2348" s="72" t="s">
        <v>149</v>
      </c>
      <c r="H2348" s="73" t="s">
        <v>1291</v>
      </c>
      <c r="I2348" s="250" t="s">
        <v>1292</v>
      </c>
      <c r="J2348" s="221">
        <v>610.1</v>
      </c>
      <c r="K2348" s="65"/>
      <c r="L2348" s="251">
        <f>38000*6</f>
        <v>228000</v>
      </c>
      <c r="M2348" s="252"/>
      <c r="N2348" s="252"/>
      <c r="O2348" s="61"/>
      <c r="P2348" s="69" t="str">
        <f t="shared" si="154"/>
        <v>Biaya Rumah Tangga Kantor</v>
      </c>
      <c r="Q2348" s="61"/>
    </row>
    <row r="2349" spans="1:17" hidden="1" x14ac:dyDescent="0.25">
      <c r="A2349" s="60" t="str">
        <f t="shared" si="152"/>
        <v>23610,1</v>
      </c>
      <c r="B2349" s="60">
        <f>COUNTIF($J$7:J2349,J2349)</f>
        <v>23</v>
      </c>
      <c r="C2349" s="60" t="str">
        <f t="shared" si="153"/>
        <v>0</v>
      </c>
      <c r="D2349" s="60">
        <f>COUNTIF($K$7:K2349,K2349)</f>
        <v>0</v>
      </c>
      <c r="E2349" s="61"/>
      <c r="F2349" s="220">
        <v>44595</v>
      </c>
      <c r="G2349" s="72" t="s">
        <v>149</v>
      </c>
      <c r="H2349" s="73" t="s">
        <v>1293</v>
      </c>
      <c r="I2349" s="250" t="s">
        <v>1294</v>
      </c>
      <c r="J2349" s="221">
        <v>610.1</v>
      </c>
      <c r="K2349" s="65"/>
      <c r="L2349" s="253">
        <v>67266</v>
      </c>
      <c r="M2349" s="252"/>
      <c r="N2349" s="252"/>
      <c r="O2349" s="61"/>
      <c r="P2349" s="69" t="str">
        <f t="shared" si="154"/>
        <v>Biaya Rumah Tangga Kantor</v>
      </c>
      <c r="Q2349" s="61"/>
    </row>
    <row r="2350" spans="1:17" hidden="1" x14ac:dyDescent="0.25">
      <c r="A2350" s="60" t="str">
        <f t="shared" si="152"/>
        <v>1610,04</v>
      </c>
      <c r="B2350" s="60">
        <f>COUNTIF($J$7:J2350,J2350)</f>
        <v>1</v>
      </c>
      <c r="C2350" s="60" t="str">
        <f t="shared" si="153"/>
        <v>0</v>
      </c>
      <c r="D2350" s="60">
        <f>COUNTIF($K$7:K2350,K2350)</f>
        <v>0</v>
      </c>
      <c r="E2350" s="61"/>
      <c r="F2350" s="220">
        <v>44595</v>
      </c>
      <c r="G2350" s="72" t="s">
        <v>149</v>
      </c>
      <c r="H2350" s="73" t="s">
        <v>1295</v>
      </c>
      <c r="I2350" s="250" t="s">
        <v>1296</v>
      </c>
      <c r="J2350" s="221">
        <v>610.04</v>
      </c>
      <c r="K2350" s="65"/>
      <c r="L2350" s="251">
        <v>100000</v>
      </c>
      <c r="M2350" s="252"/>
      <c r="N2350" s="252"/>
      <c r="O2350" s="61"/>
      <c r="P2350" s="69" t="str">
        <f t="shared" si="154"/>
        <v>Biaya Transportasi Umum (Bensin, Tol, Parkir) dan Kirim Dokumen</v>
      </c>
      <c r="Q2350" s="61"/>
    </row>
    <row r="2351" spans="1:17" ht="30" hidden="1" x14ac:dyDescent="0.25">
      <c r="A2351" s="60" t="str">
        <f t="shared" si="152"/>
        <v>15110</v>
      </c>
      <c r="B2351" s="60">
        <f>COUNTIF($J$7:J2351,J2351)</f>
        <v>15</v>
      </c>
      <c r="C2351" s="60" t="str">
        <f t="shared" si="153"/>
        <v>0</v>
      </c>
      <c r="D2351" s="60">
        <f>COUNTIF($K$7:K2351,K2351)</f>
        <v>0</v>
      </c>
      <c r="E2351" s="61"/>
      <c r="F2351" s="220">
        <v>44595</v>
      </c>
      <c r="G2351" s="72" t="s">
        <v>149</v>
      </c>
      <c r="H2351" s="73" t="s">
        <v>1289</v>
      </c>
      <c r="I2351" s="250" t="s">
        <v>1290</v>
      </c>
      <c r="J2351" s="67">
        <v>110</v>
      </c>
      <c r="K2351" s="65"/>
      <c r="L2351" s="66"/>
      <c r="M2351" s="252">
        <v>940000</v>
      </c>
      <c r="N2351" s="252"/>
      <c r="O2351" s="61"/>
      <c r="P2351" s="69" t="str">
        <f t="shared" si="154"/>
        <v xml:space="preserve"> Kas Kecil</v>
      </c>
      <c r="Q2351" s="61"/>
    </row>
    <row r="2352" spans="1:17" hidden="1" x14ac:dyDescent="0.25">
      <c r="A2352" s="60" t="str">
        <f t="shared" si="152"/>
        <v>16110</v>
      </c>
      <c r="B2352" s="60">
        <f>COUNTIF($J$7:J2352,J2352)</f>
        <v>16</v>
      </c>
      <c r="C2352" s="60" t="str">
        <f t="shared" si="153"/>
        <v>0</v>
      </c>
      <c r="D2352" s="60">
        <f>COUNTIF($K$7:K2352,K2352)</f>
        <v>0</v>
      </c>
      <c r="E2352" s="61"/>
      <c r="F2352" s="220">
        <v>44595</v>
      </c>
      <c r="G2352" s="72" t="s">
        <v>149</v>
      </c>
      <c r="H2352" s="73" t="s">
        <v>1291</v>
      </c>
      <c r="I2352" s="250" t="s">
        <v>1292</v>
      </c>
      <c r="J2352" s="67">
        <v>110</v>
      </c>
      <c r="K2352" s="65"/>
      <c r="L2352" s="66"/>
      <c r="M2352" s="252">
        <f>38000*6</f>
        <v>228000</v>
      </c>
      <c r="N2352" s="252"/>
      <c r="O2352" s="61"/>
      <c r="P2352" s="69" t="str">
        <f t="shared" si="154"/>
        <v xml:space="preserve"> Kas Kecil</v>
      </c>
      <c r="Q2352" s="61"/>
    </row>
    <row r="2353" spans="1:17" hidden="1" x14ac:dyDescent="0.25">
      <c r="A2353" s="60" t="str">
        <f t="shared" si="152"/>
        <v>17110</v>
      </c>
      <c r="B2353" s="60">
        <f>COUNTIF($J$7:J2353,J2353)</f>
        <v>17</v>
      </c>
      <c r="C2353" s="60" t="str">
        <f t="shared" si="153"/>
        <v>0</v>
      </c>
      <c r="D2353" s="60">
        <f>COUNTIF($K$7:K2353,K2353)</f>
        <v>0</v>
      </c>
      <c r="E2353" s="61"/>
      <c r="F2353" s="220">
        <v>44595</v>
      </c>
      <c r="G2353" s="72" t="s">
        <v>149</v>
      </c>
      <c r="H2353" s="73" t="s">
        <v>1293</v>
      </c>
      <c r="I2353" s="250" t="s">
        <v>1294</v>
      </c>
      <c r="J2353" s="67">
        <v>110</v>
      </c>
      <c r="K2353" s="65"/>
      <c r="L2353" s="66"/>
      <c r="M2353" s="254">
        <v>67266</v>
      </c>
      <c r="N2353" s="254"/>
      <c r="O2353" s="61"/>
      <c r="P2353" s="69" t="str">
        <f t="shared" si="154"/>
        <v xml:space="preserve"> Kas Kecil</v>
      </c>
      <c r="Q2353" s="61"/>
    </row>
    <row r="2354" spans="1:17" hidden="1" x14ac:dyDescent="0.25">
      <c r="A2354" s="60" t="str">
        <f t="shared" si="152"/>
        <v>18110</v>
      </c>
      <c r="B2354" s="60">
        <f>COUNTIF($J$7:J2354,J2354)</f>
        <v>18</v>
      </c>
      <c r="C2354" s="60" t="str">
        <f t="shared" si="153"/>
        <v>0</v>
      </c>
      <c r="D2354" s="60">
        <f>COUNTIF($K$7:K2354,K2354)</f>
        <v>0</v>
      </c>
      <c r="E2354" s="61"/>
      <c r="F2354" s="220">
        <v>44595</v>
      </c>
      <c r="G2354" s="72" t="s">
        <v>149</v>
      </c>
      <c r="H2354" s="73" t="s">
        <v>1295</v>
      </c>
      <c r="I2354" s="250" t="s">
        <v>1296</v>
      </c>
      <c r="J2354" s="67">
        <v>110</v>
      </c>
      <c r="K2354" s="65"/>
      <c r="L2354" s="66"/>
      <c r="M2354" s="252">
        <v>100000</v>
      </c>
      <c r="N2354" s="252"/>
      <c r="O2354" s="61"/>
      <c r="P2354" s="69" t="str">
        <f t="shared" si="154"/>
        <v xml:space="preserve"> Kas Kecil</v>
      </c>
      <c r="Q2354" s="61"/>
    </row>
    <row r="2355" spans="1:17" ht="30" hidden="1" x14ac:dyDescent="0.25">
      <c r="A2355" s="60" t="str">
        <f t="shared" si="152"/>
        <v>24610,1</v>
      </c>
      <c r="B2355" s="60">
        <f>COUNTIF($J$7:J2355,J2355)</f>
        <v>24</v>
      </c>
      <c r="C2355" s="60" t="str">
        <f t="shared" si="153"/>
        <v>0</v>
      </c>
      <c r="D2355" s="60">
        <f>COUNTIF($K$7:K2355,K2355)</f>
        <v>0</v>
      </c>
      <c r="E2355" s="61"/>
      <c r="F2355" s="220">
        <v>44614</v>
      </c>
      <c r="G2355" s="72"/>
      <c r="H2355" s="73" t="s">
        <v>1297</v>
      </c>
      <c r="I2355" s="255" t="s">
        <v>1298</v>
      </c>
      <c r="J2355" s="61">
        <v>610.1</v>
      </c>
      <c r="K2355" s="65"/>
      <c r="L2355" s="66">
        <v>22000</v>
      </c>
      <c r="M2355" s="252"/>
      <c r="N2355" s="252"/>
      <c r="O2355" s="61"/>
      <c r="P2355" s="69" t="str">
        <f t="shared" si="154"/>
        <v>Biaya Rumah Tangga Kantor</v>
      </c>
      <c r="Q2355" s="61"/>
    </row>
    <row r="2356" spans="1:17" hidden="1" x14ac:dyDescent="0.25">
      <c r="A2356" s="60" t="str">
        <f t="shared" si="152"/>
        <v>25610,1</v>
      </c>
      <c r="B2356" s="60">
        <f>COUNTIF($J$7:J2356,J2356)</f>
        <v>25</v>
      </c>
      <c r="C2356" s="60" t="str">
        <f t="shared" si="153"/>
        <v>0</v>
      </c>
      <c r="D2356" s="60">
        <f>COUNTIF($K$7:K2356,K2356)</f>
        <v>0</v>
      </c>
      <c r="E2356" s="61"/>
      <c r="F2356" s="220">
        <v>44614</v>
      </c>
      <c r="G2356" s="72"/>
      <c r="H2356" s="73" t="s">
        <v>1299</v>
      </c>
      <c r="I2356" s="255" t="s">
        <v>1300</v>
      </c>
      <c r="J2356" s="61">
        <v>610.1</v>
      </c>
      <c r="K2356" s="65"/>
      <c r="L2356" s="66">
        <v>60000</v>
      </c>
      <c r="M2356" s="252"/>
      <c r="N2356" s="252"/>
      <c r="O2356" s="61"/>
      <c r="P2356" s="69" t="str">
        <f t="shared" si="154"/>
        <v>Biaya Rumah Tangga Kantor</v>
      </c>
      <c r="Q2356" s="61"/>
    </row>
    <row r="2357" spans="1:17" hidden="1" x14ac:dyDescent="0.25">
      <c r="A2357" s="60" t="str">
        <f t="shared" si="152"/>
        <v>26610,1</v>
      </c>
      <c r="B2357" s="60">
        <f>COUNTIF($J$7:J2357,J2357)</f>
        <v>26</v>
      </c>
      <c r="C2357" s="60" t="str">
        <f t="shared" si="153"/>
        <v>0</v>
      </c>
      <c r="D2357" s="60">
        <f>COUNTIF($K$7:K2357,K2357)</f>
        <v>0</v>
      </c>
      <c r="E2357" s="61"/>
      <c r="F2357" s="220">
        <v>44614</v>
      </c>
      <c r="G2357" s="72"/>
      <c r="H2357" s="73" t="s">
        <v>1301</v>
      </c>
      <c r="I2357" s="255" t="s">
        <v>1302</v>
      </c>
      <c r="J2357" s="61">
        <v>610.1</v>
      </c>
      <c r="K2357" s="65"/>
      <c r="L2357" s="66">
        <v>22000</v>
      </c>
      <c r="M2357" s="252"/>
      <c r="N2357" s="252"/>
      <c r="O2357" s="61"/>
      <c r="P2357" s="69" t="str">
        <f t="shared" si="154"/>
        <v>Biaya Rumah Tangga Kantor</v>
      </c>
      <c r="Q2357" s="61"/>
    </row>
    <row r="2358" spans="1:17" hidden="1" x14ac:dyDescent="0.25">
      <c r="A2358" s="60" t="str">
        <f t="shared" si="152"/>
        <v>27610,1</v>
      </c>
      <c r="B2358" s="60">
        <f>COUNTIF($J$7:J2358,J2358)</f>
        <v>27</v>
      </c>
      <c r="C2358" s="60" t="str">
        <f t="shared" si="153"/>
        <v>0</v>
      </c>
      <c r="D2358" s="60">
        <f>COUNTIF($K$7:K2358,K2358)</f>
        <v>0</v>
      </c>
      <c r="E2358" s="61"/>
      <c r="F2358" s="220">
        <v>44614</v>
      </c>
      <c r="G2358" s="72"/>
      <c r="H2358" s="73" t="s">
        <v>1303</v>
      </c>
      <c r="I2358" s="255" t="s">
        <v>1304</v>
      </c>
      <c r="J2358" s="61">
        <v>610.1</v>
      </c>
      <c r="K2358" s="65"/>
      <c r="L2358" s="66">
        <v>50000</v>
      </c>
      <c r="M2358" s="252"/>
      <c r="N2358" s="252"/>
      <c r="O2358" s="61"/>
      <c r="P2358" s="69" t="str">
        <f t="shared" si="154"/>
        <v>Biaya Rumah Tangga Kantor</v>
      </c>
      <c r="Q2358" s="61"/>
    </row>
    <row r="2359" spans="1:17" ht="30" hidden="1" x14ac:dyDescent="0.25">
      <c r="A2359" s="60" t="str">
        <f t="shared" si="152"/>
        <v>19110</v>
      </c>
      <c r="B2359" s="60">
        <f>COUNTIF($J$7:J2359,J2359)</f>
        <v>19</v>
      </c>
      <c r="C2359" s="60" t="str">
        <f t="shared" si="153"/>
        <v>0</v>
      </c>
      <c r="D2359" s="60">
        <f>COUNTIF($K$7:K2359,K2359)</f>
        <v>0</v>
      </c>
      <c r="E2359" s="61"/>
      <c r="F2359" s="220">
        <v>44614</v>
      </c>
      <c r="G2359" s="72"/>
      <c r="H2359" s="73" t="s">
        <v>1297</v>
      </c>
      <c r="I2359" s="255" t="s">
        <v>1298</v>
      </c>
      <c r="J2359" s="67">
        <v>110</v>
      </c>
      <c r="K2359" s="65"/>
      <c r="L2359" s="66"/>
      <c r="M2359" s="66">
        <v>22000</v>
      </c>
      <c r="N2359" s="66"/>
      <c r="O2359" s="61"/>
      <c r="P2359" s="69" t="str">
        <f t="shared" si="154"/>
        <v xml:space="preserve"> Kas Kecil</v>
      </c>
      <c r="Q2359" s="61"/>
    </row>
    <row r="2360" spans="1:17" hidden="1" x14ac:dyDescent="0.25">
      <c r="A2360" s="60" t="str">
        <f t="shared" si="152"/>
        <v>20110</v>
      </c>
      <c r="B2360" s="60">
        <f>COUNTIF($J$7:J2360,J2360)</f>
        <v>20</v>
      </c>
      <c r="C2360" s="60" t="str">
        <f t="shared" si="153"/>
        <v>0</v>
      </c>
      <c r="D2360" s="60">
        <f>COUNTIF($K$7:K2360,K2360)</f>
        <v>0</v>
      </c>
      <c r="E2360" s="61"/>
      <c r="F2360" s="220">
        <v>44614</v>
      </c>
      <c r="G2360" s="72"/>
      <c r="H2360" s="73" t="s">
        <v>1299</v>
      </c>
      <c r="I2360" s="255" t="s">
        <v>1300</v>
      </c>
      <c r="J2360" s="67">
        <v>110</v>
      </c>
      <c r="K2360" s="65"/>
      <c r="L2360" s="66"/>
      <c r="M2360" s="66">
        <v>60000</v>
      </c>
      <c r="N2360" s="66"/>
      <c r="O2360" s="61"/>
      <c r="P2360" s="69" t="str">
        <f t="shared" si="154"/>
        <v xml:space="preserve"> Kas Kecil</v>
      </c>
      <c r="Q2360" s="61"/>
    </row>
    <row r="2361" spans="1:17" hidden="1" x14ac:dyDescent="0.25">
      <c r="A2361" s="60" t="str">
        <f t="shared" si="152"/>
        <v>21110</v>
      </c>
      <c r="B2361" s="60">
        <f>COUNTIF($J$7:J2361,J2361)</f>
        <v>21</v>
      </c>
      <c r="C2361" s="60" t="str">
        <f t="shared" si="153"/>
        <v>0</v>
      </c>
      <c r="D2361" s="60">
        <f>COUNTIF($K$7:K2361,K2361)</f>
        <v>0</v>
      </c>
      <c r="E2361" s="61"/>
      <c r="F2361" s="220">
        <v>44614</v>
      </c>
      <c r="G2361" s="72"/>
      <c r="H2361" s="73" t="s">
        <v>1301</v>
      </c>
      <c r="I2361" s="255" t="s">
        <v>1302</v>
      </c>
      <c r="J2361" s="67">
        <v>110</v>
      </c>
      <c r="K2361" s="65"/>
      <c r="L2361" s="66"/>
      <c r="M2361" s="66">
        <v>22000</v>
      </c>
      <c r="N2361" s="66"/>
      <c r="O2361" s="61"/>
      <c r="P2361" s="69" t="str">
        <f t="shared" si="154"/>
        <v xml:space="preserve"> Kas Kecil</v>
      </c>
      <c r="Q2361" s="61"/>
    </row>
    <row r="2362" spans="1:17" hidden="1" x14ac:dyDescent="0.25">
      <c r="A2362" s="60" t="str">
        <f t="shared" si="152"/>
        <v>22110</v>
      </c>
      <c r="B2362" s="60">
        <f>COUNTIF($J$7:J2362,J2362)</f>
        <v>22</v>
      </c>
      <c r="C2362" s="60" t="str">
        <f t="shared" si="153"/>
        <v>0</v>
      </c>
      <c r="D2362" s="60">
        <f>COUNTIF($K$7:K2362,K2362)</f>
        <v>0</v>
      </c>
      <c r="E2362" s="61"/>
      <c r="F2362" s="220">
        <v>44614</v>
      </c>
      <c r="G2362" s="72"/>
      <c r="H2362" s="73" t="s">
        <v>1303</v>
      </c>
      <c r="I2362" s="255" t="s">
        <v>1304</v>
      </c>
      <c r="J2362" s="67">
        <v>110</v>
      </c>
      <c r="K2362" s="65"/>
      <c r="L2362" s="66"/>
      <c r="M2362" s="66">
        <v>50000</v>
      </c>
      <c r="N2362" s="66"/>
      <c r="O2362" s="61"/>
      <c r="P2362" s="69" t="str">
        <f t="shared" si="154"/>
        <v xml:space="preserve"> Kas Kecil</v>
      </c>
      <c r="Q2362" s="61"/>
    </row>
    <row r="2363" spans="1:17" hidden="1" x14ac:dyDescent="0.25">
      <c r="A2363" s="60" t="str">
        <f t="shared" si="152"/>
        <v>49119</v>
      </c>
      <c r="B2363" s="60">
        <f>COUNTIF($J$7:J2363,J2363)</f>
        <v>49</v>
      </c>
      <c r="C2363" s="60" t="str">
        <f t="shared" si="153"/>
        <v>18119,01</v>
      </c>
      <c r="D2363" s="60">
        <f>COUNTIF($K$7:K2363,K2363)</f>
        <v>18</v>
      </c>
      <c r="E2363" s="61"/>
      <c r="F2363" s="239">
        <v>44596</v>
      </c>
      <c r="G2363" s="232"/>
      <c r="H2363" s="61" t="s">
        <v>1305</v>
      </c>
      <c r="I2363" s="243" t="s">
        <v>1306</v>
      </c>
      <c r="J2363" s="76">
        <v>119</v>
      </c>
      <c r="K2363" s="75">
        <v>119.01</v>
      </c>
      <c r="L2363" s="224"/>
      <c r="M2363" s="223">
        <v>2300000</v>
      </c>
      <c r="N2363" s="223"/>
      <c r="O2363" s="256">
        <f>M2363-SUM(L2364:L2371)</f>
        <v>70000</v>
      </c>
      <c r="P2363" s="69" t="str">
        <f t="shared" si="154"/>
        <v>Uang Muka Biaya Pengiriman dan Perjalanan Dinas Marketing</v>
      </c>
      <c r="Q2363" s="61"/>
    </row>
    <row r="2364" spans="1:17" hidden="1" x14ac:dyDescent="0.25">
      <c r="A2364" s="60" t="str">
        <f t="shared" si="152"/>
        <v>9511,02</v>
      </c>
      <c r="B2364" s="60">
        <f>COUNTIF($J$7:J2364,J2364)</f>
        <v>9</v>
      </c>
      <c r="C2364" s="60" t="str">
        <f t="shared" si="153"/>
        <v>0</v>
      </c>
      <c r="D2364" s="60">
        <f>COUNTIF($K$7:K2364,K2364)</f>
        <v>0</v>
      </c>
      <c r="E2364" s="61"/>
      <c r="F2364" s="239">
        <v>44596</v>
      </c>
      <c r="G2364" s="232"/>
      <c r="H2364" s="61" t="s">
        <v>1305</v>
      </c>
      <c r="I2364" s="243" t="s">
        <v>622</v>
      </c>
      <c r="J2364" s="221">
        <v>511.02</v>
      </c>
      <c r="K2364" s="65"/>
      <c r="L2364" s="257">
        <v>50000</v>
      </c>
      <c r="M2364" s="223"/>
      <c r="N2364" s="223"/>
      <c r="O2364" s="61"/>
      <c r="P2364" s="69" t="str">
        <f t="shared" si="154"/>
        <v>Biaya Loading UnLoading</v>
      </c>
      <c r="Q2364" s="61"/>
    </row>
    <row r="2365" spans="1:17" hidden="1" x14ac:dyDescent="0.25">
      <c r="A2365" s="60" t="str">
        <f t="shared" si="152"/>
        <v>10511,02</v>
      </c>
      <c r="B2365" s="60">
        <f>COUNTIF($J$7:J2365,J2365)</f>
        <v>10</v>
      </c>
      <c r="C2365" s="60" t="str">
        <f t="shared" si="153"/>
        <v>0</v>
      </c>
      <c r="D2365" s="60">
        <f>COUNTIF($K$7:K2365,K2365)</f>
        <v>0</v>
      </c>
      <c r="E2365" s="61"/>
      <c r="F2365" s="239">
        <v>44596</v>
      </c>
      <c r="G2365" s="232"/>
      <c r="H2365" s="61" t="s">
        <v>1305</v>
      </c>
      <c r="I2365" s="243" t="s">
        <v>620</v>
      </c>
      <c r="J2365" s="221">
        <v>511.02</v>
      </c>
      <c r="K2365" s="65"/>
      <c r="L2365" s="257">
        <v>200000</v>
      </c>
      <c r="M2365" s="223"/>
      <c r="N2365" s="223"/>
      <c r="O2365" s="61"/>
      <c r="P2365" s="69" t="str">
        <f t="shared" si="154"/>
        <v>Biaya Loading UnLoading</v>
      </c>
      <c r="Q2365" s="61"/>
    </row>
    <row r="2366" spans="1:17" hidden="1" x14ac:dyDescent="0.25">
      <c r="A2366" s="60" t="str">
        <f t="shared" si="152"/>
        <v>11511,02</v>
      </c>
      <c r="B2366" s="60">
        <f>COUNTIF($J$7:J2366,J2366)</f>
        <v>11</v>
      </c>
      <c r="C2366" s="60" t="str">
        <f t="shared" si="153"/>
        <v>0</v>
      </c>
      <c r="D2366" s="60">
        <f>COUNTIF($K$7:K2366,K2366)</f>
        <v>0</v>
      </c>
      <c r="E2366" s="61"/>
      <c r="F2366" s="239">
        <v>44596</v>
      </c>
      <c r="G2366" s="232"/>
      <c r="H2366" s="61" t="s">
        <v>1305</v>
      </c>
      <c r="I2366" s="243" t="s">
        <v>1307</v>
      </c>
      <c r="J2366" s="221">
        <v>511.02</v>
      </c>
      <c r="K2366" s="65"/>
      <c r="L2366" s="257">
        <v>800000</v>
      </c>
      <c r="M2366" s="223"/>
      <c r="N2366" s="223"/>
      <c r="O2366" s="61"/>
      <c r="P2366" s="69" t="str">
        <f t="shared" si="154"/>
        <v>Biaya Loading UnLoading</v>
      </c>
      <c r="Q2366" s="61"/>
    </row>
    <row r="2367" spans="1:17" hidden="1" x14ac:dyDescent="0.25">
      <c r="A2367" s="60" t="str">
        <f t="shared" si="152"/>
        <v>12511,02</v>
      </c>
      <c r="B2367" s="60">
        <f>COUNTIF($J$7:J2367,J2367)</f>
        <v>12</v>
      </c>
      <c r="C2367" s="60" t="str">
        <f t="shared" si="153"/>
        <v>0</v>
      </c>
      <c r="D2367" s="60">
        <f>COUNTIF($K$7:K2367,K2367)</f>
        <v>0</v>
      </c>
      <c r="E2367" s="61"/>
      <c r="F2367" s="239">
        <v>44596</v>
      </c>
      <c r="G2367" s="232"/>
      <c r="H2367" s="61" t="s">
        <v>1305</v>
      </c>
      <c r="I2367" s="243" t="s">
        <v>625</v>
      </c>
      <c r="J2367" s="221">
        <v>511.02</v>
      </c>
      <c r="K2367" s="65"/>
      <c r="L2367" s="257">
        <v>135000</v>
      </c>
      <c r="M2367" s="223"/>
      <c r="N2367" s="223"/>
      <c r="O2367" s="61"/>
      <c r="P2367" s="69" t="str">
        <f t="shared" si="154"/>
        <v>Biaya Loading UnLoading</v>
      </c>
      <c r="Q2367" s="61"/>
    </row>
    <row r="2368" spans="1:17" hidden="1" x14ac:dyDescent="0.25">
      <c r="A2368" s="60" t="str">
        <f t="shared" si="152"/>
        <v>13511,02</v>
      </c>
      <c r="B2368" s="60">
        <f>COUNTIF($J$7:J2368,J2368)</f>
        <v>13</v>
      </c>
      <c r="C2368" s="60" t="str">
        <f t="shared" si="153"/>
        <v>0</v>
      </c>
      <c r="D2368" s="60">
        <f>COUNTIF($K$7:K2368,K2368)</f>
        <v>0</v>
      </c>
      <c r="E2368" s="61"/>
      <c r="F2368" s="239">
        <v>44596</v>
      </c>
      <c r="G2368" s="232"/>
      <c r="H2368" s="61" t="s">
        <v>1305</v>
      </c>
      <c r="I2368" s="243" t="s">
        <v>1308</v>
      </c>
      <c r="J2368" s="221">
        <v>511.02</v>
      </c>
      <c r="K2368" s="65"/>
      <c r="L2368" s="257">
        <v>45000</v>
      </c>
      <c r="M2368" s="223"/>
      <c r="N2368" s="223"/>
      <c r="O2368" s="61"/>
      <c r="P2368" s="69" t="str">
        <f t="shared" si="154"/>
        <v>Biaya Loading UnLoading</v>
      </c>
      <c r="Q2368" s="61"/>
    </row>
    <row r="2369" spans="1:17" hidden="1" x14ac:dyDescent="0.25">
      <c r="A2369" s="60" t="str">
        <f t="shared" si="152"/>
        <v>61511,04</v>
      </c>
      <c r="B2369" s="60">
        <f>COUNTIF($J$7:J2369,J2369)</f>
        <v>61</v>
      </c>
      <c r="C2369" s="60" t="str">
        <f t="shared" si="153"/>
        <v>0</v>
      </c>
      <c r="D2369" s="60">
        <f>COUNTIF($K$7:K2369,K2369)</f>
        <v>0</v>
      </c>
      <c r="E2369" s="61"/>
      <c r="F2369" s="239">
        <v>44596</v>
      </c>
      <c r="G2369" s="232"/>
      <c r="H2369" s="61" t="s">
        <v>1305</v>
      </c>
      <c r="I2369" s="243" t="s">
        <v>1309</v>
      </c>
      <c r="J2369" s="221">
        <v>511.04</v>
      </c>
      <c r="K2369" s="65"/>
      <c r="L2369" s="257">
        <v>900000</v>
      </c>
      <c r="M2369" s="223"/>
      <c r="N2369" s="223"/>
      <c r="O2369" s="61"/>
      <c r="P2369" s="69" t="str">
        <f t="shared" si="154"/>
        <v>Biaya pengiriman Via Online (Gojek,Grab), Kuli</v>
      </c>
      <c r="Q2369" s="61"/>
    </row>
    <row r="2370" spans="1:17" hidden="1" x14ac:dyDescent="0.25">
      <c r="A2370" s="60" t="str">
        <f t="shared" si="152"/>
        <v>14511,02</v>
      </c>
      <c r="B2370" s="60">
        <f>COUNTIF($J$7:J2370,J2370)</f>
        <v>14</v>
      </c>
      <c r="C2370" s="60" t="str">
        <f t="shared" si="153"/>
        <v>0</v>
      </c>
      <c r="D2370" s="60">
        <f>COUNTIF($K$7:K2370,K2370)</f>
        <v>0</v>
      </c>
      <c r="E2370" s="61"/>
      <c r="F2370" s="239">
        <v>44596</v>
      </c>
      <c r="G2370" s="232"/>
      <c r="H2370" s="61" t="s">
        <v>1305</v>
      </c>
      <c r="I2370" s="243" t="s">
        <v>1310</v>
      </c>
      <c r="J2370" s="221">
        <v>511.02</v>
      </c>
      <c r="K2370" s="65"/>
      <c r="L2370" s="257">
        <v>50000</v>
      </c>
      <c r="M2370" s="223"/>
      <c r="N2370" s="223"/>
      <c r="O2370" s="61"/>
      <c r="P2370" s="69" t="str">
        <f t="shared" si="154"/>
        <v>Biaya Loading UnLoading</v>
      </c>
      <c r="Q2370" s="61"/>
    </row>
    <row r="2371" spans="1:17" hidden="1" x14ac:dyDescent="0.25">
      <c r="A2371" s="60" t="str">
        <f t="shared" si="152"/>
        <v>15511,02</v>
      </c>
      <c r="B2371" s="60">
        <f>COUNTIF($J$7:J2371,J2371)</f>
        <v>15</v>
      </c>
      <c r="C2371" s="60" t="str">
        <f t="shared" si="153"/>
        <v>0</v>
      </c>
      <c r="D2371" s="60">
        <f>COUNTIF($K$7:K2371,K2371)</f>
        <v>0</v>
      </c>
      <c r="E2371" s="61"/>
      <c r="F2371" s="239">
        <v>44596</v>
      </c>
      <c r="G2371" s="232"/>
      <c r="H2371" s="61" t="s">
        <v>1305</v>
      </c>
      <c r="I2371" s="243" t="s">
        <v>1311</v>
      </c>
      <c r="J2371" s="221">
        <v>511.02</v>
      </c>
      <c r="K2371" s="65"/>
      <c r="L2371" s="257">
        <v>50000</v>
      </c>
      <c r="M2371" s="223"/>
      <c r="N2371" s="223"/>
      <c r="O2371" s="61"/>
      <c r="P2371" s="69" t="str">
        <f t="shared" si="154"/>
        <v>Biaya Loading UnLoading</v>
      </c>
      <c r="Q2371" s="61"/>
    </row>
    <row r="2372" spans="1:17" hidden="1" x14ac:dyDescent="0.25">
      <c r="A2372" s="60" t="str">
        <f t="shared" si="152"/>
        <v>50119</v>
      </c>
      <c r="B2372" s="60">
        <f>COUNTIF($J$7:J2372,J2372)</f>
        <v>50</v>
      </c>
      <c r="C2372" s="60" t="str">
        <f t="shared" si="153"/>
        <v>19119,01</v>
      </c>
      <c r="D2372" s="60">
        <f>COUNTIF($K$7:K2372,K2372)</f>
        <v>19</v>
      </c>
      <c r="E2372" s="61"/>
      <c r="F2372" s="239">
        <v>44607</v>
      </c>
      <c r="G2372" s="232"/>
      <c r="H2372" s="61" t="s">
        <v>1305</v>
      </c>
      <c r="I2372" s="243" t="s">
        <v>1306</v>
      </c>
      <c r="J2372" s="76">
        <v>119</v>
      </c>
      <c r="K2372" s="75">
        <v>119.01</v>
      </c>
      <c r="L2372" s="224"/>
      <c r="M2372" s="223">
        <v>2000000</v>
      </c>
      <c r="N2372" s="223"/>
      <c r="O2372" s="256">
        <f>M2372-SUM(L2373:L2379)</f>
        <v>-180000</v>
      </c>
      <c r="P2372" s="69" t="str">
        <f t="shared" si="154"/>
        <v>Uang Muka Biaya Pengiriman dan Perjalanan Dinas Marketing</v>
      </c>
      <c r="Q2372" s="61"/>
    </row>
    <row r="2373" spans="1:17" hidden="1" x14ac:dyDescent="0.25">
      <c r="A2373" s="60" t="str">
        <f t="shared" si="152"/>
        <v>62511,04</v>
      </c>
      <c r="B2373" s="60">
        <f>COUNTIF($J$7:J2373,J2373)</f>
        <v>62</v>
      </c>
      <c r="C2373" s="60" t="str">
        <f t="shared" si="153"/>
        <v>0</v>
      </c>
      <c r="D2373" s="60">
        <f>COUNTIF($K$7:K2373,K2373)</f>
        <v>0</v>
      </c>
      <c r="E2373" s="61"/>
      <c r="F2373" s="239">
        <v>44608</v>
      </c>
      <c r="G2373" s="232"/>
      <c r="H2373" s="61" t="s">
        <v>1305</v>
      </c>
      <c r="I2373" s="243" t="s">
        <v>1309</v>
      </c>
      <c r="J2373" s="221">
        <v>511.04</v>
      </c>
      <c r="K2373" s="65"/>
      <c r="L2373" s="257">
        <v>900000</v>
      </c>
      <c r="M2373" s="223"/>
      <c r="N2373" s="223"/>
      <c r="O2373" s="61"/>
      <c r="P2373" s="69" t="str">
        <f t="shared" si="154"/>
        <v>Biaya pengiriman Via Online (Gojek,Grab), Kuli</v>
      </c>
      <c r="Q2373" s="61"/>
    </row>
    <row r="2374" spans="1:17" hidden="1" x14ac:dyDescent="0.25">
      <c r="A2374" s="60" t="str">
        <f t="shared" si="152"/>
        <v>16511,02</v>
      </c>
      <c r="B2374" s="60">
        <f>COUNTIF($J$7:J2374,J2374)</f>
        <v>16</v>
      </c>
      <c r="C2374" s="60" t="str">
        <f t="shared" si="153"/>
        <v>0</v>
      </c>
      <c r="D2374" s="60">
        <f>COUNTIF($K$7:K2374,K2374)</f>
        <v>0</v>
      </c>
      <c r="E2374" s="61"/>
      <c r="F2374" s="239">
        <v>44608</v>
      </c>
      <c r="G2374" s="232"/>
      <c r="H2374" s="61" t="s">
        <v>1305</v>
      </c>
      <c r="I2374" s="243" t="s">
        <v>1307</v>
      </c>
      <c r="J2374" s="221">
        <v>511.02</v>
      </c>
      <c r="K2374" s="65"/>
      <c r="L2374" s="257">
        <v>700000</v>
      </c>
      <c r="M2374" s="223"/>
      <c r="N2374" s="223"/>
      <c r="O2374" s="61"/>
      <c r="P2374" s="69" t="str">
        <f t="shared" si="154"/>
        <v>Biaya Loading UnLoading</v>
      </c>
      <c r="Q2374" s="61"/>
    </row>
    <row r="2375" spans="1:17" hidden="1" x14ac:dyDescent="0.25">
      <c r="A2375" s="60" t="str">
        <f t="shared" ref="A2375:A2438" si="155">B2375&amp;J2375</f>
        <v>17511,02</v>
      </c>
      <c r="B2375" s="60">
        <f>COUNTIF($J$7:J2375,J2375)</f>
        <v>17</v>
      </c>
      <c r="C2375" s="60" t="str">
        <f t="shared" ref="C2375:C2438" si="156">D2375&amp;K2375</f>
        <v>0</v>
      </c>
      <c r="D2375" s="60">
        <f>COUNTIF($K$7:K2375,K2375)</f>
        <v>0</v>
      </c>
      <c r="E2375" s="61"/>
      <c r="F2375" s="239">
        <v>44608</v>
      </c>
      <c r="G2375" s="232"/>
      <c r="H2375" s="61" t="s">
        <v>1305</v>
      </c>
      <c r="I2375" s="243" t="s">
        <v>1312</v>
      </c>
      <c r="J2375" s="221">
        <v>511.02</v>
      </c>
      <c r="K2375" s="65"/>
      <c r="L2375" s="257">
        <v>200000</v>
      </c>
      <c r="M2375" s="223"/>
      <c r="N2375" s="223"/>
      <c r="O2375" s="61"/>
      <c r="P2375" s="69" t="str">
        <f t="shared" ref="P2375:P2438" si="157">IF(J2375=0,"-",+VLOOKUP(J2375,DAF_AKUN,2,FALSE))</f>
        <v>Biaya Loading UnLoading</v>
      </c>
      <c r="Q2375" s="61"/>
    </row>
    <row r="2376" spans="1:17" hidden="1" x14ac:dyDescent="0.25">
      <c r="A2376" s="60" t="str">
        <f t="shared" si="155"/>
        <v>18511,02</v>
      </c>
      <c r="B2376" s="60">
        <f>COUNTIF($J$7:J2376,J2376)</f>
        <v>18</v>
      </c>
      <c r="C2376" s="60" t="str">
        <f t="shared" si="156"/>
        <v>0</v>
      </c>
      <c r="D2376" s="60">
        <f>COUNTIF($K$7:K2376,K2376)</f>
        <v>0</v>
      </c>
      <c r="E2376" s="61"/>
      <c r="F2376" s="239">
        <v>44608</v>
      </c>
      <c r="G2376" s="232"/>
      <c r="H2376" s="61" t="s">
        <v>1305</v>
      </c>
      <c r="I2376" s="243" t="s">
        <v>1313</v>
      </c>
      <c r="J2376" s="221">
        <v>511.02</v>
      </c>
      <c r="K2376" s="65"/>
      <c r="L2376" s="257">
        <v>50000</v>
      </c>
      <c r="M2376" s="223"/>
      <c r="N2376" s="223"/>
      <c r="O2376" s="61"/>
      <c r="P2376" s="69" t="str">
        <f t="shared" si="157"/>
        <v>Biaya Loading UnLoading</v>
      </c>
      <c r="Q2376" s="61"/>
    </row>
    <row r="2377" spans="1:17" hidden="1" x14ac:dyDescent="0.25">
      <c r="A2377" s="60" t="str">
        <f t="shared" si="155"/>
        <v>19511,02</v>
      </c>
      <c r="B2377" s="60">
        <f>COUNTIF($J$7:J2377,J2377)</f>
        <v>19</v>
      </c>
      <c r="C2377" s="60" t="str">
        <f t="shared" si="156"/>
        <v>0</v>
      </c>
      <c r="D2377" s="60">
        <f>COUNTIF($K$7:K2377,K2377)</f>
        <v>0</v>
      </c>
      <c r="E2377" s="61"/>
      <c r="F2377" s="239">
        <v>44608</v>
      </c>
      <c r="G2377" s="232"/>
      <c r="H2377" s="61" t="s">
        <v>1305</v>
      </c>
      <c r="I2377" s="243" t="s">
        <v>1314</v>
      </c>
      <c r="J2377" s="221">
        <v>511.02</v>
      </c>
      <c r="K2377" s="65"/>
      <c r="L2377" s="257">
        <v>180000</v>
      </c>
      <c r="M2377" s="223"/>
      <c r="N2377" s="223"/>
      <c r="O2377" s="61"/>
      <c r="P2377" s="69" t="str">
        <f t="shared" si="157"/>
        <v>Biaya Loading UnLoading</v>
      </c>
      <c r="Q2377" s="61"/>
    </row>
    <row r="2378" spans="1:17" hidden="1" x14ac:dyDescent="0.25">
      <c r="A2378" s="60" t="str">
        <f t="shared" si="155"/>
        <v>20511,02</v>
      </c>
      <c r="B2378" s="60">
        <f>COUNTIF($J$7:J2378,J2378)</f>
        <v>20</v>
      </c>
      <c r="C2378" s="60" t="str">
        <f t="shared" si="156"/>
        <v>0</v>
      </c>
      <c r="D2378" s="60">
        <f>COUNTIF($K$7:K2378,K2378)</f>
        <v>0</v>
      </c>
      <c r="E2378" s="61"/>
      <c r="F2378" s="239">
        <v>44608</v>
      </c>
      <c r="G2378" s="232"/>
      <c r="H2378" s="61" t="s">
        <v>1305</v>
      </c>
      <c r="I2378" s="243" t="s">
        <v>1315</v>
      </c>
      <c r="J2378" s="221">
        <v>511.02</v>
      </c>
      <c r="K2378" s="65"/>
      <c r="L2378" s="257">
        <v>50000</v>
      </c>
      <c r="M2378" s="223"/>
      <c r="N2378" s="223"/>
      <c r="O2378" s="61"/>
      <c r="P2378" s="69" t="str">
        <f t="shared" si="157"/>
        <v>Biaya Loading UnLoading</v>
      </c>
      <c r="Q2378" s="61"/>
    </row>
    <row r="2379" spans="1:17" hidden="1" x14ac:dyDescent="0.25">
      <c r="A2379" s="60" t="str">
        <f t="shared" si="155"/>
        <v>21511,02</v>
      </c>
      <c r="B2379" s="60">
        <f>COUNTIF($J$7:J2379,J2379)</f>
        <v>21</v>
      </c>
      <c r="C2379" s="60" t="str">
        <f t="shared" si="156"/>
        <v>0</v>
      </c>
      <c r="D2379" s="60">
        <f>COUNTIF($K$7:K2379,K2379)</f>
        <v>0</v>
      </c>
      <c r="E2379" s="61"/>
      <c r="F2379" s="239">
        <v>44608</v>
      </c>
      <c r="G2379" s="232"/>
      <c r="H2379" s="61" t="s">
        <v>1305</v>
      </c>
      <c r="I2379" s="243" t="s">
        <v>628</v>
      </c>
      <c r="J2379" s="221">
        <v>511.02</v>
      </c>
      <c r="K2379" s="65"/>
      <c r="L2379" s="257">
        <v>100000</v>
      </c>
      <c r="M2379" s="223"/>
      <c r="N2379" s="223"/>
      <c r="O2379" s="61"/>
      <c r="P2379" s="69" t="str">
        <f t="shared" si="157"/>
        <v>Biaya Loading UnLoading</v>
      </c>
      <c r="Q2379" s="61"/>
    </row>
    <row r="2380" spans="1:17" hidden="1" x14ac:dyDescent="0.25">
      <c r="A2380" s="60" t="str">
        <f t="shared" si="155"/>
        <v>65220,03</v>
      </c>
      <c r="B2380" s="60">
        <f>COUNTIF($J$7:J2380,J2380)</f>
        <v>65</v>
      </c>
      <c r="C2380" s="60" t="str">
        <f t="shared" si="156"/>
        <v>0</v>
      </c>
      <c r="D2380" s="60">
        <f>COUNTIF($K$7:K2380,K2380)</f>
        <v>0</v>
      </c>
      <c r="E2380" s="61"/>
      <c r="F2380" s="239">
        <v>44608</v>
      </c>
      <c r="G2380" s="232"/>
      <c r="H2380" s="61" t="s">
        <v>1305</v>
      </c>
      <c r="I2380" s="243" t="s">
        <v>1316</v>
      </c>
      <c r="J2380" s="67">
        <v>220.03</v>
      </c>
      <c r="K2380" s="75"/>
      <c r="L2380" s="257"/>
      <c r="M2380" s="223">
        <v>110000</v>
      </c>
      <c r="N2380" s="223"/>
      <c r="O2380" s="61"/>
      <c r="P2380" s="69" t="str">
        <f t="shared" si="157"/>
        <v>Hutang BIaya</v>
      </c>
      <c r="Q2380" s="61"/>
    </row>
    <row r="2381" spans="1:17" hidden="1" x14ac:dyDescent="0.25">
      <c r="A2381" s="60" t="str">
        <f t="shared" si="155"/>
        <v>51119</v>
      </c>
      <c r="B2381" s="60">
        <f>COUNTIF($J$7:J2381,J2381)</f>
        <v>51</v>
      </c>
      <c r="C2381" s="60" t="str">
        <f t="shared" si="156"/>
        <v>20119,02</v>
      </c>
      <c r="D2381" s="60">
        <f>COUNTIF($K$7:K2381,K2381)</f>
        <v>20</v>
      </c>
      <c r="E2381" s="61"/>
      <c r="F2381" s="239">
        <v>44594</v>
      </c>
      <c r="G2381" s="232"/>
      <c r="H2381" s="61" t="s">
        <v>1283</v>
      </c>
      <c r="I2381" s="243" t="s">
        <v>1306</v>
      </c>
      <c r="J2381" s="76">
        <v>119</v>
      </c>
      <c r="K2381" s="75">
        <v>119.02</v>
      </c>
      <c r="L2381" s="224"/>
      <c r="M2381" s="258">
        <v>2000000</v>
      </c>
      <c r="N2381" s="258"/>
      <c r="O2381" s="259">
        <f>M2381-SUM(L2382:L2411)</f>
        <v>-1067000</v>
      </c>
      <c r="P2381" s="69" t="str">
        <f t="shared" si="157"/>
        <v>Uang Muka Biaya Pengiriman dan Perjalanan Dinas Marketing</v>
      </c>
      <c r="Q2381" s="61"/>
    </row>
    <row r="2382" spans="1:17" hidden="1" x14ac:dyDescent="0.25">
      <c r="A2382" s="60" t="str">
        <f t="shared" si="155"/>
        <v>63511,04</v>
      </c>
      <c r="B2382" s="60">
        <f>COUNTIF($J$7:J2382,J2382)</f>
        <v>63</v>
      </c>
      <c r="C2382" s="60" t="str">
        <f t="shared" si="156"/>
        <v>0</v>
      </c>
      <c r="D2382" s="60">
        <f>COUNTIF($K$7:K2382,K2382)</f>
        <v>0</v>
      </c>
      <c r="E2382" s="61"/>
      <c r="F2382" s="239">
        <v>44594</v>
      </c>
      <c r="G2382" s="232"/>
      <c r="H2382" s="61" t="s">
        <v>1283</v>
      </c>
      <c r="I2382" s="243" t="s">
        <v>1317</v>
      </c>
      <c r="J2382" s="64">
        <v>511.04</v>
      </c>
      <c r="K2382" s="65"/>
      <c r="L2382" s="257">
        <v>262000</v>
      </c>
      <c r="M2382" s="223"/>
      <c r="N2382" s="223"/>
      <c r="O2382" s="61"/>
      <c r="P2382" s="69" t="str">
        <f t="shared" si="157"/>
        <v>Biaya pengiriman Via Online (Gojek,Grab), Kuli</v>
      </c>
      <c r="Q2382" s="61"/>
    </row>
    <row r="2383" spans="1:17" hidden="1" x14ac:dyDescent="0.25">
      <c r="A2383" s="60" t="str">
        <f t="shared" si="155"/>
        <v>64511,04</v>
      </c>
      <c r="B2383" s="60">
        <f>COUNTIF($J$7:J2383,J2383)</f>
        <v>64</v>
      </c>
      <c r="C2383" s="60" t="str">
        <f t="shared" si="156"/>
        <v>0</v>
      </c>
      <c r="D2383" s="60">
        <f>COUNTIF($K$7:K2383,K2383)</f>
        <v>0</v>
      </c>
      <c r="E2383" s="61"/>
      <c r="F2383" s="239">
        <v>44594</v>
      </c>
      <c r="G2383" s="232"/>
      <c r="H2383" s="61" t="s">
        <v>1283</v>
      </c>
      <c r="I2383" s="243" t="s">
        <v>1318</v>
      </c>
      <c r="J2383" s="64">
        <v>511.04</v>
      </c>
      <c r="K2383" s="65"/>
      <c r="L2383" s="257">
        <v>238000</v>
      </c>
      <c r="M2383" s="223"/>
      <c r="N2383" s="223"/>
      <c r="O2383" s="61"/>
      <c r="P2383" s="69" t="str">
        <f t="shared" si="157"/>
        <v>Biaya pengiriman Via Online (Gojek,Grab), Kuli</v>
      </c>
      <c r="Q2383" s="61"/>
    </row>
    <row r="2384" spans="1:17" hidden="1" x14ac:dyDescent="0.25">
      <c r="A2384" s="60" t="str">
        <f t="shared" si="155"/>
        <v>65511,04</v>
      </c>
      <c r="B2384" s="60">
        <f>COUNTIF($J$7:J2384,J2384)</f>
        <v>65</v>
      </c>
      <c r="C2384" s="60" t="str">
        <f t="shared" si="156"/>
        <v>0</v>
      </c>
      <c r="D2384" s="60">
        <f>COUNTIF($K$7:K2384,K2384)</f>
        <v>0</v>
      </c>
      <c r="E2384" s="61"/>
      <c r="F2384" s="239">
        <v>44594</v>
      </c>
      <c r="G2384" s="232"/>
      <c r="H2384" s="61" t="s">
        <v>1283</v>
      </c>
      <c r="I2384" s="243" t="s">
        <v>1319</v>
      </c>
      <c r="J2384" s="64">
        <v>511.04</v>
      </c>
      <c r="K2384" s="65"/>
      <c r="L2384" s="257">
        <v>210000</v>
      </c>
      <c r="M2384" s="223"/>
      <c r="N2384" s="223"/>
      <c r="O2384" s="61"/>
      <c r="P2384" s="69" t="str">
        <f t="shared" si="157"/>
        <v>Biaya pengiriman Via Online (Gojek,Grab), Kuli</v>
      </c>
      <c r="Q2384" s="61"/>
    </row>
    <row r="2385" spans="1:17" hidden="1" x14ac:dyDescent="0.25">
      <c r="A2385" s="60" t="str">
        <f t="shared" si="155"/>
        <v>100511,05</v>
      </c>
      <c r="B2385" s="60">
        <f>COUNTIF($J$7:J2385,J2385)</f>
        <v>100</v>
      </c>
      <c r="C2385" s="60" t="str">
        <f t="shared" si="156"/>
        <v>0</v>
      </c>
      <c r="D2385" s="60">
        <f>COUNTIF($K$7:K2385,K2385)</f>
        <v>0</v>
      </c>
      <c r="E2385" s="61"/>
      <c r="F2385" s="239">
        <v>44594</v>
      </c>
      <c r="G2385" s="232"/>
      <c r="H2385" s="61" t="s">
        <v>1283</v>
      </c>
      <c r="I2385" s="243" t="s">
        <v>1320</v>
      </c>
      <c r="J2385" s="64">
        <v>511.05</v>
      </c>
      <c r="K2385" s="65"/>
      <c r="L2385" s="257">
        <v>3000</v>
      </c>
      <c r="M2385" s="223"/>
      <c r="N2385" s="223"/>
      <c r="O2385" s="61"/>
      <c r="P2385" s="69" t="str">
        <f t="shared" si="157"/>
        <v>Biaya Transport Pengiriman Bensin, Parkir, Tol</v>
      </c>
      <c r="Q2385" s="61"/>
    </row>
    <row r="2386" spans="1:17" hidden="1" x14ac:dyDescent="0.25">
      <c r="A2386" s="60" t="str">
        <f t="shared" si="155"/>
        <v>101511,05</v>
      </c>
      <c r="B2386" s="60">
        <f>COUNTIF($J$7:J2386,J2386)</f>
        <v>101</v>
      </c>
      <c r="C2386" s="60" t="str">
        <f t="shared" si="156"/>
        <v>0</v>
      </c>
      <c r="D2386" s="60">
        <f>COUNTIF($K$7:K2386,K2386)</f>
        <v>0</v>
      </c>
      <c r="E2386" s="61"/>
      <c r="F2386" s="239">
        <v>44594</v>
      </c>
      <c r="G2386" s="232"/>
      <c r="H2386" s="61" t="s">
        <v>1283</v>
      </c>
      <c r="I2386" s="243" t="s">
        <v>1321</v>
      </c>
      <c r="J2386" s="64">
        <v>511.05</v>
      </c>
      <c r="K2386" s="65"/>
      <c r="L2386" s="257">
        <v>8000</v>
      </c>
      <c r="M2386" s="223"/>
      <c r="N2386" s="223"/>
      <c r="O2386" s="61"/>
      <c r="P2386" s="69" t="str">
        <f t="shared" si="157"/>
        <v>Biaya Transport Pengiriman Bensin, Parkir, Tol</v>
      </c>
      <c r="Q2386" s="61"/>
    </row>
    <row r="2387" spans="1:17" hidden="1" x14ac:dyDescent="0.25">
      <c r="A2387" s="60" t="str">
        <f t="shared" si="155"/>
        <v>102511,05</v>
      </c>
      <c r="B2387" s="60">
        <f>COUNTIF($J$7:J2387,J2387)</f>
        <v>102</v>
      </c>
      <c r="C2387" s="60" t="str">
        <f t="shared" si="156"/>
        <v>0</v>
      </c>
      <c r="D2387" s="60">
        <f>COUNTIF($K$7:K2387,K2387)</f>
        <v>0</v>
      </c>
      <c r="E2387" s="61"/>
      <c r="F2387" s="239">
        <v>44594</v>
      </c>
      <c r="G2387" s="232"/>
      <c r="H2387" s="61" t="s">
        <v>1283</v>
      </c>
      <c r="I2387" s="243" t="s">
        <v>1322</v>
      </c>
      <c r="J2387" s="64">
        <v>511.05</v>
      </c>
      <c r="K2387" s="65"/>
      <c r="L2387" s="257">
        <v>8000</v>
      </c>
      <c r="M2387" s="223"/>
      <c r="N2387" s="223"/>
      <c r="O2387" s="61"/>
      <c r="P2387" s="69" t="str">
        <f t="shared" si="157"/>
        <v>Biaya Transport Pengiriman Bensin, Parkir, Tol</v>
      </c>
      <c r="Q2387" s="61"/>
    </row>
    <row r="2388" spans="1:17" hidden="1" x14ac:dyDescent="0.25">
      <c r="A2388" s="60" t="str">
        <f t="shared" si="155"/>
        <v>103511,05</v>
      </c>
      <c r="B2388" s="60">
        <f>COUNTIF($J$7:J2388,J2388)</f>
        <v>103</v>
      </c>
      <c r="C2388" s="60" t="str">
        <f t="shared" si="156"/>
        <v>0</v>
      </c>
      <c r="D2388" s="60">
        <f>COUNTIF($K$7:K2388,K2388)</f>
        <v>0</v>
      </c>
      <c r="E2388" s="61"/>
      <c r="F2388" s="239">
        <v>44594</v>
      </c>
      <c r="G2388" s="232"/>
      <c r="H2388" s="61" t="s">
        <v>1283</v>
      </c>
      <c r="I2388" s="243" t="s">
        <v>1323</v>
      </c>
      <c r="J2388" s="64">
        <v>511.05</v>
      </c>
      <c r="K2388" s="65"/>
      <c r="L2388" s="257">
        <v>5000</v>
      </c>
      <c r="M2388" s="223"/>
      <c r="N2388" s="223"/>
      <c r="O2388" s="61"/>
      <c r="P2388" s="69" t="str">
        <f t="shared" si="157"/>
        <v>Biaya Transport Pengiriman Bensin, Parkir, Tol</v>
      </c>
      <c r="Q2388" s="61"/>
    </row>
    <row r="2389" spans="1:17" hidden="1" x14ac:dyDescent="0.25">
      <c r="A2389" s="60" t="str">
        <f t="shared" si="155"/>
        <v>66511,04</v>
      </c>
      <c r="B2389" s="60">
        <f>COUNTIF($J$7:J2389,J2389)</f>
        <v>66</v>
      </c>
      <c r="C2389" s="60" t="str">
        <f t="shared" si="156"/>
        <v>0</v>
      </c>
      <c r="D2389" s="60">
        <f>COUNTIF($K$7:K2389,K2389)</f>
        <v>0</v>
      </c>
      <c r="E2389" s="61"/>
      <c r="F2389" s="239">
        <v>44594</v>
      </c>
      <c r="G2389" s="232"/>
      <c r="H2389" s="61" t="s">
        <v>1283</v>
      </c>
      <c r="I2389" s="243" t="s">
        <v>1324</v>
      </c>
      <c r="J2389" s="221">
        <v>511.04</v>
      </c>
      <c r="K2389" s="65"/>
      <c r="L2389" s="257">
        <v>10000</v>
      </c>
      <c r="M2389" s="223"/>
      <c r="N2389" s="223"/>
      <c r="O2389" s="61"/>
      <c r="P2389" s="69" t="str">
        <f t="shared" si="157"/>
        <v>Biaya pengiriman Via Online (Gojek,Grab), Kuli</v>
      </c>
      <c r="Q2389" s="61"/>
    </row>
    <row r="2390" spans="1:17" hidden="1" x14ac:dyDescent="0.25">
      <c r="A2390" s="60" t="str">
        <f t="shared" si="155"/>
        <v>104511,05</v>
      </c>
      <c r="B2390" s="60">
        <f>COUNTIF($J$7:J2390,J2390)</f>
        <v>104</v>
      </c>
      <c r="C2390" s="60" t="str">
        <f t="shared" si="156"/>
        <v>0</v>
      </c>
      <c r="D2390" s="60">
        <f>COUNTIF($K$7:K2390,K2390)</f>
        <v>0</v>
      </c>
      <c r="E2390" s="61"/>
      <c r="F2390" s="239">
        <v>44594</v>
      </c>
      <c r="G2390" s="232"/>
      <c r="H2390" s="61" t="s">
        <v>1283</v>
      </c>
      <c r="I2390" s="243" t="s">
        <v>1325</v>
      </c>
      <c r="J2390" s="64">
        <v>511.05</v>
      </c>
      <c r="K2390" s="65"/>
      <c r="L2390" s="257">
        <v>4000</v>
      </c>
      <c r="M2390" s="223"/>
      <c r="N2390" s="223"/>
      <c r="O2390" s="61"/>
      <c r="P2390" s="69" t="str">
        <f t="shared" si="157"/>
        <v>Biaya Transport Pengiriman Bensin, Parkir, Tol</v>
      </c>
      <c r="Q2390" s="61"/>
    </row>
    <row r="2391" spans="1:17" hidden="1" x14ac:dyDescent="0.25">
      <c r="A2391" s="60" t="str">
        <f t="shared" si="155"/>
        <v>67511,04</v>
      </c>
      <c r="B2391" s="60">
        <f>COUNTIF($J$7:J2391,J2391)</f>
        <v>67</v>
      </c>
      <c r="C2391" s="60" t="str">
        <f t="shared" si="156"/>
        <v>0</v>
      </c>
      <c r="D2391" s="60">
        <f>COUNTIF($K$7:K2391,K2391)</f>
        <v>0</v>
      </c>
      <c r="E2391" s="61"/>
      <c r="F2391" s="239">
        <v>44594</v>
      </c>
      <c r="G2391" s="232"/>
      <c r="H2391" s="61" t="s">
        <v>1283</v>
      </c>
      <c r="I2391" s="243" t="s">
        <v>1326</v>
      </c>
      <c r="J2391" s="221">
        <v>511.04</v>
      </c>
      <c r="K2391" s="65"/>
      <c r="L2391" s="257">
        <v>10000</v>
      </c>
      <c r="M2391" s="223"/>
      <c r="N2391" s="223"/>
      <c r="O2391" s="61"/>
      <c r="P2391" s="69" t="str">
        <f t="shared" si="157"/>
        <v>Biaya pengiriman Via Online (Gojek,Grab), Kuli</v>
      </c>
      <c r="Q2391" s="61"/>
    </row>
    <row r="2392" spans="1:17" hidden="1" x14ac:dyDescent="0.25">
      <c r="A2392" s="60" t="str">
        <f t="shared" si="155"/>
        <v>105511,05</v>
      </c>
      <c r="B2392" s="60">
        <f>COUNTIF($J$7:J2392,J2392)</f>
        <v>105</v>
      </c>
      <c r="C2392" s="60" t="str">
        <f t="shared" si="156"/>
        <v>0</v>
      </c>
      <c r="D2392" s="60">
        <f>COUNTIF($K$7:K2392,K2392)</f>
        <v>0</v>
      </c>
      <c r="E2392" s="61"/>
      <c r="F2392" s="239">
        <v>44594</v>
      </c>
      <c r="G2392" s="232"/>
      <c r="H2392" s="61" t="s">
        <v>1283</v>
      </c>
      <c r="I2392" s="243" t="s">
        <v>1327</v>
      </c>
      <c r="J2392" s="64">
        <v>511.05</v>
      </c>
      <c r="K2392" s="65"/>
      <c r="L2392" s="257">
        <v>8000</v>
      </c>
      <c r="M2392" s="223"/>
      <c r="N2392" s="223"/>
      <c r="O2392" s="61"/>
      <c r="P2392" s="69" t="str">
        <f t="shared" si="157"/>
        <v>Biaya Transport Pengiriman Bensin, Parkir, Tol</v>
      </c>
      <c r="Q2392" s="61"/>
    </row>
    <row r="2393" spans="1:17" hidden="1" x14ac:dyDescent="0.25">
      <c r="A2393" s="60" t="str">
        <f t="shared" si="155"/>
        <v>42511,03</v>
      </c>
      <c r="B2393" s="60">
        <f>COUNTIF($J$7:J2393,J2393)</f>
        <v>42</v>
      </c>
      <c r="C2393" s="60" t="str">
        <f t="shared" si="156"/>
        <v>0</v>
      </c>
      <c r="D2393" s="60">
        <f>COUNTIF($K$7:K2393,K2393)</f>
        <v>0</v>
      </c>
      <c r="E2393" s="61"/>
      <c r="F2393" s="239">
        <v>44594</v>
      </c>
      <c r="G2393" s="232"/>
      <c r="H2393" s="61" t="s">
        <v>1283</v>
      </c>
      <c r="I2393" s="243" t="s">
        <v>1328</v>
      </c>
      <c r="J2393" s="64">
        <v>511.03</v>
      </c>
      <c r="K2393" s="65"/>
      <c r="L2393" s="257">
        <v>550000</v>
      </c>
      <c r="M2393" s="223"/>
      <c r="N2393" s="223"/>
      <c r="O2393" s="61"/>
      <c r="P2393" s="69" t="str">
        <f t="shared" si="157"/>
        <v>Biaya Pengiriman Barang Ekspedisi</v>
      </c>
      <c r="Q2393" s="61"/>
    </row>
    <row r="2394" spans="1:17" hidden="1" x14ac:dyDescent="0.25">
      <c r="A2394" s="60" t="str">
        <f t="shared" si="155"/>
        <v>43511,03</v>
      </c>
      <c r="B2394" s="60">
        <f>COUNTIF($J$7:J2394,J2394)</f>
        <v>43</v>
      </c>
      <c r="C2394" s="60" t="str">
        <f t="shared" si="156"/>
        <v>0</v>
      </c>
      <c r="D2394" s="60">
        <f>COUNTIF($K$7:K2394,K2394)</f>
        <v>0</v>
      </c>
      <c r="E2394" s="61"/>
      <c r="F2394" s="239">
        <v>44594</v>
      </c>
      <c r="G2394" s="232"/>
      <c r="H2394" s="61" t="s">
        <v>1283</v>
      </c>
      <c r="I2394" s="243" t="s">
        <v>1329</v>
      </c>
      <c r="J2394" s="221">
        <v>511.03</v>
      </c>
      <c r="K2394" s="65"/>
      <c r="L2394" s="257">
        <v>420000</v>
      </c>
      <c r="M2394" s="223"/>
      <c r="N2394" s="223"/>
      <c r="O2394" s="61"/>
      <c r="P2394" s="69" t="str">
        <f t="shared" si="157"/>
        <v>Biaya Pengiriman Barang Ekspedisi</v>
      </c>
      <c r="Q2394" s="61"/>
    </row>
    <row r="2395" spans="1:17" hidden="1" x14ac:dyDescent="0.25">
      <c r="A2395" s="60" t="str">
        <f t="shared" si="155"/>
        <v>68511,04</v>
      </c>
      <c r="B2395" s="60">
        <f>COUNTIF($J$7:J2395,J2395)</f>
        <v>68</v>
      </c>
      <c r="C2395" s="60" t="str">
        <f t="shared" si="156"/>
        <v>0</v>
      </c>
      <c r="D2395" s="60">
        <f>COUNTIF($K$7:K2395,K2395)</f>
        <v>0</v>
      </c>
      <c r="E2395" s="61"/>
      <c r="F2395" s="239">
        <v>44597</v>
      </c>
      <c r="G2395" s="232"/>
      <c r="H2395" s="61" t="s">
        <v>1283</v>
      </c>
      <c r="I2395" s="243" t="s">
        <v>1330</v>
      </c>
      <c r="J2395" s="64">
        <v>511.04</v>
      </c>
      <c r="K2395" s="65"/>
      <c r="L2395" s="257">
        <v>210000</v>
      </c>
      <c r="M2395" s="223"/>
      <c r="N2395" s="223"/>
      <c r="O2395" s="61"/>
      <c r="P2395" s="69" t="str">
        <f t="shared" si="157"/>
        <v>Biaya pengiriman Via Online (Gojek,Grab), Kuli</v>
      </c>
      <c r="Q2395" s="61"/>
    </row>
    <row r="2396" spans="1:17" hidden="1" x14ac:dyDescent="0.25">
      <c r="A2396" s="60" t="str">
        <f t="shared" si="155"/>
        <v>106511,05</v>
      </c>
      <c r="B2396" s="60">
        <f>COUNTIF($J$7:J2396,J2396)</f>
        <v>106</v>
      </c>
      <c r="C2396" s="60" t="str">
        <f t="shared" si="156"/>
        <v>0</v>
      </c>
      <c r="D2396" s="60">
        <f>COUNTIF($K$7:K2396,K2396)</f>
        <v>0</v>
      </c>
      <c r="E2396" s="61"/>
      <c r="F2396" s="239">
        <v>44597</v>
      </c>
      <c r="G2396" s="232"/>
      <c r="H2396" s="61" t="s">
        <v>1283</v>
      </c>
      <c r="I2396" s="243" t="s">
        <v>1331</v>
      </c>
      <c r="J2396" s="64">
        <v>511.05</v>
      </c>
      <c r="K2396" s="65"/>
      <c r="L2396" s="257">
        <v>8000</v>
      </c>
      <c r="M2396" s="223"/>
      <c r="N2396" s="223"/>
      <c r="O2396" s="61"/>
      <c r="P2396" s="69" t="str">
        <f t="shared" si="157"/>
        <v>Biaya Transport Pengiriman Bensin, Parkir, Tol</v>
      </c>
      <c r="Q2396" s="61"/>
    </row>
    <row r="2397" spans="1:17" hidden="1" x14ac:dyDescent="0.25">
      <c r="A2397" s="60" t="str">
        <f t="shared" si="155"/>
        <v>107511,05</v>
      </c>
      <c r="B2397" s="60">
        <f>COUNTIF($J$7:J2397,J2397)</f>
        <v>107</v>
      </c>
      <c r="C2397" s="60" t="str">
        <f t="shared" si="156"/>
        <v>0</v>
      </c>
      <c r="D2397" s="60">
        <f>COUNTIF($K$7:K2397,K2397)</f>
        <v>0</v>
      </c>
      <c r="E2397" s="61"/>
      <c r="F2397" s="239">
        <v>44597</v>
      </c>
      <c r="G2397" s="232"/>
      <c r="H2397" s="61" t="s">
        <v>1283</v>
      </c>
      <c r="I2397" s="243" t="s">
        <v>1332</v>
      </c>
      <c r="J2397" s="64">
        <v>511.05</v>
      </c>
      <c r="K2397" s="65"/>
      <c r="L2397" s="257">
        <v>4000</v>
      </c>
      <c r="M2397" s="223"/>
      <c r="N2397" s="223"/>
      <c r="O2397" s="61"/>
      <c r="P2397" s="69" t="str">
        <f t="shared" si="157"/>
        <v>Biaya Transport Pengiriman Bensin, Parkir, Tol</v>
      </c>
      <c r="Q2397" s="61"/>
    </row>
    <row r="2398" spans="1:17" hidden="1" x14ac:dyDescent="0.25">
      <c r="A2398" s="60" t="str">
        <f t="shared" si="155"/>
        <v>28610,1</v>
      </c>
      <c r="B2398" s="60">
        <f>COUNTIF($J$7:J2398,J2398)</f>
        <v>28</v>
      </c>
      <c r="C2398" s="60" t="str">
        <f t="shared" si="156"/>
        <v>0</v>
      </c>
      <c r="D2398" s="60">
        <f>COUNTIF($K$7:K2398,K2398)</f>
        <v>0</v>
      </c>
      <c r="E2398" s="61"/>
      <c r="F2398" s="239">
        <v>44595</v>
      </c>
      <c r="G2398" s="232"/>
      <c r="H2398" s="61" t="s">
        <v>1283</v>
      </c>
      <c r="I2398" s="243" t="s">
        <v>694</v>
      </c>
      <c r="J2398" s="221">
        <v>610.1</v>
      </c>
      <c r="K2398" s="65"/>
      <c r="L2398" s="257">
        <v>36000</v>
      </c>
      <c r="M2398" s="223"/>
      <c r="N2398" s="223"/>
      <c r="O2398" s="61"/>
      <c r="P2398" s="69" t="str">
        <f t="shared" si="157"/>
        <v>Biaya Rumah Tangga Kantor</v>
      </c>
      <c r="Q2398" s="61"/>
    </row>
    <row r="2399" spans="1:17" hidden="1" x14ac:dyDescent="0.25">
      <c r="A2399" s="60" t="str">
        <f t="shared" si="155"/>
        <v>44511,03</v>
      </c>
      <c r="B2399" s="60">
        <f>COUNTIF($J$7:J2399,J2399)</f>
        <v>44</v>
      </c>
      <c r="C2399" s="60" t="str">
        <f t="shared" si="156"/>
        <v>0</v>
      </c>
      <c r="D2399" s="60">
        <f>COUNTIF($K$7:K2399,K2399)</f>
        <v>0</v>
      </c>
      <c r="E2399" s="61"/>
      <c r="F2399" s="239">
        <v>44597</v>
      </c>
      <c r="G2399" s="232"/>
      <c r="H2399" s="61" t="s">
        <v>1283</v>
      </c>
      <c r="I2399" s="243" t="s">
        <v>1333</v>
      </c>
      <c r="J2399" s="64">
        <v>511.03</v>
      </c>
      <c r="K2399" s="65"/>
      <c r="L2399" s="257">
        <v>202000</v>
      </c>
      <c r="M2399" s="223"/>
      <c r="N2399" s="223"/>
      <c r="O2399" s="61"/>
      <c r="P2399" s="69" t="str">
        <f t="shared" si="157"/>
        <v>Biaya Pengiriman Barang Ekspedisi</v>
      </c>
      <c r="Q2399" s="61"/>
    </row>
    <row r="2400" spans="1:17" hidden="1" x14ac:dyDescent="0.25">
      <c r="A2400" s="60" t="str">
        <f t="shared" si="155"/>
        <v>69511,04</v>
      </c>
      <c r="B2400" s="60">
        <f>COUNTIF($J$7:J2400,J2400)</f>
        <v>69</v>
      </c>
      <c r="C2400" s="60" t="str">
        <f t="shared" si="156"/>
        <v>0</v>
      </c>
      <c r="D2400" s="60">
        <f>COUNTIF($K$7:K2400,K2400)</f>
        <v>0</v>
      </c>
      <c r="E2400" s="61"/>
      <c r="F2400" s="239">
        <v>44599</v>
      </c>
      <c r="G2400" s="232"/>
      <c r="H2400" s="61" t="s">
        <v>1283</v>
      </c>
      <c r="I2400" s="243" t="s">
        <v>1334</v>
      </c>
      <c r="J2400" s="64">
        <v>511.04</v>
      </c>
      <c r="K2400" s="65"/>
      <c r="L2400" s="257">
        <v>210000</v>
      </c>
      <c r="M2400" s="223"/>
      <c r="N2400" s="223"/>
      <c r="O2400" s="61"/>
      <c r="P2400" s="69" t="str">
        <f t="shared" si="157"/>
        <v>Biaya pengiriman Via Online (Gojek,Grab), Kuli</v>
      </c>
      <c r="Q2400" s="61"/>
    </row>
    <row r="2401" spans="1:17" hidden="1" x14ac:dyDescent="0.25">
      <c r="A2401" s="60" t="str">
        <f t="shared" si="155"/>
        <v>70511,04</v>
      </c>
      <c r="B2401" s="60">
        <f>COUNTIF($J$7:J2401,J2401)</f>
        <v>70</v>
      </c>
      <c r="C2401" s="60" t="str">
        <f t="shared" si="156"/>
        <v>0</v>
      </c>
      <c r="D2401" s="60">
        <f>COUNTIF($K$7:K2401,K2401)</f>
        <v>0</v>
      </c>
      <c r="E2401" s="61"/>
      <c r="F2401" s="239">
        <v>44599</v>
      </c>
      <c r="G2401" s="232"/>
      <c r="H2401" s="61" t="s">
        <v>1283</v>
      </c>
      <c r="I2401" s="243" t="s">
        <v>1335</v>
      </c>
      <c r="J2401" s="64">
        <v>511.04</v>
      </c>
      <c r="K2401" s="65"/>
      <c r="L2401" s="257">
        <v>312000</v>
      </c>
      <c r="M2401" s="223"/>
      <c r="N2401" s="223"/>
      <c r="O2401" s="61"/>
      <c r="P2401" s="69" t="str">
        <f t="shared" si="157"/>
        <v>Biaya pengiriman Via Online (Gojek,Grab), Kuli</v>
      </c>
      <c r="Q2401" s="61"/>
    </row>
    <row r="2402" spans="1:17" hidden="1" x14ac:dyDescent="0.25">
      <c r="A2402" s="60" t="str">
        <f t="shared" si="155"/>
        <v>108511,05</v>
      </c>
      <c r="B2402" s="60">
        <f>COUNTIF($J$7:J2402,J2402)</f>
        <v>108</v>
      </c>
      <c r="C2402" s="60" t="str">
        <f t="shared" si="156"/>
        <v>0</v>
      </c>
      <c r="D2402" s="60">
        <f>COUNTIF($K$7:K2402,K2402)</f>
        <v>0</v>
      </c>
      <c r="E2402" s="61"/>
      <c r="F2402" s="239">
        <v>44599</v>
      </c>
      <c r="G2402" s="232"/>
      <c r="H2402" s="61" t="s">
        <v>1283</v>
      </c>
      <c r="I2402" s="243" t="s">
        <v>1336</v>
      </c>
      <c r="J2402" s="64">
        <v>511.05</v>
      </c>
      <c r="K2402" s="65"/>
      <c r="L2402" s="257">
        <v>8000</v>
      </c>
      <c r="M2402" s="223"/>
      <c r="N2402" s="223"/>
      <c r="O2402" s="61"/>
      <c r="P2402" s="69" t="str">
        <f t="shared" si="157"/>
        <v>Biaya Transport Pengiriman Bensin, Parkir, Tol</v>
      </c>
      <c r="Q2402" s="61"/>
    </row>
    <row r="2403" spans="1:17" hidden="1" x14ac:dyDescent="0.25">
      <c r="A2403" s="60" t="str">
        <f t="shared" si="155"/>
        <v>109511,05</v>
      </c>
      <c r="B2403" s="60">
        <f>COUNTIF($J$7:J2403,J2403)</f>
        <v>109</v>
      </c>
      <c r="C2403" s="60" t="str">
        <f t="shared" si="156"/>
        <v>0</v>
      </c>
      <c r="D2403" s="60">
        <f>COUNTIF($K$7:K2403,K2403)</f>
        <v>0</v>
      </c>
      <c r="E2403" s="61"/>
      <c r="F2403" s="239">
        <v>44599</v>
      </c>
      <c r="G2403" s="232"/>
      <c r="H2403" s="61" t="s">
        <v>1283</v>
      </c>
      <c r="I2403" s="243" t="s">
        <v>1337</v>
      </c>
      <c r="J2403" s="64">
        <v>511.05</v>
      </c>
      <c r="K2403" s="65"/>
      <c r="L2403" s="257">
        <v>8000</v>
      </c>
      <c r="M2403" s="223"/>
      <c r="N2403" s="223"/>
      <c r="O2403" s="61"/>
      <c r="P2403" s="69" t="str">
        <f t="shared" si="157"/>
        <v>Biaya Transport Pengiriman Bensin, Parkir, Tol</v>
      </c>
      <c r="Q2403" s="61"/>
    </row>
    <row r="2404" spans="1:17" hidden="1" x14ac:dyDescent="0.25">
      <c r="A2404" s="60" t="str">
        <f t="shared" si="155"/>
        <v>110511,05</v>
      </c>
      <c r="B2404" s="60">
        <f>COUNTIF($J$7:J2404,J2404)</f>
        <v>110</v>
      </c>
      <c r="C2404" s="60" t="str">
        <f t="shared" si="156"/>
        <v>0</v>
      </c>
      <c r="D2404" s="60">
        <f>COUNTIF($K$7:K2404,K2404)</f>
        <v>0</v>
      </c>
      <c r="E2404" s="61"/>
      <c r="F2404" s="239">
        <v>44599</v>
      </c>
      <c r="G2404" s="232"/>
      <c r="H2404" s="61" t="s">
        <v>1283</v>
      </c>
      <c r="I2404" s="243" t="s">
        <v>1338</v>
      </c>
      <c r="J2404" s="64">
        <v>511.05</v>
      </c>
      <c r="K2404" s="65"/>
      <c r="L2404" s="257">
        <v>31000</v>
      </c>
      <c r="M2404" s="223"/>
      <c r="N2404" s="223"/>
      <c r="O2404" s="61"/>
      <c r="P2404" s="69" t="str">
        <f t="shared" si="157"/>
        <v>Biaya Transport Pengiriman Bensin, Parkir, Tol</v>
      </c>
      <c r="Q2404" s="61"/>
    </row>
    <row r="2405" spans="1:17" hidden="1" x14ac:dyDescent="0.25">
      <c r="A2405" s="60" t="str">
        <f t="shared" si="155"/>
        <v>111511,05</v>
      </c>
      <c r="B2405" s="60">
        <f>COUNTIF($J$7:J2405,J2405)</f>
        <v>111</v>
      </c>
      <c r="C2405" s="60" t="str">
        <f t="shared" si="156"/>
        <v>0</v>
      </c>
      <c r="D2405" s="60">
        <f>COUNTIF($K$7:K2405,K2405)</f>
        <v>0</v>
      </c>
      <c r="E2405" s="61"/>
      <c r="F2405" s="239">
        <v>44599</v>
      </c>
      <c r="G2405" s="232"/>
      <c r="H2405" s="61" t="s">
        <v>1283</v>
      </c>
      <c r="I2405" s="243" t="s">
        <v>1339</v>
      </c>
      <c r="J2405" s="64">
        <v>511.05</v>
      </c>
      <c r="K2405" s="65"/>
      <c r="L2405" s="257">
        <v>4000</v>
      </c>
      <c r="M2405" s="223"/>
      <c r="N2405" s="223"/>
      <c r="O2405" s="61"/>
      <c r="P2405" s="69" t="str">
        <f t="shared" si="157"/>
        <v>Biaya Transport Pengiriman Bensin, Parkir, Tol</v>
      </c>
      <c r="Q2405" s="61"/>
    </row>
    <row r="2406" spans="1:17" hidden="1" x14ac:dyDescent="0.25">
      <c r="A2406" s="60" t="str">
        <f t="shared" si="155"/>
        <v>71511,04</v>
      </c>
      <c r="B2406" s="60">
        <f>COUNTIF($J$7:J2406,J2406)</f>
        <v>71</v>
      </c>
      <c r="C2406" s="60" t="str">
        <f t="shared" si="156"/>
        <v>0</v>
      </c>
      <c r="D2406" s="60">
        <f>COUNTIF($K$7:K2406,K2406)</f>
        <v>0</v>
      </c>
      <c r="E2406" s="61"/>
      <c r="F2406" s="239">
        <v>44600</v>
      </c>
      <c r="G2406" s="232"/>
      <c r="H2406" s="61" t="s">
        <v>1283</v>
      </c>
      <c r="I2406" s="243" t="s">
        <v>1340</v>
      </c>
      <c r="J2406" s="64">
        <v>511.04</v>
      </c>
      <c r="K2406" s="65"/>
      <c r="L2406" s="257">
        <v>245000</v>
      </c>
      <c r="M2406" s="223"/>
      <c r="N2406" s="223"/>
      <c r="O2406" s="61"/>
      <c r="P2406" s="69" t="str">
        <f t="shared" si="157"/>
        <v>Biaya pengiriman Via Online (Gojek,Grab), Kuli</v>
      </c>
      <c r="Q2406" s="61"/>
    </row>
    <row r="2407" spans="1:17" hidden="1" x14ac:dyDescent="0.25">
      <c r="A2407" s="60" t="str">
        <f t="shared" si="155"/>
        <v>112511,05</v>
      </c>
      <c r="B2407" s="60">
        <f>COUNTIF($J$7:J2407,J2407)</f>
        <v>112</v>
      </c>
      <c r="C2407" s="60" t="str">
        <f t="shared" si="156"/>
        <v>0</v>
      </c>
      <c r="D2407" s="60">
        <f>COUNTIF($K$7:K2407,K2407)</f>
        <v>0</v>
      </c>
      <c r="E2407" s="61"/>
      <c r="F2407" s="239">
        <v>44600</v>
      </c>
      <c r="G2407" s="232"/>
      <c r="H2407" s="61" t="s">
        <v>1283</v>
      </c>
      <c r="I2407" s="243" t="s">
        <v>1341</v>
      </c>
      <c r="J2407" s="64">
        <v>511.05</v>
      </c>
      <c r="K2407" s="65"/>
      <c r="L2407" s="257">
        <v>10000</v>
      </c>
      <c r="M2407" s="223"/>
      <c r="N2407" s="223"/>
      <c r="O2407" s="61"/>
      <c r="P2407" s="69" t="str">
        <f t="shared" si="157"/>
        <v>Biaya Transport Pengiriman Bensin, Parkir, Tol</v>
      </c>
      <c r="Q2407" s="61"/>
    </row>
    <row r="2408" spans="1:17" hidden="1" x14ac:dyDescent="0.25">
      <c r="A2408" s="60" t="str">
        <f t="shared" si="155"/>
        <v>113511,05</v>
      </c>
      <c r="B2408" s="60">
        <f>COUNTIF($J$7:J2408,J2408)</f>
        <v>113</v>
      </c>
      <c r="C2408" s="60" t="str">
        <f t="shared" si="156"/>
        <v>0</v>
      </c>
      <c r="D2408" s="60">
        <f>COUNTIF($K$7:K2408,K2408)</f>
        <v>0</v>
      </c>
      <c r="E2408" s="61"/>
      <c r="F2408" s="239">
        <v>44600</v>
      </c>
      <c r="G2408" s="232"/>
      <c r="H2408" s="61" t="s">
        <v>1283</v>
      </c>
      <c r="I2408" s="243" t="s">
        <v>1342</v>
      </c>
      <c r="J2408" s="64">
        <v>511.05</v>
      </c>
      <c r="K2408" s="65"/>
      <c r="L2408" s="257">
        <v>8000</v>
      </c>
      <c r="M2408" s="223"/>
      <c r="N2408" s="223"/>
      <c r="O2408" s="61"/>
      <c r="P2408" s="69" t="str">
        <f t="shared" si="157"/>
        <v>Biaya Transport Pengiriman Bensin, Parkir, Tol</v>
      </c>
      <c r="Q2408" s="61"/>
    </row>
    <row r="2409" spans="1:17" hidden="1" x14ac:dyDescent="0.25">
      <c r="A2409" s="60" t="str">
        <f t="shared" si="155"/>
        <v>14512,03</v>
      </c>
      <c r="B2409" s="60">
        <f>COUNTIF($J$7:J2409,J2409)</f>
        <v>14</v>
      </c>
      <c r="C2409" s="60" t="str">
        <f t="shared" si="156"/>
        <v>0</v>
      </c>
      <c r="D2409" s="60">
        <f>COUNTIF($K$7:K2409,K2409)</f>
        <v>0</v>
      </c>
      <c r="E2409" s="61"/>
      <c r="F2409" s="239">
        <v>44600</v>
      </c>
      <c r="G2409" s="232"/>
      <c r="H2409" s="61" t="s">
        <v>1283</v>
      </c>
      <c r="I2409" s="243" t="s">
        <v>1343</v>
      </c>
      <c r="J2409" s="238">
        <v>512.03</v>
      </c>
      <c r="K2409" s="65"/>
      <c r="L2409" s="257">
        <v>20000</v>
      </c>
      <c r="M2409" s="223"/>
      <c r="N2409" s="223"/>
      <c r="O2409" s="61"/>
      <c r="P2409" s="69" t="str">
        <f t="shared" si="157"/>
        <v>Beban Gasoline Marketing (Bensin, Parkir, Tol)</v>
      </c>
      <c r="Q2409" s="61"/>
    </row>
    <row r="2410" spans="1:17" hidden="1" x14ac:dyDescent="0.25">
      <c r="A2410" s="60" t="str">
        <f t="shared" si="155"/>
        <v>114511,05</v>
      </c>
      <c r="B2410" s="60">
        <f>COUNTIF($J$7:J2410,J2410)</f>
        <v>114</v>
      </c>
      <c r="C2410" s="60" t="str">
        <f t="shared" si="156"/>
        <v>0</v>
      </c>
      <c r="D2410" s="60">
        <f>COUNTIF($K$7:K2410,K2410)</f>
        <v>0</v>
      </c>
      <c r="E2410" s="61"/>
      <c r="F2410" s="239">
        <v>44600</v>
      </c>
      <c r="G2410" s="232"/>
      <c r="H2410" s="61" t="s">
        <v>1283</v>
      </c>
      <c r="I2410" s="243" t="s">
        <v>1344</v>
      </c>
      <c r="J2410" s="64">
        <v>511.05</v>
      </c>
      <c r="K2410" s="65"/>
      <c r="L2410" s="257">
        <v>5000</v>
      </c>
      <c r="M2410" s="223"/>
      <c r="N2410" s="223"/>
      <c r="O2410" s="61"/>
      <c r="P2410" s="69" t="str">
        <f t="shared" si="157"/>
        <v>Biaya Transport Pengiriman Bensin, Parkir, Tol</v>
      </c>
      <c r="Q2410" s="61"/>
    </row>
    <row r="2411" spans="1:17" hidden="1" x14ac:dyDescent="0.25">
      <c r="A2411" s="60" t="str">
        <f t="shared" si="155"/>
        <v>72511,04</v>
      </c>
      <c r="B2411" s="60">
        <f>COUNTIF($J$7:J2411,J2411)</f>
        <v>72</v>
      </c>
      <c r="C2411" s="60" t="str">
        <f t="shared" si="156"/>
        <v>0</v>
      </c>
      <c r="D2411" s="60">
        <f>COUNTIF($K$7:K2411,K2411)</f>
        <v>0</v>
      </c>
      <c r="E2411" s="61"/>
      <c r="F2411" s="239">
        <v>44600</v>
      </c>
      <c r="G2411" s="232"/>
      <c r="H2411" s="61" t="s">
        <v>1283</v>
      </c>
      <c r="I2411" s="243" t="s">
        <v>1345</v>
      </c>
      <c r="J2411" s="221">
        <v>511.04</v>
      </c>
      <c r="K2411" s="65"/>
      <c r="L2411" s="257">
        <v>10000</v>
      </c>
      <c r="M2411" s="223"/>
      <c r="N2411" s="223"/>
      <c r="O2411" s="61"/>
      <c r="P2411" s="69" t="str">
        <f t="shared" si="157"/>
        <v>Biaya pengiriman Via Online (Gojek,Grab), Kuli</v>
      </c>
      <c r="Q2411" s="61"/>
    </row>
    <row r="2412" spans="1:17" hidden="1" x14ac:dyDescent="0.25">
      <c r="A2412" s="60" t="str">
        <f t="shared" si="155"/>
        <v>66220,03</v>
      </c>
      <c r="B2412" s="60">
        <f>COUNTIF($J$7:J2412,J2412)</f>
        <v>66</v>
      </c>
      <c r="C2412" s="60" t="str">
        <f t="shared" si="156"/>
        <v>0</v>
      </c>
      <c r="D2412" s="60">
        <f>COUNTIF($K$7:K2412,K2412)</f>
        <v>0</v>
      </c>
      <c r="E2412" s="61"/>
      <c r="F2412" s="239">
        <v>44600</v>
      </c>
      <c r="G2412" s="232"/>
      <c r="H2412" s="61" t="s">
        <v>1283</v>
      </c>
      <c r="I2412" s="243" t="s">
        <v>1346</v>
      </c>
      <c r="J2412" s="235">
        <v>220.03</v>
      </c>
      <c r="K2412" s="65"/>
      <c r="L2412" s="257"/>
      <c r="M2412" s="223">
        <v>1067000</v>
      </c>
      <c r="N2412" s="223"/>
      <c r="O2412" s="61"/>
      <c r="P2412" s="69" t="str">
        <f t="shared" si="157"/>
        <v>Hutang BIaya</v>
      </c>
      <c r="Q2412" s="61"/>
    </row>
    <row r="2413" spans="1:17" hidden="1" x14ac:dyDescent="0.25">
      <c r="A2413" s="60" t="str">
        <f t="shared" si="155"/>
        <v>52119</v>
      </c>
      <c r="B2413" s="60">
        <f>COUNTIF($J$7:J2413,J2413)</f>
        <v>52</v>
      </c>
      <c r="C2413" s="60" t="str">
        <f t="shared" si="156"/>
        <v>21119,02</v>
      </c>
      <c r="D2413" s="60">
        <f>COUNTIF($K$7:K2413,K2413)</f>
        <v>21</v>
      </c>
      <c r="E2413" s="61"/>
      <c r="F2413" s="239">
        <v>44601</v>
      </c>
      <c r="G2413" s="232"/>
      <c r="H2413" s="61" t="s">
        <v>1283</v>
      </c>
      <c r="I2413" s="243" t="s">
        <v>1306</v>
      </c>
      <c r="J2413" s="76">
        <v>119</v>
      </c>
      <c r="K2413" s="75">
        <v>119.02</v>
      </c>
      <c r="L2413" s="224"/>
      <c r="M2413" s="223">
        <v>2000000</v>
      </c>
      <c r="N2413" s="223"/>
      <c r="O2413" s="260">
        <f>M2413-SUM(L2414:L2432)</f>
        <v>-111000</v>
      </c>
      <c r="P2413" s="69" t="str">
        <f t="shared" si="157"/>
        <v>Uang Muka Biaya Pengiriman dan Perjalanan Dinas Marketing</v>
      </c>
      <c r="Q2413" s="61"/>
    </row>
    <row r="2414" spans="1:17" ht="30" hidden="1" x14ac:dyDescent="0.25">
      <c r="A2414" s="60" t="str">
        <f t="shared" si="155"/>
        <v>73511,04</v>
      </c>
      <c r="B2414" s="60">
        <f>COUNTIF($J$7:J2414,J2414)</f>
        <v>73</v>
      </c>
      <c r="C2414" s="60" t="str">
        <f t="shared" si="156"/>
        <v>0</v>
      </c>
      <c r="D2414" s="60">
        <f>COUNTIF($K$7:K2414,K2414)</f>
        <v>0</v>
      </c>
      <c r="E2414" s="61"/>
      <c r="F2414" s="261">
        <v>44601</v>
      </c>
      <c r="G2414" s="232"/>
      <c r="H2414" s="61" t="s">
        <v>1283</v>
      </c>
      <c r="I2414" s="262" t="s">
        <v>1347</v>
      </c>
      <c r="J2414" s="64">
        <v>511.04</v>
      </c>
      <c r="K2414" s="65"/>
      <c r="L2414" s="263">
        <v>210000</v>
      </c>
      <c r="M2414" s="223"/>
      <c r="N2414" s="223"/>
      <c r="O2414" s="61"/>
      <c r="P2414" s="69" t="str">
        <f t="shared" si="157"/>
        <v>Biaya pengiriman Via Online (Gojek,Grab), Kuli</v>
      </c>
      <c r="Q2414" s="61"/>
    </row>
    <row r="2415" spans="1:17" ht="30" hidden="1" x14ac:dyDescent="0.25">
      <c r="A2415" s="60" t="str">
        <f t="shared" si="155"/>
        <v>115511,05</v>
      </c>
      <c r="B2415" s="60">
        <f>COUNTIF($J$7:J2415,J2415)</f>
        <v>115</v>
      </c>
      <c r="C2415" s="60" t="str">
        <f t="shared" si="156"/>
        <v>0</v>
      </c>
      <c r="D2415" s="60">
        <f>COUNTIF($K$7:K2415,K2415)</f>
        <v>0</v>
      </c>
      <c r="E2415" s="61"/>
      <c r="F2415" s="261">
        <v>44601</v>
      </c>
      <c r="G2415" s="232"/>
      <c r="H2415" s="61" t="s">
        <v>1283</v>
      </c>
      <c r="I2415" s="262" t="s">
        <v>1348</v>
      </c>
      <c r="J2415" s="64">
        <v>511.05</v>
      </c>
      <c r="K2415" s="65"/>
      <c r="L2415" s="263">
        <v>8000</v>
      </c>
      <c r="M2415" s="223"/>
      <c r="N2415" s="223"/>
      <c r="O2415" s="61"/>
      <c r="P2415" s="69" t="str">
        <f t="shared" si="157"/>
        <v>Biaya Transport Pengiriman Bensin, Parkir, Tol</v>
      </c>
      <c r="Q2415" s="61"/>
    </row>
    <row r="2416" spans="1:17" ht="30" hidden="1" x14ac:dyDescent="0.25">
      <c r="A2416" s="60" t="str">
        <f t="shared" si="155"/>
        <v>116511,05</v>
      </c>
      <c r="B2416" s="60">
        <f>COUNTIF($J$7:J2416,J2416)</f>
        <v>116</v>
      </c>
      <c r="C2416" s="60" t="str">
        <f t="shared" si="156"/>
        <v>0</v>
      </c>
      <c r="D2416" s="60">
        <f>COUNTIF($K$7:K2416,K2416)</f>
        <v>0</v>
      </c>
      <c r="E2416" s="61"/>
      <c r="F2416" s="261">
        <v>44601</v>
      </c>
      <c r="G2416" s="232"/>
      <c r="H2416" s="61" t="s">
        <v>1283</v>
      </c>
      <c r="I2416" s="262" t="s">
        <v>1349</v>
      </c>
      <c r="J2416" s="64">
        <v>511.05</v>
      </c>
      <c r="K2416" s="65"/>
      <c r="L2416" s="263">
        <v>8000</v>
      </c>
      <c r="M2416" s="223"/>
      <c r="N2416" s="223"/>
      <c r="O2416" s="61"/>
      <c r="P2416" s="69" t="str">
        <f t="shared" si="157"/>
        <v>Biaya Transport Pengiriman Bensin, Parkir, Tol</v>
      </c>
      <c r="Q2416" s="61"/>
    </row>
    <row r="2417" spans="1:17" ht="30" hidden="1" x14ac:dyDescent="0.25">
      <c r="A2417" s="60" t="str">
        <f t="shared" si="155"/>
        <v>117511,05</v>
      </c>
      <c r="B2417" s="60">
        <f>COUNTIF($J$7:J2417,J2417)</f>
        <v>117</v>
      </c>
      <c r="C2417" s="60" t="str">
        <f t="shared" si="156"/>
        <v>0</v>
      </c>
      <c r="D2417" s="60">
        <f>COUNTIF($K$7:K2417,K2417)</f>
        <v>0</v>
      </c>
      <c r="E2417" s="61"/>
      <c r="F2417" s="261">
        <v>44601</v>
      </c>
      <c r="G2417" s="232"/>
      <c r="H2417" s="61" t="s">
        <v>1283</v>
      </c>
      <c r="I2417" s="262" t="s">
        <v>1350</v>
      </c>
      <c r="J2417" s="64">
        <v>511.05</v>
      </c>
      <c r="K2417" s="65"/>
      <c r="L2417" s="263">
        <v>4000</v>
      </c>
      <c r="M2417" s="223"/>
      <c r="N2417" s="223"/>
      <c r="O2417" s="61"/>
      <c r="P2417" s="69" t="str">
        <f t="shared" si="157"/>
        <v>Biaya Transport Pengiriman Bensin, Parkir, Tol</v>
      </c>
      <c r="Q2417" s="61"/>
    </row>
    <row r="2418" spans="1:17" hidden="1" x14ac:dyDescent="0.25">
      <c r="A2418" s="60" t="str">
        <f t="shared" si="155"/>
        <v>45511,03</v>
      </c>
      <c r="B2418" s="60">
        <f>COUNTIF($J$7:J2418,J2418)</f>
        <v>45</v>
      </c>
      <c r="C2418" s="60" t="str">
        <f t="shared" si="156"/>
        <v>0</v>
      </c>
      <c r="D2418" s="60">
        <f>COUNTIF($K$7:K2418,K2418)</f>
        <v>0</v>
      </c>
      <c r="E2418" s="61"/>
      <c r="F2418" s="239">
        <v>44601</v>
      </c>
      <c r="G2418" s="232"/>
      <c r="H2418" s="61" t="s">
        <v>1283</v>
      </c>
      <c r="I2418" s="243" t="s">
        <v>1351</v>
      </c>
      <c r="J2418" s="64">
        <v>511.03</v>
      </c>
      <c r="K2418" s="65"/>
      <c r="L2418" s="257">
        <v>332000</v>
      </c>
      <c r="M2418" s="223"/>
      <c r="N2418" s="223"/>
      <c r="O2418" s="61"/>
      <c r="P2418" s="69" t="str">
        <f t="shared" si="157"/>
        <v>Biaya Pengiriman Barang Ekspedisi</v>
      </c>
      <c r="Q2418" s="61"/>
    </row>
    <row r="2419" spans="1:17" hidden="1" x14ac:dyDescent="0.25">
      <c r="A2419" s="60" t="str">
        <f t="shared" si="155"/>
        <v>74511,04</v>
      </c>
      <c r="B2419" s="60">
        <f>COUNTIF($J$7:J2419,J2419)</f>
        <v>74</v>
      </c>
      <c r="C2419" s="60" t="str">
        <f t="shared" si="156"/>
        <v>0</v>
      </c>
      <c r="D2419" s="60">
        <f>COUNTIF($K$7:K2419,K2419)</f>
        <v>0</v>
      </c>
      <c r="E2419" s="61"/>
      <c r="F2419" s="239">
        <v>44602</v>
      </c>
      <c r="G2419" s="232"/>
      <c r="H2419" s="61" t="s">
        <v>1283</v>
      </c>
      <c r="I2419" s="243" t="s">
        <v>1352</v>
      </c>
      <c r="J2419" s="64">
        <v>511.04</v>
      </c>
      <c r="K2419" s="65"/>
      <c r="L2419" s="257">
        <v>210000</v>
      </c>
      <c r="M2419" s="223"/>
      <c r="N2419" s="223"/>
      <c r="O2419" s="61"/>
      <c r="P2419" s="69" t="str">
        <f t="shared" si="157"/>
        <v>Biaya pengiriman Via Online (Gojek,Grab), Kuli</v>
      </c>
      <c r="Q2419" s="61"/>
    </row>
    <row r="2420" spans="1:17" ht="30" hidden="1" x14ac:dyDescent="0.25">
      <c r="A2420" s="60" t="str">
        <f t="shared" si="155"/>
        <v>118511,05</v>
      </c>
      <c r="B2420" s="60">
        <f>COUNTIF($J$7:J2420,J2420)</f>
        <v>118</v>
      </c>
      <c r="C2420" s="60" t="str">
        <f t="shared" si="156"/>
        <v>0</v>
      </c>
      <c r="D2420" s="60">
        <f>COUNTIF($K$7:K2420,K2420)</f>
        <v>0</v>
      </c>
      <c r="E2420" s="61"/>
      <c r="F2420" s="261">
        <v>44602</v>
      </c>
      <c r="G2420" s="232"/>
      <c r="H2420" s="61" t="s">
        <v>1283</v>
      </c>
      <c r="I2420" s="262" t="s">
        <v>1353</v>
      </c>
      <c r="J2420" s="64">
        <v>511.05</v>
      </c>
      <c r="K2420" s="65"/>
      <c r="L2420" s="263">
        <v>8000</v>
      </c>
      <c r="M2420" s="223"/>
      <c r="N2420" s="223"/>
      <c r="O2420" s="61"/>
      <c r="P2420" s="69" t="str">
        <f t="shared" si="157"/>
        <v>Biaya Transport Pengiriman Bensin, Parkir, Tol</v>
      </c>
      <c r="Q2420" s="61"/>
    </row>
    <row r="2421" spans="1:17" ht="30" hidden="1" x14ac:dyDescent="0.25">
      <c r="A2421" s="60" t="str">
        <f t="shared" si="155"/>
        <v>119511,05</v>
      </c>
      <c r="B2421" s="60">
        <f>COUNTIF($J$7:J2421,J2421)</f>
        <v>119</v>
      </c>
      <c r="C2421" s="60" t="str">
        <f t="shared" si="156"/>
        <v>0</v>
      </c>
      <c r="D2421" s="60">
        <f>COUNTIF($K$7:K2421,K2421)</f>
        <v>0</v>
      </c>
      <c r="E2421" s="61"/>
      <c r="F2421" s="261">
        <v>44602</v>
      </c>
      <c r="G2421" s="232"/>
      <c r="H2421" s="61" t="s">
        <v>1283</v>
      </c>
      <c r="I2421" s="262" t="s">
        <v>1354</v>
      </c>
      <c r="J2421" s="64">
        <v>511.05</v>
      </c>
      <c r="K2421" s="65"/>
      <c r="L2421" s="263">
        <v>8000</v>
      </c>
      <c r="M2421" s="223"/>
      <c r="N2421" s="223"/>
      <c r="O2421" s="61"/>
      <c r="P2421" s="69" t="str">
        <f t="shared" si="157"/>
        <v>Biaya Transport Pengiriman Bensin, Parkir, Tol</v>
      </c>
      <c r="Q2421" s="61"/>
    </row>
    <row r="2422" spans="1:17" ht="30" hidden="1" x14ac:dyDescent="0.25">
      <c r="A2422" s="60" t="str">
        <f t="shared" si="155"/>
        <v>120511,05</v>
      </c>
      <c r="B2422" s="60">
        <f>COUNTIF($J$7:J2422,J2422)</f>
        <v>120</v>
      </c>
      <c r="C2422" s="60" t="str">
        <f t="shared" si="156"/>
        <v>0</v>
      </c>
      <c r="D2422" s="60">
        <f>COUNTIF($K$7:K2422,K2422)</f>
        <v>0</v>
      </c>
      <c r="E2422" s="61"/>
      <c r="F2422" s="261">
        <v>44602</v>
      </c>
      <c r="G2422" s="232"/>
      <c r="H2422" s="61" t="s">
        <v>1283</v>
      </c>
      <c r="I2422" s="262" t="s">
        <v>1355</v>
      </c>
      <c r="J2422" s="64">
        <v>511.05</v>
      </c>
      <c r="K2422" s="65"/>
      <c r="L2422" s="263">
        <v>4000</v>
      </c>
      <c r="M2422" s="223"/>
      <c r="N2422" s="223"/>
      <c r="O2422" s="61"/>
      <c r="P2422" s="69" t="str">
        <f t="shared" si="157"/>
        <v>Biaya Transport Pengiriman Bensin, Parkir, Tol</v>
      </c>
      <c r="Q2422" s="61"/>
    </row>
    <row r="2423" spans="1:17" ht="30" hidden="1" x14ac:dyDescent="0.25">
      <c r="A2423" s="60" t="str">
        <f t="shared" si="155"/>
        <v>46511,03</v>
      </c>
      <c r="B2423" s="60">
        <f>COUNTIF($J$7:J2423,J2423)</f>
        <v>46</v>
      </c>
      <c r="C2423" s="60" t="str">
        <f t="shared" si="156"/>
        <v>0</v>
      </c>
      <c r="D2423" s="60">
        <f>COUNTIF($K$7:K2423,K2423)</f>
        <v>0</v>
      </c>
      <c r="E2423" s="61"/>
      <c r="F2423" s="261">
        <v>44602</v>
      </c>
      <c r="G2423" s="232"/>
      <c r="H2423" s="61" t="s">
        <v>1283</v>
      </c>
      <c r="I2423" s="262" t="s">
        <v>1356</v>
      </c>
      <c r="J2423" s="64">
        <v>511.03</v>
      </c>
      <c r="K2423" s="65"/>
      <c r="L2423" s="263">
        <v>313000</v>
      </c>
      <c r="M2423" s="223"/>
      <c r="N2423" s="223"/>
      <c r="O2423" s="61"/>
      <c r="P2423" s="69" t="str">
        <f t="shared" si="157"/>
        <v>Biaya Pengiriman Barang Ekspedisi</v>
      </c>
      <c r="Q2423" s="61"/>
    </row>
    <row r="2424" spans="1:17" hidden="1" x14ac:dyDescent="0.25">
      <c r="A2424" s="60" t="str">
        <f t="shared" si="155"/>
        <v>47511,03</v>
      </c>
      <c r="B2424" s="60">
        <f>COUNTIF($J$7:J2424,J2424)</f>
        <v>47</v>
      </c>
      <c r="C2424" s="60" t="str">
        <f t="shared" si="156"/>
        <v>0</v>
      </c>
      <c r="D2424" s="60">
        <f>COUNTIF($K$7:K2424,K2424)</f>
        <v>0</v>
      </c>
      <c r="E2424" s="61"/>
      <c r="F2424" s="239">
        <v>44602</v>
      </c>
      <c r="G2424" s="232"/>
      <c r="H2424" s="61" t="s">
        <v>1283</v>
      </c>
      <c r="I2424" s="262" t="s">
        <v>1357</v>
      </c>
      <c r="J2424" s="64">
        <v>511.03</v>
      </c>
      <c r="K2424" s="65"/>
      <c r="L2424" s="263">
        <v>200000</v>
      </c>
      <c r="M2424" s="223"/>
      <c r="N2424" s="223"/>
      <c r="O2424" s="61"/>
      <c r="P2424" s="69" t="str">
        <f t="shared" si="157"/>
        <v>Biaya Pengiriman Barang Ekspedisi</v>
      </c>
      <c r="Q2424" s="61"/>
    </row>
    <row r="2425" spans="1:17" hidden="1" x14ac:dyDescent="0.25">
      <c r="A2425" s="60" t="str">
        <f t="shared" si="155"/>
        <v>75511,04</v>
      </c>
      <c r="B2425" s="60">
        <f>COUNTIF($J$7:J2425,J2425)</f>
        <v>75</v>
      </c>
      <c r="C2425" s="60" t="str">
        <f t="shared" si="156"/>
        <v>0</v>
      </c>
      <c r="D2425" s="60">
        <f>COUNTIF($K$7:K2425,K2425)</f>
        <v>0</v>
      </c>
      <c r="E2425" s="61"/>
      <c r="F2425" s="239">
        <v>44606</v>
      </c>
      <c r="G2425" s="232"/>
      <c r="H2425" s="61" t="s">
        <v>1283</v>
      </c>
      <c r="I2425" s="243" t="s">
        <v>1358</v>
      </c>
      <c r="J2425" s="64">
        <v>511.04</v>
      </c>
      <c r="K2425" s="65"/>
      <c r="L2425" s="257">
        <v>238000</v>
      </c>
      <c r="M2425" s="223"/>
      <c r="N2425" s="223"/>
      <c r="O2425" s="61"/>
      <c r="P2425" s="69" t="str">
        <f t="shared" si="157"/>
        <v>Biaya pengiriman Via Online (Gojek,Grab), Kuli</v>
      </c>
      <c r="Q2425" s="61"/>
    </row>
    <row r="2426" spans="1:17" hidden="1" x14ac:dyDescent="0.25">
      <c r="A2426" s="60" t="str">
        <f t="shared" si="155"/>
        <v>76511,04</v>
      </c>
      <c r="B2426" s="60">
        <f>COUNTIF($J$7:J2426,J2426)</f>
        <v>76</v>
      </c>
      <c r="C2426" s="60" t="str">
        <f t="shared" si="156"/>
        <v>0</v>
      </c>
      <c r="D2426" s="60">
        <f>COUNTIF($K$7:K2426,K2426)</f>
        <v>0</v>
      </c>
      <c r="E2426" s="61"/>
      <c r="F2426" s="239">
        <v>44606</v>
      </c>
      <c r="G2426" s="232"/>
      <c r="H2426" s="61" t="s">
        <v>1283</v>
      </c>
      <c r="I2426" s="243" t="s">
        <v>1359</v>
      </c>
      <c r="J2426" s="64">
        <v>511.04</v>
      </c>
      <c r="K2426" s="65"/>
      <c r="L2426" s="257">
        <v>210000</v>
      </c>
      <c r="M2426" s="223"/>
      <c r="N2426" s="223"/>
      <c r="O2426" s="61"/>
      <c r="P2426" s="69" t="str">
        <f t="shared" si="157"/>
        <v>Biaya pengiriman Via Online (Gojek,Grab), Kuli</v>
      </c>
      <c r="Q2426" s="61"/>
    </row>
    <row r="2427" spans="1:17" hidden="1" x14ac:dyDescent="0.25">
      <c r="A2427" s="60" t="str">
        <f t="shared" si="155"/>
        <v>121511,05</v>
      </c>
      <c r="B2427" s="60">
        <f>COUNTIF($J$7:J2427,J2427)</f>
        <v>121</v>
      </c>
      <c r="C2427" s="60" t="str">
        <f t="shared" si="156"/>
        <v>0</v>
      </c>
      <c r="D2427" s="60">
        <f>COUNTIF($K$7:K2427,K2427)</f>
        <v>0</v>
      </c>
      <c r="E2427" s="61"/>
      <c r="F2427" s="239">
        <v>44606</v>
      </c>
      <c r="G2427" s="232"/>
      <c r="H2427" s="61" t="s">
        <v>1283</v>
      </c>
      <c r="I2427" s="243" t="s">
        <v>1360</v>
      </c>
      <c r="J2427" s="64">
        <v>511.05</v>
      </c>
      <c r="K2427" s="65"/>
      <c r="L2427" s="257">
        <v>8000</v>
      </c>
      <c r="M2427" s="223"/>
      <c r="N2427" s="223"/>
      <c r="O2427" s="61"/>
      <c r="P2427" s="69" t="str">
        <f t="shared" si="157"/>
        <v>Biaya Transport Pengiriman Bensin, Parkir, Tol</v>
      </c>
      <c r="Q2427" s="61"/>
    </row>
    <row r="2428" spans="1:17" hidden="1" x14ac:dyDescent="0.25">
      <c r="A2428" s="60" t="str">
        <f t="shared" si="155"/>
        <v>77511,04</v>
      </c>
      <c r="B2428" s="60">
        <f>COUNTIF($J$7:J2428,J2428)</f>
        <v>77</v>
      </c>
      <c r="C2428" s="60" t="str">
        <f t="shared" si="156"/>
        <v>0</v>
      </c>
      <c r="D2428" s="60">
        <f>COUNTIF($K$7:K2428,K2428)</f>
        <v>0</v>
      </c>
      <c r="E2428" s="61"/>
      <c r="F2428" s="239">
        <v>44606</v>
      </c>
      <c r="G2428" s="232"/>
      <c r="H2428" s="61" t="s">
        <v>1283</v>
      </c>
      <c r="I2428" s="243" t="s">
        <v>1361</v>
      </c>
      <c r="J2428" s="221">
        <v>511.04</v>
      </c>
      <c r="K2428" s="65"/>
      <c r="L2428" s="257">
        <v>10000</v>
      </c>
      <c r="M2428" s="223"/>
      <c r="N2428" s="223"/>
      <c r="O2428" s="61"/>
      <c r="P2428" s="69" t="str">
        <f t="shared" si="157"/>
        <v>Biaya pengiriman Via Online (Gojek,Grab), Kuli</v>
      </c>
      <c r="Q2428" s="61"/>
    </row>
    <row r="2429" spans="1:17" hidden="1" x14ac:dyDescent="0.25">
      <c r="A2429" s="60" t="str">
        <f t="shared" si="155"/>
        <v>122511,05</v>
      </c>
      <c r="B2429" s="60">
        <f>COUNTIF($J$7:J2429,J2429)</f>
        <v>122</v>
      </c>
      <c r="C2429" s="60" t="str">
        <f t="shared" si="156"/>
        <v>0</v>
      </c>
      <c r="D2429" s="60">
        <f>COUNTIF($K$7:K2429,K2429)</f>
        <v>0</v>
      </c>
      <c r="E2429" s="61"/>
      <c r="F2429" s="239">
        <v>44606</v>
      </c>
      <c r="G2429" s="232"/>
      <c r="H2429" s="61" t="s">
        <v>1283</v>
      </c>
      <c r="I2429" s="243" t="s">
        <v>1362</v>
      </c>
      <c r="J2429" s="64">
        <v>511.05</v>
      </c>
      <c r="K2429" s="65"/>
      <c r="L2429" s="257">
        <v>5000</v>
      </c>
      <c r="M2429" s="223"/>
      <c r="N2429" s="223"/>
      <c r="O2429" s="61"/>
      <c r="P2429" s="69" t="str">
        <f t="shared" si="157"/>
        <v>Biaya Transport Pengiriman Bensin, Parkir, Tol</v>
      </c>
      <c r="Q2429" s="61"/>
    </row>
    <row r="2430" spans="1:17" hidden="1" x14ac:dyDescent="0.25">
      <c r="A2430" s="60" t="str">
        <f t="shared" si="155"/>
        <v>123511,05</v>
      </c>
      <c r="B2430" s="60">
        <f>COUNTIF($J$7:J2430,J2430)</f>
        <v>123</v>
      </c>
      <c r="C2430" s="60" t="str">
        <f t="shared" si="156"/>
        <v>0</v>
      </c>
      <c r="D2430" s="60">
        <f>COUNTIF($K$7:K2430,K2430)</f>
        <v>0</v>
      </c>
      <c r="E2430" s="61"/>
      <c r="F2430" s="239">
        <v>44606</v>
      </c>
      <c r="G2430" s="232"/>
      <c r="H2430" s="61" t="s">
        <v>1283</v>
      </c>
      <c r="I2430" s="243" t="s">
        <v>1363</v>
      </c>
      <c r="J2430" s="64">
        <v>511.05</v>
      </c>
      <c r="K2430" s="65"/>
      <c r="L2430" s="257">
        <v>4000</v>
      </c>
      <c r="M2430" s="223"/>
      <c r="N2430" s="223"/>
      <c r="O2430" s="61"/>
      <c r="P2430" s="69" t="str">
        <f t="shared" si="157"/>
        <v>Biaya Transport Pengiriman Bensin, Parkir, Tol</v>
      </c>
      <c r="Q2430" s="61"/>
    </row>
    <row r="2431" spans="1:17" hidden="1" x14ac:dyDescent="0.25">
      <c r="A2431" s="60" t="str">
        <f t="shared" si="155"/>
        <v>48511,03</v>
      </c>
      <c r="B2431" s="60">
        <f>COUNTIF($J$7:J2431,J2431)</f>
        <v>48</v>
      </c>
      <c r="C2431" s="60" t="str">
        <f t="shared" si="156"/>
        <v>0</v>
      </c>
      <c r="D2431" s="60">
        <f>COUNTIF($K$7:K2431,K2431)</f>
        <v>0</v>
      </c>
      <c r="E2431" s="61"/>
      <c r="F2431" s="239">
        <v>44606</v>
      </c>
      <c r="G2431" s="232"/>
      <c r="H2431" s="61" t="s">
        <v>1283</v>
      </c>
      <c r="I2431" s="243" t="s">
        <v>1364</v>
      </c>
      <c r="J2431" s="64">
        <v>511.03</v>
      </c>
      <c r="K2431" s="65"/>
      <c r="L2431" s="257">
        <v>272000</v>
      </c>
      <c r="M2431" s="223"/>
      <c r="N2431" s="223"/>
      <c r="O2431" s="61"/>
      <c r="P2431" s="69" t="str">
        <f t="shared" si="157"/>
        <v>Biaya Pengiriman Barang Ekspedisi</v>
      </c>
      <c r="Q2431" s="61"/>
    </row>
    <row r="2432" spans="1:17" hidden="1" x14ac:dyDescent="0.25">
      <c r="A2432" s="60" t="str">
        <f t="shared" si="155"/>
        <v>49511,03</v>
      </c>
      <c r="B2432" s="60">
        <f>COUNTIF($J$7:J2432,J2432)</f>
        <v>49</v>
      </c>
      <c r="C2432" s="60" t="str">
        <f t="shared" si="156"/>
        <v>0</v>
      </c>
      <c r="D2432" s="60">
        <f>COUNTIF($K$7:K2432,K2432)</f>
        <v>0</v>
      </c>
      <c r="E2432" s="61"/>
      <c r="F2432" s="239">
        <v>44607</v>
      </c>
      <c r="G2432" s="232"/>
      <c r="H2432" s="61" t="s">
        <v>1283</v>
      </c>
      <c r="I2432" s="243" t="s">
        <v>1365</v>
      </c>
      <c r="J2432" s="64">
        <v>511.03</v>
      </c>
      <c r="K2432" s="65"/>
      <c r="L2432" s="257">
        <v>59000</v>
      </c>
      <c r="M2432" s="223"/>
      <c r="N2432" s="223"/>
      <c r="O2432" s="61"/>
      <c r="P2432" s="69" t="str">
        <f t="shared" si="157"/>
        <v>Biaya Pengiriman Barang Ekspedisi</v>
      </c>
      <c r="Q2432" s="61"/>
    </row>
    <row r="2433" spans="1:17" hidden="1" x14ac:dyDescent="0.25">
      <c r="A2433" s="60" t="str">
        <f t="shared" si="155"/>
        <v>53119</v>
      </c>
      <c r="B2433" s="60">
        <f>COUNTIF($J$7:J2433,J2433)</f>
        <v>53</v>
      </c>
      <c r="C2433" s="60" t="str">
        <f t="shared" si="156"/>
        <v>22119,02</v>
      </c>
      <c r="D2433" s="60">
        <f>COUNTIF($K$7:K2433,K2433)</f>
        <v>22</v>
      </c>
      <c r="E2433" s="61"/>
      <c r="F2433" s="239">
        <v>44607</v>
      </c>
      <c r="G2433" s="232"/>
      <c r="H2433" s="61" t="s">
        <v>1283</v>
      </c>
      <c r="I2433" s="243" t="s">
        <v>1306</v>
      </c>
      <c r="J2433" s="76">
        <v>119</v>
      </c>
      <c r="K2433" s="75">
        <v>119.02</v>
      </c>
      <c r="L2433" s="224"/>
      <c r="M2433" s="223">
        <v>2000000</v>
      </c>
      <c r="N2433" s="223"/>
      <c r="O2433" s="260">
        <f>M2433-SUM(L2434:L2457)</f>
        <v>-83000</v>
      </c>
      <c r="P2433" s="69" t="str">
        <f t="shared" si="157"/>
        <v>Uang Muka Biaya Pengiriman dan Perjalanan Dinas Marketing</v>
      </c>
      <c r="Q2433" s="61"/>
    </row>
    <row r="2434" spans="1:17" hidden="1" x14ac:dyDescent="0.25">
      <c r="A2434" s="60" t="str">
        <f t="shared" si="155"/>
        <v>50511,03</v>
      </c>
      <c r="B2434" s="60">
        <f>COUNTIF($J$7:J2434,J2434)</f>
        <v>50</v>
      </c>
      <c r="C2434" s="60" t="str">
        <f t="shared" si="156"/>
        <v>0</v>
      </c>
      <c r="D2434" s="60">
        <f>COUNTIF($K$7:K2434,K2434)</f>
        <v>0</v>
      </c>
      <c r="E2434" s="61"/>
      <c r="F2434" s="239">
        <v>44609</v>
      </c>
      <c r="G2434" s="232"/>
      <c r="H2434" s="61" t="s">
        <v>1283</v>
      </c>
      <c r="I2434" s="243" t="s">
        <v>1366</v>
      </c>
      <c r="J2434" s="64">
        <v>511.03</v>
      </c>
      <c r="K2434" s="65"/>
      <c r="L2434" s="257">
        <v>82000</v>
      </c>
      <c r="M2434" s="223"/>
      <c r="N2434" s="223"/>
      <c r="O2434" s="61"/>
      <c r="P2434" s="69" t="str">
        <f t="shared" si="157"/>
        <v>Biaya Pengiriman Barang Ekspedisi</v>
      </c>
      <c r="Q2434" s="61"/>
    </row>
    <row r="2435" spans="1:17" hidden="1" x14ac:dyDescent="0.25">
      <c r="A2435" s="60" t="str">
        <f t="shared" si="155"/>
        <v>15512,03</v>
      </c>
      <c r="B2435" s="60">
        <f>COUNTIF($J$7:J2435,J2435)</f>
        <v>15</v>
      </c>
      <c r="C2435" s="60" t="str">
        <f t="shared" si="156"/>
        <v>0</v>
      </c>
      <c r="D2435" s="60">
        <f>COUNTIF($K$7:K2435,K2435)</f>
        <v>0</v>
      </c>
      <c r="E2435" s="61"/>
      <c r="F2435" s="239">
        <v>44609</v>
      </c>
      <c r="G2435" s="232"/>
      <c r="H2435" s="61" t="s">
        <v>1283</v>
      </c>
      <c r="I2435" s="243" t="s">
        <v>1367</v>
      </c>
      <c r="J2435" s="238">
        <v>512.03</v>
      </c>
      <c r="K2435" s="65"/>
      <c r="L2435" s="257">
        <v>22000</v>
      </c>
      <c r="M2435" s="223"/>
      <c r="N2435" s="223"/>
      <c r="O2435" s="61"/>
      <c r="P2435" s="69" t="str">
        <f t="shared" si="157"/>
        <v>Beban Gasoline Marketing (Bensin, Parkir, Tol)</v>
      </c>
      <c r="Q2435" s="61"/>
    </row>
    <row r="2436" spans="1:17" hidden="1" x14ac:dyDescent="0.25">
      <c r="A2436" s="60" t="str">
        <f t="shared" si="155"/>
        <v>78511,04</v>
      </c>
      <c r="B2436" s="60">
        <f>COUNTIF($J$7:J2436,J2436)</f>
        <v>78</v>
      </c>
      <c r="C2436" s="60" t="str">
        <f t="shared" si="156"/>
        <v>0</v>
      </c>
      <c r="D2436" s="60">
        <f>COUNTIF($K$7:K2436,K2436)</f>
        <v>0</v>
      </c>
      <c r="E2436" s="61"/>
      <c r="F2436" s="239">
        <v>44609</v>
      </c>
      <c r="G2436" s="232"/>
      <c r="H2436" s="61" t="s">
        <v>1283</v>
      </c>
      <c r="I2436" s="243" t="s">
        <v>1368</v>
      </c>
      <c r="J2436" s="64">
        <v>511.04</v>
      </c>
      <c r="K2436" s="65"/>
      <c r="L2436" s="257">
        <v>238000</v>
      </c>
      <c r="M2436" s="223"/>
      <c r="N2436" s="223"/>
      <c r="O2436" s="61"/>
      <c r="P2436" s="69" t="str">
        <f t="shared" si="157"/>
        <v>Biaya pengiriman Via Online (Gojek,Grab), Kuli</v>
      </c>
      <c r="Q2436" s="61"/>
    </row>
    <row r="2437" spans="1:17" hidden="1" x14ac:dyDescent="0.25">
      <c r="A2437" s="60" t="str">
        <f t="shared" si="155"/>
        <v>124511,05</v>
      </c>
      <c r="B2437" s="60">
        <f>COUNTIF($J$7:J2437,J2437)</f>
        <v>124</v>
      </c>
      <c r="C2437" s="60" t="str">
        <f t="shared" si="156"/>
        <v>0</v>
      </c>
      <c r="D2437" s="60">
        <f>COUNTIF($K$7:K2437,K2437)</f>
        <v>0</v>
      </c>
      <c r="E2437" s="61"/>
      <c r="F2437" s="239">
        <v>44609</v>
      </c>
      <c r="G2437" s="232"/>
      <c r="H2437" s="61" t="s">
        <v>1283</v>
      </c>
      <c r="I2437" s="243" t="s">
        <v>1369</v>
      </c>
      <c r="J2437" s="64">
        <v>511.05</v>
      </c>
      <c r="K2437" s="65"/>
      <c r="L2437" s="257">
        <v>8000</v>
      </c>
      <c r="M2437" s="223"/>
      <c r="N2437" s="223"/>
      <c r="O2437" s="61"/>
      <c r="P2437" s="69" t="str">
        <f t="shared" si="157"/>
        <v>Biaya Transport Pengiriman Bensin, Parkir, Tol</v>
      </c>
      <c r="Q2437" s="61"/>
    </row>
    <row r="2438" spans="1:17" hidden="1" x14ac:dyDescent="0.25">
      <c r="A2438" s="60" t="str">
        <f t="shared" si="155"/>
        <v>125511,05</v>
      </c>
      <c r="B2438" s="60">
        <f>COUNTIF($J$7:J2438,J2438)</f>
        <v>125</v>
      </c>
      <c r="C2438" s="60" t="str">
        <f t="shared" si="156"/>
        <v>0</v>
      </c>
      <c r="D2438" s="60">
        <f>COUNTIF($K$7:K2438,K2438)</f>
        <v>0</v>
      </c>
      <c r="E2438" s="61"/>
      <c r="F2438" s="239">
        <v>44609</v>
      </c>
      <c r="G2438" s="232"/>
      <c r="H2438" s="61" t="s">
        <v>1283</v>
      </c>
      <c r="I2438" s="243" t="s">
        <v>1370</v>
      </c>
      <c r="J2438" s="64">
        <v>511.05</v>
      </c>
      <c r="K2438" s="65"/>
      <c r="L2438" s="257">
        <v>8000</v>
      </c>
      <c r="M2438" s="223"/>
      <c r="N2438" s="223"/>
      <c r="O2438" s="61"/>
      <c r="P2438" s="69" t="str">
        <f t="shared" si="157"/>
        <v>Biaya Transport Pengiriman Bensin, Parkir, Tol</v>
      </c>
      <c r="Q2438" s="61"/>
    </row>
    <row r="2439" spans="1:17" hidden="1" x14ac:dyDescent="0.25">
      <c r="A2439" s="60" t="str">
        <f t="shared" ref="A2439:A2502" si="158">B2439&amp;J2439</f>
        <v>126511,05</v>
      </c>
      <c r="B2439" s="60">
        <f>COUNTIF($J$7:J2439,J2439)</f>
        <v>126</v>
      </c>
      <c r="C2439" s="60" t="str">
        <f t="shared" ref="C2439:C2502" si="159">D2439&amp;K2439</f>
        <v>0</v>
      </c>
      <c r="D2439" s="60">
        <f>COUNTIF($K$7:K2439,K2439)</f>
        <v>0</v>
      </c>
      <c r="E2439" s="61"/>
      <c r="F2439" s="239">
        <v>44609</v>
      </c>
      <c r="G2439" s="232"/>
      <c r="H2439" s="61" t="s">
        <v>1283</v>
      </c>
      <c r="I2439" s="243" t="s">
        <v>1371</v>
      </c>
      <c r="J2439" s="64">
        <v>511.05</v>
      </c>
      <c r="K2439" s="65"/>
      <c r="L2439" s="257">
        <v>5000</v>
      </c>
      <c r="M2439" s="223"/>
      <c r="N2439" s="223"/>
      <c r="O2439" s="61"/>
      <c r="P2439" s="69" t="str">
        <f t="shared" ref="P2439:P2502" si="160">IF(J2439=0,"-",+VLOOKUP(J2439,DAF_AKUN,2,FALSE))</f>
        <v>Biaya Transport Pengiriman Bensin, Parkir, Tol</v>
      </c>
      <c r="Q2439" s="61"/>
    </row>
    <row r="2440" spans="1:17" hidden="1" x14ac:dyDescent="0.25">
      <c r="A2440" s="60" t="str">
        <f t="shared" si="158"/>
        <v>79511,04</v>
      </c>
      <c r="B2440" s="60">
        <f>COUNTIF($J$7:J2440,J2440)</f>
        <v>79</v>
      </c>
      <c r="C2440" s="60" t="str">
        <f t="shared" si="159"/>
        <v>0</v>
      </c>
      <c r="D2440" s="60">
        <f>COUNTIF($K$7:K2440,K2440)</f>
        <v>0</v>
      </c>
      <c r="E2440" s="61"/>
      <c r="F2440" s="239">
        <v>44609</v>
      </c>
      <c r="G2440" s="232"/>
      <c r="H2440" s="61" t="s">
        <v>1283</v>
      </c>
      <c r="I2440" s="243" t="s">
        <v>1372</v>
      </c>
      <c r="J2440" s="221">
        <v>511.04</v>
      </c>
      <c r="K2440" s="65"/>
      <c r="L2440" s="257">
        <v>10000</v>
      </c>
      <c r="M2440" s="223"/>
      <c r="N2440" s="223"/>
      <c r="O2440" s="61"/>
      <c r="P2440" s="69" t="str">
        <f t="shared" si="160"/>
        <v>Biaya pengiriman Via Online (Gojek,Grab), Kuli</v>
      </c>
      <c r="Q2440" s="61"/>
    </row>
    <row r="2441" spans="1:17" hidden="1" x14ac:dyDescent="0.25">
      <c r="A2441" s="60" t="str">
        <f t="shared" si="158"/>
        <v>51511,03</v>
      </c>
      <c r="B2441" s="60">
        <f>COUNTIF($J$7:J2441,J2441)</f>
        <v>51</v>
      </c>
      <c r="C2441" s="60" t="str">
        <f t="shared" si="159"/>
        <v>0</v>
      </c>
      <c r="D2441" s="60">
        <f>COUNTIF($K$7:K2441,K2441)</f>
        <v>0</v>
      </c>
      <c r="E2441" s="61"/>
      <c r="F2441" s="239">
        <v>44609</v>
      </c>
      <c r="G2441" s="232"/>
      <c r="H2441" s="61" t="s">
        <v>1283</v>
      </c>
      <c r="I2441" s="243" t="s">
        <v>1373</v>
      </c>
      <c r="J2441" s="221">
        <v>511.03</v>
      </c>
      <c r="K2441" s="65"/>
      <c r="L2441" s="257">
        <v>352000</v>
      </c>
      <c r="M2441" s="223"/>
      <c r="N2441" s="223"/>
      <c r="O2441" s="61"/>
      <c r="P2441" s="69" t="str">
        <f t="shared" si="160"/>
        <v>Biaya Pengiriman Barang Ekspedisi</v>
      </c>
      <c r="Q2441" s="61"/>
    </row>
    <row r="2442" spans="1:17" hidden="1" x14ac:dyDescent="0.25">
      <c r="A2442" s="60" t="str">
        <f t="shared" si="158"/>
        <v>52511,03</v>
      </c>
      <c r="B2442" s="60">
        <f>COUNTIF($J$7:J2442,J2442)</f>
        <v>52</v>
      </c>
      <c r="C2442" s="60" t="str">
        <f t="shared" si="159"/>
        <v>0</v>
      </c>
      <c r="D2442" s="60">
        <f>COUNTIF($K$7:K2442,K2442)</f>
        <v>0</v>
      </c>
      <c r="E2442" s="61"/>
      <c r="F2442" s="239">
        <v>44609</v>
      </c>
      <c r="G2442" s="232"/>
      <c r="H2442" s="61" t="s">
        <v>1283</v>
      </c>
      <c r="I2442" s="243" t="s">
        <v>1374</v>
      </c>
      <c r="J2442" s="221">
        <v>511.03</v>
      </c>
      <c r="K2442" s="65"/>
      <c r="L2442" s="257">
        <v>324000</v>
      </c>
      <c r="M2442" s="223"/>
      <c r="N2442" s="223"/>
      <c r="O2442" s="61"/>
      <c r="P2442" s="69" t="str">
        <f t="shared" si="160"/>
        <v>Biaya Pengiriman Barang Ekspedisi</v>
      </c>
      <c r="Q2442" s="61"/>
    </row>
    <row r="2443" spans="1:17" hidden="1" x14ac:dyDescent="0.25">
      <c r="A2443" s="60" t="str">
        <f t="shared" si="158"/>
        <v>53511,03</v>
      </c>
      <c r="B2443" s="60">
        <f>COUNTIF($J$7:J2443,J2443)</f>
        <v>53</v>
      </c>
      <c r="C2443" s="60" t="str">
        <f t="shared" si="159"/>
        <v>0</v>
      </c>
      <c r="D2443" s="60">
        <f>COUNTIF($K$7:K2443,K2443)</f>
        <v>0</v>
      </c>
      <c r="E2443" s="61"/>
      <c r="F2443" s="239">
        <v>44609</v>
      </c>
      <c r="G2443" s="232"/>
      <c r="H2443" s="61" t="s">
        <v>1283</v>
      </c>
      <c r="I2443" s="243" t="s">
        <v>1375</v>
      </c>
      <c r="J2443" s="221">
        <v>511.03</v>
      </c>
      <c r="K2443" s="65"/>
      <c r="L2443" s="257">
        <v>240000</v>
      </c>
      <c r="M2443" s="223"/>
      <c r="N2443" s="223"/>
      <c r="O2443" s="61"/>
      <c r="P2443" s="69" t="str">
        <f t="shared" si="160"/>
        <v>Biaya Pengiriman Barang Ekspedisi</v>
      </c>
      <c r="Q2443" s="61"/>
    </row>
    <row r="2444" spans="1:17" hidden="1" x14ac:dyDescent="0.25">
      <c r="A2444" s="60" t="str">
        <f t="shared" si="158"/>
        <v>80511,04</v>
      </c>
      <c r="B2444" s="60">
        <f>COUNTIF($J$7:J2444,J2444)</f>
        <v>80</v>
      </c>
      <c r="C2444" s="60" t="str">
        <f t="shared" si="159"/>
        <v>0</v>
      </c>
      <c r="D2444" s="60">
        <f>COUNTIF($K$7:K2444,K2444)</f>
        <v>0</v>
      </c>
      <c r="E2444" s="61"/>
      <c r="F2444" s="239">
        <v>44610</v>
      </c>
      <c r="G2444" s="232"/>
      <c r="H2444" s="61" t="s">
        <v>1283</v>
      </c>
      <c r="I2444" s="243" t="s">
        <v>1376</v>
      </c>
      <c r="J2444" s="64">
        <v>511.04</v>
      </c>
      <c r="K2444" s="65"/>
      <c r="L2444" s="257">
        <v>210000</v>
      </c>
      <c r="M2444" s="223"/>
      <c r="N2444" s="223"/>
      <c r="O2444" s="61"/>
      <c r="P2444" s="69" t="str">
        <f t="shared" si="160"/>
        <v>Biaya pengiriman Via Online (Gojek,Grab), Kuli</v>
      </c>
      <c r="Q2444" s="61"/>
    </row>
    <row r="2445" spans="1:17" hidden="1" x14ac:dyDescent="0.25">
      <c r="A2445" s="60" t="str">
        <f t="shared" si="158"/>
        <v>127511,05</v>
      </c>
      <c r="B2445" s="60">
        <f>COUNTIF($J$7:J2445,J2445)</f>
        <v>127</v>
      </c>
      <c r="C2445" s="60" t="str">
        <f t="shared" si="159"/>
        <v>0</v>
      </c>
      <c r="D2445" s="60">
        <f>COUNTIF($K$7:K2445,K2445)</f>
        <v>0</v>
      </c>
      <c r="E2445" s="61"/>
      <c r="F2445" s="239">
        <v>44610</v>
      </c>
      <c r="G2445" s="232"/>
      <c r="H2445" s="61" t="s">
        <v>1283</v>
      </c>
      <c r="I2445" s="243" t="s">
        <v>1377</v>
      </c>
      <c r="J2445" s="64">
        <v>511.05</v>
      </c>
      <c r="K2445" s="65"/>
      <c r="L2445" s="257">
        <v>8000</v>
      </c>
      <c r="M2445" s="223"/>
      <c r="N2445" s="223"/>
      <c r="O2445" s="61"/>
      <c r="P2445" s="69" t="str">
        <f t="shared" si="160"/>
        <v>Biaya Transport Pengiriman Bensin, Parkir, Tol</v>
      </c>
      <c r="Q2445" s="61"/>
    </row>
    <row r="2446" spans="1:17" hidden="1" x14ac:dyDescent="0.25">
      <c r="A2446" s="60" t="str">
        <f t="shared" si="158"/>
        <v>128511,05</v>
      </c>
      <c r="B2446" s="60">
        <f>COUNTIF($J$7:J2446,J2446)</f>
        <v>128</v>
      </c>
      <c r="C2446" s="60" t="str">
        <f t="shared" si="159"/>
        <v>0</v>
      </c>
      <c r="D2446" s="60">
        <f>COUNTIF($K$7:K2446,K2446)</f>
        <v>0</v>
      </c>
      <c r="E2446" s="61"/>
      <c r="F2446" s="239">
        <v>44610</v>
      </c>
      <c r="G2446" s="232"/>
      <c r="H2446" s="61" t="s">
        <v>1283</v>
      </c>
      <c r="I2446" s="243" t="s">
        <v>1378</v>
      </c>
      <c r="J2446" s="64">
        <v>511.05</v>
      </c>
      <c r="K2446" s="65"/>
      <c r="L2446" s="257">
        <v>8000</v>
      </c>
      <c r="M2446" s="223"/>
      <c r="N2446" s="223"/>
      <c r="O2446" s="61"/>
      <c r="P2446" s="69" t="str">
        <f t="shared" si="160"/>
        <v>Biaya Transport Pengiriman Bensin, Parkir, Tol</v>
      </c>
      <c r="Q2446" s="61"/>
    </row>
    <row r="2447" spans="1:17" hidden="1" x14ac:dyDescent="0.25">
      <c r="A2447" s="60" t="str">
        <f t="shared" si="158"/>
        <v>129511,05</v>
      </c>
      <c r="B2447" s="60">
        <f>COUNTIF($J$7:J2447,J2447)</f>
        <v>129</v>
      </c>
      <c r="C2447" s="60" t="str">
        <f t="shared" si="159"/>
        <v>0</v>
      </c>
      <c r="D2447" s="60">
        <f>COUNTIF($K$7:K2447,K2447)</f>
        <v>0</v>
      </c>
      <c r="E2447" s="61"/>
      <c r="F2447" s="239">
        <v>44610</v>
      </c>
      <c r="G2447" s="232"/>
      <c r="H2447" s="61" t="s">
        <v>1283</v>
      </c>
      <c r="I2447" s="243" t="s">
        <v>1379</v>
      </c>
      <c r="J2447" s="64">
        <v>511.05</v>
      </c>
      <c r="K2447" s="65"/>
      <c r="L2447" s="257">
        <v>4000</v>
      </c>
      <c r="M2447" s="223"/>
      <c r="N2447" s="223"/>
      <c r="O2447" s="61"/>
      <c r="P2447" s="69" t="str">
        <f t="shared" si="160"/>
        <v>Biaya Transport Pengiriman Bensin, Parkir, Tol</v>
      </c>
      <c r="Q2447" s="61"/>
    </row>
    <row r="2448" spans="1:17" hidden="1" x14ac:dyDescent="0.25">
      <c r="A2448" s="60" t="str">
        <f t="shared" si="158"/>
        <v>81511,04</v>
      </c>
      <c r="B2448" s="60">
        <f>COUNTIF($J$7:J2448,J2448)</f>
        <v>81</v>
      </c>
      <c r="C2448" s="60" t="str">
        <f t="shared" si="159"/>
        <v>0</v>
      </c>
      <c r="D2448" s="60">
        <f>COUNTIF($K$7:K2448,K2448)</f>
        <v>0</v>
      </c>
      <c r="E2448" s="61"/>
      <c r="F2448" s="239">
        <v>44613</v>
      </c>
      <c r="G2448" s="232"/>
      <c r="H2448" s="61" t="s">
        <v>1283</v>
      </c>
      <c r="I2448" s="243" t="s">
        <v>1380</v>
      </c>
      <c r="J2448" s="64">
        <v>511.04</v>
      </c>
      <c r="K2448" s="65"/>
      <c r="L2448" s="257">
        <v>255000</v>
      </c>
      <c r="M2448" s="223"/>
      <c r="N2448" s="223"/>
      <c r="O2448" s="61"/>
      <c r="P2448" s="69" t="str">
        <f t="shared" si="160"/>
        <v>Biaya pengiriman Via Online (Gojek,Grab), Kuli</v>
      </c>
      <c r="Q2448" s="61"/>
    </row>
    <row r="2449" spans="1:17" hidden="1" x14ac:dyDescent="0.25">
      <c r="A2449" s="60" t="str">
        <f t="shared" si="158"/>
        <v>130511,05</v>
      </c>
      <c r="B2449" s="60">
        <f>COUNTIF($J$7:J2449,J2449)</f>
        <v>130</v>
      </c>
      <c r="C2449" s="60" t="str">
        <f t="shared" si="159"/>
        <v>0</v>
      </c>
      <c r="D2449" s="60">
        <f>COUNTIF($K$7:K2449,K2449)</f>
        <v>0</v>
      </c>
      <c r="E2449" s="61"/>
      <c r="F2449" s="239">
        <v>44613</v>
      </c>
      <c r="G2449" s="232"/>
      <c r="H2449" s="61" t="s">
        <v>1283</v>
      </c>
      <c r="I2449" s="243" t="s">
        <v>1381</v>
      </c>
      <c r="J2449" s="64">
        <v>511.05</v>
      </c>
      <c r="K2449" s="65"/>
      <c r="L2449" s="257">
        <v>10000</v>
      </c>
      <c r="M2449" s="223"/>
      <c r="N2449" s="223"/>
      <c r="O2449" s="61"/>
      <c r="P2449" s="69" t="str">
        <f t="shared" si="160"/>
        <v>Biaya Transport Pengiriman Bensin, Parkir, Tol</v>
      </c>
      <c r="Q2449" s="61"/>
    </row>
    <row r="2450" spans="1:17" hidden="1" x14ac:dyDescent="0.25">
      <c r="A2450" s="60" t="str">
        <f t="shared" si="158"/>
        <v>16512,03</v>
      </c>
      <c r="B2450" s="60">
        <f>COUNTIF($J$7:J2450,J2450)</f>
        <v>16</v>
      </c>
      <c r="C2450" s="60" t="str">
        <f t="shared" si="159"/>
        <v>0</v>
      </c>
      <c r="D2450" s="60">
        <f>COUNTIF($K$7:K2450,K2450)</f>
        <v>0</v>
      </c>
      <c r="E2450" s="61"/>
      <c r="F2450" s="239">
        <v>44613</v>
      </c>
      <c r="G2450" s="232"/>
      <c r="H2450" s="61" t="s">
        <v>1283</v>
      </c>
      <c r="I2450" s="243" t="s">
        <v>1382</v>
      </c>
      <c r="J2450" s="238">
        <v>512.03</v>
      </c>
      <c r="K2450" s="65"/>
      <c r="L2450" s="257">
        <v>17000</v>
      </c>
      <c r="M2450" s="223"/>
      <c r="N2450" s="223"/>
      <c r="O2450" s="61"/>
      <c r="P2450" s="69" t="str">
        <f t="shared" si="160"/>
        <v>Beban Gasoline Marketing (Bensin, Parkir, Tol)</v>
      </c>
      <c r="Q2450" s="61"/>
    </row>
    <row r="2451" spans="1:17" hidden="1" x14ac:dyDescent="0.25">
      <c r="A2451" s="60" t="str">
        <f t="shared" si="158"/>
        <v>131511,05</v>
      </c>
      <c r="B2451" s="60">
        <f>COUNTIF($J$7:J2451,J2451)</f>
        <v>131</v>
      </c>
      <c r="C2451" s="60" t="str">
        <f t="shared" si="159"/>
        <v>0</v>
      </c>
      <c r="D2451" s="60">
        <f>COUNTIF($K$7:K2451,K2451)</f>
        <v>0</v>
      </c>
      <c r="E2451" s="61"/>
      <c r="F2451" s="239">
        <v>44613</v>
      </c>
      <c r="G2451" s="232"/>
      <c r="H2451" s="61" t="s">
        <v>1283</v>
      </c>
      <c r="I2451" s="243" t="s">
        <v>1383</v>
      </c>
      <c r="J2451" s="64">
        <v>511.05</v>
      </c>
      <c r="K2451" s="65"/>
      <c r="L2451" s="257">
        <v>8000</v>
      </c>
      <c r="M2451" s="223"/>
      <c r="N2451" s="223"/>
      <c r="O2451" s="61"/>
      <c r="P2451" s="69" t="str">
        <f t="shared" si="160"/>
        <v>Biaya Transport Pengiriman Bensin, Parkir, Tol</v>
      </c>
      <c r="Q2451" s="61"/>
    </row>
    <row r="2452" spans="1:17" hidden="1" x14ac:dyDescent="0.25">
      <c r="A2452" s="60" t="str">
        <f t="shared" si="158"/>
        <v>132511,05</v>
      </c>
      <c r="B2452" s="60">
        <f>COUNTIF($J$7:J2452,J2452)</f>
        <v>132</v>
      </c>
      <c r="C2452" s="60" t="str">
        <f t="shared" si="159"/>
        <v>0</v>
      </c>
      <c r="D2452" s="60">
        <f>COUNTIF($K$7:K2452,K2452)</f>
        <v>0</v>
      </c>
      <c r="E2452" s="61"/>
      <c r="F2452" s="239">
        <v>44613</v>
      </c>
      <c r="G2452" s="232"/>
      <c r="H2452" s="61" t="s">
        <v>1283</v>
      </c>
      <c r="I2452" s="243" t="s">
        <v>1384</v>
      </c>
      <c r="J2452" s="64">
        <v>511.05</v>
      </c>
      <c r="K2452" s="65"/>
      <c r="L2452" s="257">
        <v>7000</v>
      </c>
      <c r="M2452" s="223"/>
      <c r="N2452" s="223"/>
      <c r="O2452" s="61"/>
      <c r="P2452" s="69" t="str">
        <f t="shared" si="160"/>
        <v>Biaya Transport Pengiriman Bensin, Parkir, Tol</v>
      </c>
      <c r="Q2452" s="61"/>
    </row>
    <row r="2453" spans="1:17" hidden="1" x14ac:dyDescent="0.25">
      <c r="A2453" s="60" t="str">
        <f t="shared" si="158"/>
        <v>82511,04</v>
      </c>
      <c r="B2453" s="60">
        <f>COUNTIF($J$7:J2453,J2453)</f>
        <v>82</v>
      </c>
      <c r="C2453" s="60" t="str">
        <f t="shared" si="159"/>
        <v>0</v>
      </c>
      <c r="D2453" s="60">
        <f>COUNTIF($K$7:K2453,K2453)</f>
        <v>0</v>
      </c>
      <c r="E2453" s="61"/>
      <c r="F2453" s="239">
        <v>44613</v>
      </c>
      <c r="G2453" s="232"/>
      <c r="H2453" s="61" t="s">
        <v>1283</v>
      </c>
      <c r="I2453" s="243" t="s">
        <v>1385</v>
      </c>
      <c r="J2453" s="221">
        <v>511.04</v>
      </c>
      <c r="K2453" s="65"/>
      <c r="L2453" s="257">
        <v>10000</v>
      </c>
      <c r="M2453" s="223"/>
      <c r="N2453" s="223"/>
      <c r="O2453" s="61"/>
      <c r="P2453" s="69" t="str">
        <f t="shared" si="160"/>
        <v>Biaya pengiriman Via Online (Gojek,Grab), Kuli</v>
      </c>
      <c r="Q2453" s="61"/>
    </row>
    <row r="2454" spans="1:17" hidden="1" x14ac:dyDescent="0.25">
      <c r="A2454" s="60" t="str">
        <f t="shared" si="158"/>
        <v>133511,05</v>
      </c>
      <c r="B2454" s="60">
        <f>COUNTIF($J$7:J2454,J2454)</f>
        <v>133</v>
      </c>
      <c r="C2454" s="60" t="str">
        <f t="shared" si="159"/>
        <v>0</v>
      </c>
      <c r="D2454" s="60">
        <f>COUNTIF($K$7:K2454,K2454)</f>
        <v>0</v>
      </c>
      <c r="E2454" s="61"/>
      <c r="F2454" s="239">
        <v>44613</v>
      </c>
      <c r="G2454" s="232"/>
      <c r="H2454" s="61" t="s">
        <v>1283</v>
      </c>
      <c r="I2454" s="243" t="s">
        <v>1386</v>
      </c>
      <c r="J2454" s="64">
        <v>511.05</v>
      </c>
      <c r="K2454" s="65"/>
      <c r="L2454" s="257">
        <v>8000</v>
      </c>
      <c r="M2454" s="223"/>
      <c r="N2454" s="223"/>
      <c r="O2454" s="61"/>
      <c r="P2454" s="69" t="str">
        <f t="shared" si="160"/>
        <v>Biaya Transport Pengiriman Bensin, Parkir, Tol</v>
      </c>
      <c r="Q2454" s="61"/>
    </row>
    <row r="2455" spans="1:17" hidden="1" x14ac:dyDescent="0.25">
      <c r="A2455" s="60" t="str">
        <f t="shared" si="158"/>
        <v>134511,05</v>
      </c>
      <c r="B2455" s="60">
        <f>COUNTIF($J$7:J2455,J2455)</f>
        <v>134</v>
      </c>
      <c r="C2455" s="60" t="str">
        <f t="shared" si="159"/>
        <v>0</v>
      </c>
      <c r="D2455" s="60">
        <f>COUNTIF($K$7:K2455,K2455)</f>
        <v>0</v>
      </c>
      <c r="E2455" s="61"/>
      <c r="F2455" s="239">
        <v>44613</v>
      </c>
      <c r="G2455" s="232"/>
      <c r="H2455" s="61" t="s">
        <v>1283</v>
      </c>
      <c r="I2455" s="243" t="s">
        <v>1387</v>
      </c>
      <c r="J2455" s="64">
        <v>511.05</v>
      </c>
      <c r="K2455" s="65"/>
      <c r="L2455" s="257">
        <v>10000</v>
      </c>
      <c r="M2455" s="223"/>
      <c r="N2455" s="223"/>
      <c r="O2455" s="61"/>
      <c r="P2455" s="69" t="str">
        <f t="shared" si="160"/>
        <v>Biaya Transport Pengiriman Bensin, Parkir, Tol</v>
      </c>
      <c r="Q2455" s="61"/>
    </row>
    <row r="2456" spans="1:17" hidden="1" x14ac:dyDescent="0.25">
      <c r="A2456" s="60" t="str">
        <f t="shared" si="158"/>
        <v>83511,04</v>
      </c>
      <c r="B2456" s="60">
        <f>COUNTIF($J$7:J2456,J2456)</f>
        <v>83</v>
      </c>
      <c r="C2456" s="60" t="str">
        <f t="shared" si="159"/>
        <v>0</v>
      </c>
      <c r="D2456" s="60">
        <f>COUNTIF($K$7:K2456,K2456)</f>
        <v>0</v>
      </c>
      <c r="E2456" s="61"/>
      <c r="F2456" s="239">
        <v>44613</v>
      </c>
      <c r="G2456" s="232"/>
      <c r="H2456" s="61" t="s">
        <v>1283</v>
      </c>
      <c r="I2456" s="243" t="s">
        <v>1388</v>
      </c>
      <c r="J2456" s="221">
        <v>511.04</v>
      </c>
      <c r="K2456" s="65"/>
      <c r="L2456" s="257">
        <v>59000</v>
      </c>
      <c r="M2456" s="223"/>
      <c r="N2456" s="223"/>
      <c r="O2456" s="61"/>
      <c r="P2456" s="69" t="str">
        <f t="shared" si="160"/>
        <v>Biaya pengiriman Via Online (Gojek,Grab), Kuli</v>
      </c>
      <c r="Q2456" s="61"/>
    </row>
    <row r="2457" spans="1:17" hidden="1" x14ac:dyDescent="0.25">
      <c r="A2457" s="60" t="str">
        <f t="shared" si="158"/>
        <v>54511,03</v>
      </c>
      <c r="B2457" s="60">
        <f>COUNTIF($J$7:J2457,J2457)</f>
        <v>54</v>
      </c>
      <c r="C2457" s="60" t="str">
        <f t="shared" si="159"/>
        <v>0</v>
      </c>
      <c r="D2457" s="60">
        <f>COUNTIF($K$7:K2457,K2457)</f>
        <v>0</v>
      </c>
      <c r="E2457" s="61"/>
      <c r="F2457" s="239">
        <v>44613</v>
      </c>
      <c r="G2457" s="232"/>
      <c r="H2457" s="61" t="s">
        <v>1283</v>
      </c>
      <c r="I2457" s="243" t="s">
        <v>1389</v>
      </c>
      <c r="J2457" s="64">
        <v>511.03</v>
      </c>
      <c r="K2457" s="65"/>
      <c r="L2457" s="257">
        <v>180000</v>
      </c>
      <c r="M2457" s="223"/>
      <c r="N2457" s="223"/>
      <c r="O2457" s="61"/>
      <c r="P2457" s="69" t="str">
        <f t="shared" si="160"/>
        <v>Biaya Pengiriman Barang Ekspedisi</v>
      </c>
      <c r="Q2457" s="61"/>
    </row>
    <row r="2458" spans="1:17" hidden="1" x14ac:dyDescent="0.25">
      <c r="A2458" s="60" t="str">
        <f t="shared" si="158"/>
        <v>54119</v>
      </c>
      <c r="B2458" s="60">
        <f>COUNTIF($J$7:J2458,J2458)</f>
        <v>54</v>
      </c>
      <c r="C2458" s="60" t="str">
        <f t="shared" si="159"/>
        <v>20119,01</v>
      </c>
      <c r="D2458" s="60">
        <f>COUNTIF($K$7:K2458,K2458)</f>
        <v>20</v>
      </c>
      <c r="E2458" s="61"/>
      <c r="F2458" s="239">
        <v>44599</v>
      </c>
      <c r="G2458" s="232"/>
      <c r="H2458" s="61" t="s">
        <v>1305</v>
      </c>
      <c r="I2458" s="243" t="s">
        <v>1306</v>
      </c>
      <c r="J2458" s="76">
        <v>119</v>
      </c>
      <c r="K2458" s="75">
        <v>119.01</v>
      </c>
      <c r="L2458" s="224"/>
      <c r="M2458" s="258">
        <v>2000000</v>
      </c>
      <c r="N2458" s="258"/>
      <c r="O2458" s="61"/>
      <c r="P2458" s="69" t="str">
        <f t="shared" si="160"/>
        <v>Uang Muka Biaya Pengiriman dan Perjalanan Dinas Marketing</v>
      </c>
      <c r="Q2458" s="61"/>
    </row>
    <row r="2459" spans="1:17" hidden="1" x14ac:dyDescent="0.25">
      <c r="A2459" s="60" t="str">
        <f t="shared" si="158"/>
        <v>55511,03</v>
      </c>
      <c r="B2459" s="60">
        <f>COUNTIF($J$7:J2459,J2459)</f>
        <v>55</v>
      </c>
      <c r="C2459" s="60" t="str">
        <f t="shared" si="159"/>
        <v>0</v>
      </c>
      <c r="D2459" s="60">
        <f>COUNTIF($K$7:K2459,K2459)</f>
        <v>0</v>
      </c>
      <c r="E2459" s="61"/>
      <c r="F2459" s="239">
        <v>44599</v>
      </c>
      <c r="G2459" s="232"/>
      <c r="H2459" s="61" t="s">
        <v>1305</v>
      </c>
      <c r="I2459" s="243" t="s">
        <v>1390</v>
      </c>
      <c r="J2459" s="64">
        <v>511.03</v>
      </c>
      <c r="K2459" s="65"/>
      <c r="L2459" s="257">
        <v>90000</v>
      </c>
      <c r="M2459" s="223"/>
      <c r="N2459" s="223"/>
      <c r="O2459" s="61"/>
      <c r="P2459" s="69" t="str">
        <f t="shared" si="160"/>
        <v>Biaya Pengiriman Barang Ekspedisi</v>
      </c>
      <c r="Q2459" s="61"/>
    </row>
    <row r="2460" spans="1:17" hidden="1" x14ac:dyDescent="0.25">
      <c r="A2460" s="60" t="str">
        <f t="shared" si="158"/>
        <v>84511,04</v>
      </c>
      <c r="B2460" s="60">
        <f>COUNTIF($J$7:J2460,J2460)</f>
        <v>84</v>
      </c>
      <c r="C2460" s="60" t="str">
        <f t="shared" si="159"/>
        <v>0</v>
      </c>
      <c r="D2460" s="60">
        <f>COUNTIF($K$7:K2460,K2460)</f>
        <v>0</v>
      </c>
      <c r="E2460" s="61"/>
      <c r="F2460" s="239">
        <v>44601</v>
      </c>
      <c r="G2460" s="232"/>
      <c r="H2460" s="61" t="s">
        <v>1305</v>
      </c>
      <c r="I2460" s="243" t="s">
        <v>1391</v>
      </c>
      <c r="J2460" s="221">
        <v>511.04</v>
      </c>
      <c r="K2460" s="65"/>
      <c r="L2460" s="257">
        <v>141000</v>
      </c>
      <c r="M2460" s="223"/>
      <c r="N2460" s="223"/>
      <c r="O2460" s="61"/>
      <c r="P2460" s="69" t="str">
        <f t="shared" si="160"/>
        <v>Biaya pengiriman Via Online (Gojek,Grab), Kuli</v>
      </c>
      <c r="Q2460" s="61"/>
    </row>
    <row r="2461" spans="1:17" hidden="1" x14ac:dyDescent="0.25">
      <c r="A2461" s="60" t="str">
        <f t="shared" si="158"/>
        <v>85511,04</v>
      </c>
      <c r="B2461" s="60">
        <f>COUNTIF($J$7:J2461,J2461)</f>
        <v>85</v>
      </c>
      <c r="C2461" s="60" t="str">
        <f t="shared" si="159"/>
        <v>0</v>
      </c>
      <c r="D2461" s="60">
        <f>COUNTIF($K$7:K2461,K2461)</f>
        <v>0</v>
      </c>
      <c r="E2461" s="61"/>
      <c r="F2461" s="239">
        <v>44601</v>
      </c>
      <c r="G2461" s="232"/>
      <c r="H2461" s="61" t="s">
        <v>1305</v>
      </c>
      <c r="I2461" s="243" t="s">
        <v>1392</v>
      </c>
      <c r="J2461" s="221">
        <v>511.04</v>
      </c>
      <c r="K2461" s="65"/>
      <c r="L2461" s="257">
        <v>89000</v>
      </c>
      <c r="M2461" s="223"/>
      <c r="N2461" s="223"/>
      <c r="O2461" s="61"/>
      <c r="P2461" s="69" t="str">
        <f t="shared" si="160"/>
        <v>Biaya pengiriman Via Online (Gojek,Grab), Kuli</v>
      </c>
      <c r="Q2461" s="61"/>
    </row>
    <row r="2462" spans="1:17" hidden="1" x14ac:dyDescent="0.25">
      <c r="A2462" s="60" t="str">
        <f t="shared" si="158"/>
        <v>135511,05</v>
      </c>
      <c r="B2462" s="60">
        <f>COUNTIF($J$7:J2462,J2462)</f>
        <v>135</v>
      </c>
      <c r="C2462" s="60" t="str">
        <f t="shared" si="159"/>
        <v>0</v>
      </c>
      <c r="D2462" s="60">
        <f>COUNTIF($K$7:K2462,K2462)</f>
        <v>0</v>
      </c>
      <c r="E2462" s="61"/>
      <c r="F2462" s="239">
        <v>44601</v>
      </c>
      <c r="G2462" s="232"/>
      <c r="H2462" s="61" t="s">
        <v>1305</v>
      </c>
      <c r="I2462" s="243" t="s">
        <v>1393</v>
      </c>
      <c r="J2462" s="64">
        <v>511.05</v>
      </c>
      <c r="K2462" s="65"/>
      <c r="L2462" s="257">
        <v>8000</v>
      </c>
      <c r="M2462" s="223"/>
      <c r="N2462" s="223"/>
      <c r="O2462" s="61"/>
      <c r="P2462" s="69" t="str">
        <f t="shared" si="160"/>
        <v>Biaya Transport Pengiriman Bensin, Parkir, Tol</v>
      </c>
      <c r="Q2462" s="61"/>
    </row>
    <row r="2463" spans="1:17" hidden="1" x14ac:dyDescent="0.25">
      <c r="A2463" s="60" t="str">
        <f t="shared" si="158"/>
        <v>136511,05</v>
      </c>
      <c r="B2463" s="60">
        <f>COUNTIF($J$7:J2463,J2463)</f>
        <v>136</v>
      </c>
      <c r="C2463" s="60" t="str">
        <f t="shared" si="159"/>
        <v>0</v>
      </c>
      <c r="D2463" s="60">
        <f>COUNTIF($K$7:K2463,K2463)</f>
        <v>0</v>
      </c>
      <c r="E2463" s="61"/>
      <c r="F2463" s="239">
        <v>44601</v>
      </c>
      <c r="G2463" s="232"/>
      <c r="H2463" s="61" t="s">
        <v>1305</v>
      </c>
      <c r="I2463" s="243" t="s">
        <v>1394</v>
      </c>
      <c r="J2463" s="64">
        <v>511.05</v>
      </c>
      <c r="K2463" s="65"/>
      <c r="L2463" s="257">
        <v>16000</v>
      </c>
      <c r="M2463" s="223"/>
      <c r="N2463" s="223"/>
      <c r="O2463" s="61"/>
      <c r="P2463" s="69" t="str">
        <f t="shared" si="160"/>
        <v>Biaya Transport Pengiriman Bensin, Parkir, Tol</v>
      </c>
      <c r="Q2463" s="61"/>
    </row>
    <row r="2464" spans="1:17" hidden="1" x14ac:dyDescent="0.25">
      <c r="A2464" s="60" t="str">
        <f t="shared" si="158"/>
        <v>2610,04</v>
      </c>
      <c r="B2464" s="60">
        <f>COUNTIF($J$7:J2464,J2464)</f>
        <v>2</v>
      </c>
      <c r="C2464" s="60" t="str">
        <f t="shared" si="159"/>
        <v>0</v>
      </c>
      <c r="D2464" s="60">
        <f>COUNTIF($K$7:K2464,K2464)</f>
        <v>0</v>
      </c>
      <c r="E2464" s="61"/>
      <c r="F2464" s="239">
        <v>44599</v>
      </c>
      <c r="G2464" s="232"/>
      <c r="H2464" s="61" t="s">
        <v>1305</v>
      </c>
      <c r="I2464" s="243" t="s">
        <v>1395</v>
      </c>
      <c r="J2464" s="221">
        <v>610.04</v>
      </c>
      <c r="K2464" s="65"/>
      <c r="L2464" s="257">
        <v>11700</v>
      </c>
      <c r="M2464" s="223"/>
      <c r="N2464" s="223"/>
      <c r="O2464" s="61"/>
      <c r="P2464" s="69" t="str">
        <f t="shared" si="160"/>
        <v>Biaya Transportasi Umum (Bensin, Tol, Parkir) dan Kirim Dokumen</v>
      </c>
      <c r="Q2464" s="61"/>
    </row>
    <row r="2465" spans="1:17" hidden="1" x14ac:dyDescent="0.25">
      <c r="A2465" s="60" t="str">
        <f t="shared" si="158"/>
        <v>3610,04</v>
      </c>
      <c r="B2465" s="60">
        <f>COUNTIF($J$7:J2465,J2465)</f>
        <v>3</v>
      </c>
      <c r="C2465" s="60" t="str">
        <f t="shared" si="159"/>
        <v>0</v>
      </c>
      <c r="D2465" s="60">
        <f>COUNTIF($K$7:K2465,K2465)</f>
        <v>0</v>
      </c>
      <c r="E2465" s="61"/>
      <c r="F2465" s="239">
        <v>44602</v>
      </c>
      <c r="G2465" s="232"/>
      <c r="H2465" s="61" t="s">
        <v>1305</v>
      </c>
      <c r="I2465" s="243" t="s">
        <v>1396</v>
      </c>
      <c r="J2465" s="221">
        <v>610.04</v>
      </c>
      <c r="K2465" s="65"/>
      <c r="L2465" s="257">
        <v>70200</v>
      </c>
      <c r="M2465" s="223"/>
      <c r="N2465" s="223"/>
      <c r="O2465" s="61"/>
      <c r="P2465" s="69" t="str">
        <f t="shared" si="160"/>
        <v>Biaya Transportasi Umum (Bensin, Tol, Parkir) dan Kirim Dokumen</v>
      </c>
      <c r="Q2465" s="61"/>
    </row>
    <row r="2466" spans="1:17" hidden="1" x14ac:dyDescent="0.25">
      <c r="A2466" s="60" t="str">
        <f t="shared" si="158"/>
        <v>4610,04</v>
      </c>
      <c r="B2466" s="60">
        <f>COUNTIF($J$7:J2466,J2466)</f>
        <v>4</v>
      </c>
      <c r="C2466" s="60" t="str">
        <f t="shared" si="159"/>
        <v>0</v>
      </c>
      <c r="D2466" s="60">
        <f>COUNTIF($K$7:K2466,K2466)</f>
        <v>0</v>
      </c>
      <c r="E2466" s="61"/>
      <c r="F2466" s="239">
        <v>44602</v>
      </c>
      <c r="G2466" s="232"/>
      <c r="H2466" s="61" t="s">
        <v>1305</v>
      </c>
      <c r="I2466" s="243" t="s">
        <v>1397</v>
      </c>
      <c r="J2466" s="221">
        <v>610.04</v>
      </c>
      <c r="K2466" s="65"/>
      <c r="L2466" s="257">
        <v>22100</v>
      </c>
      <c r="M2466" s="223"/>
      <c r="N2466" s="223"/>
      <c r="O2466" s="61"/>
      <c r="P2466" s="69" t="str">
        <f t="shared" si="160"/>
        <v>Biaya Transportasi Umum (Bensin, Tol, Parkir) dan Kirim Dokumen</v>
      </c>
      <c r="Q2466" s="61"/>
    </row>
    <row r="2467" spans="1:17" hidden="1" x14ac:dyDescent="0.25">
      <c r="A2467" s="60" t="str">
        <f t="shared" si="158"/>
        <v>5610,04</v>
      </c>
      <c r="B2467" s="60">
        <f>COUNTIF($J$7:J2467,J2467)</f>
        <v>5</v>
      </c>
      <c r="C2467" s="60" t="str">
        <f t="shared" si="159"/>
        <v>0</v>
      </c>
      <c r="D2467" s="60">
        <f>COUNTIF($K$7:K2467,K2467)</f>
        <v>0</v>
      </c>
      <c r="E2467" s="61"/>
      <c r="F2467" s="239">
        <v>44617</v>
      </c>
      <c r="G2467" s="232"/>
      <c r="H2467" s="61" t="s">
        <v>1305</v>
      </c>
      <c r="I2467" s="243" t="s">
        <v>1398</v>
      </c>
      <c r="J2467" s="221">
        <v>610.04</v>
      </c>
      <c r="K2467" s="65"/>
      <c r="L2467" s="257">
        <v>53000</v>
      </c>
      <c r="M2467" s="223"/>
      <c r="N2467" s="223"/>
      <c r="O2467" s="61"/>
      <c r="P2467" s="69" t="str">
        <f t="shared" si="160"/>
        <v>Biaya Transportasi Umum (Bensin, Tol, Parkir) dan Kirim Dokumen</v>
      </c>
      <c r="Q2467" s="61"/>
    </row>
    <row r="2468" spans="1:17" hidden="1" x14ac:dyDescent="0.25">
      <c r="A2468" s="60" t="str">
        <f t="shared" si="158"/>
        <v>86511,04</v>
      </c>
      <c r="B2468" s="60">
        <f>COUNTIF($J$7:J2468,J2468)</f>
        <v>86</v>
      </c>
      <c r="C2468" s="60" t="str">
        <f t="shared" si="159"/>
        <v>0</v>
      </c>
      <c r="D2468" s="60">
        <f>COUNTIF($K$7:K2468,K2468)</f>
        <v>0</v>
      </c>
      <c r="E2468" s="61"/>
      <c r="F2468" s="239">
        <v>44607</v>
      </c>
      <c r="G2468" s="232"/>
      <c r="H2468" s="61" t="s">
        <v>1305</v>
      </c>
      <c r="I2468" s="243" t="s">
        <v>1399</v>
      </c>
      <c r="J2468" s="221">
        <v>511.04</v>
      </c>
      <c r="K2468" s="65"/>
      <c r="L2468" s="257">
        <v>131000</v>
      </c>
      <c r="M2468" s="223"/>
      <c r="N2468" s="223"/>
      <c r="O2468" s="61"/>
      <c r="P2468" s="69" t="str">
        <f t="shared" si="160"/>
        <v>Biaya pengiriman Via Online (Gojek,Grab), Kuli</v>
      </c>
      <c r="Q2468" s="61"/>
    </row>
    <row r="2469" spans="1:17" hidden="1" x14ac:dyDescent="0.25">
      <c r="A2469" s="60" t="str">
        <f t="shared" si="158"/>
        <v>87511,04</v>
      </c>
      <c r="B2469" s="60">
        <f>COUNTIF($J$7:J2469,J2469)</f>
        <v>87</v>
      </c>
      <c r="C2469" s="60" t="str">
        <f t="shared" si="159"/>
        <v>0</v>
      </c>
      <c r="D2469" s="60">
        <f>COUNTIF($K$7:K2469,K2469)</f>
        <v>0</v>
      </c>
      <c r="E2469" s="61"/>
      <c r="F2469" s="239">
        <v>44607</v>
      </c>
      <c r="G2469" s="232"/>
      <c r="H2469" s="61" t="s">
        <v>1305</v>
      </c>
      <c r="I2469" s="243" t="s">
        <v>1400</v>
      </c>
      <c r="J2469" s="221">
        <v>511.04</v>
      </c>
      <c r="K2469" s="65"/>
      <c r="L2469" s="257">
        <v>74000</v>
      </c>
      <c r="M2469" s="223"/>
      <c r="N2469" s="223"/>
      <c r="O2469" s="61"/>
      <c r="P2469" s="69" t="str">
        <f t="shared" si="160"/>
        <v>Biaya pengiriman Via Online (Gojek,Grab), Kuli</v>
      </c>
      <c r="Q2469" s="61"/>
    </row>
    <row r="2470" spans="1:17" hidden="1" x14ac:dyDescent="0.25">
      <c r="A2470" s="60" t="str">
        <f t="shared" si="158"/>
        <v>137511,05</v>
      </c>
      <c r="B2470" s="60">
        <f>COUNTIF($J$7:J2470,J2470)</f>
        <v>137</v>
      </c>
      <c r="C2470" s="60" t="str">
        <f t="shared" si="159"/>
        <v>0</v>
      </c>
      <c r="D2470" s="60">
        <f>COUNTIF($K$7:K2470,K2470)</f>
        <v>0</v>
      </c>
      <c r="E2470" s="61"/>
      <c r="F2470" s="239">
        <v>44607</v>
      </c>
      <c r="G2470" s="232"/>
      <c r="H2470" s="61" t="s">
        <v>1305</v>
      </c>
      <c r="I2470" s="243" t="s">
        <v>1401</v>
      </c>
      <c r="J2470" s="64">
        <v>511.05</v>
      </c>
      <c r="K2470" s="65"/>
      <c r="L2470" s="257">
        <v>16000</v>
      </c>
      <c r="M2470" s="223"/>
      <c r="N2470" s="223"/>
      <c r="O2470" s="61"/>
      <c r="P2470" s="69" t="str">
        <f t="shared" si="160"/>
        <v>Biaya Transport Pengiriman Bensin, Parkir, Tol</v>
      </c>
      <c r="Q2470" s="61"/>
    </row>
    <row r="2471" spans="1:17" hidden="1" x14ac:dyDescent="0.25">
      <c r="A2471" s="60" t="str">
        <f t="shared" si="158"/>
        <v>138511,05</v>
      </c>
      <c r="B2471" s="60">
        <f>COUNTIF($J$7:J2471,J2471)</f>
        <v>138</v>
      </c>
      <c r="C2471" s="60" t="str">
        <f t="shared" si="159"/>
        <v>0</v>
      </c>
      <c r="D2471" s="60">
        <f>COUNTIF($K$7:K2471,K2471)</f>
        <v>0</v>
      </c>
      <c r="E2471" s="61"/>
      <c r="F2471" s="239">
        <v>44607</v>
      </c>
      <c r="G2471" s="232"/>
      <c r="H2471" s="61" t="s">
        <v>1305</v>
      </c>
      <c r="I2471" s="243" t="s">
        <v>1402</v>
      </c>
      <c r="J2471" s="64">
        <v>511.05</v>
      </c>
      <c r="K2471" s="65"/>
      <c r="L2471" s="257">
        <v>7000</v>
      </c>
      <c r="M2471" s="223"/>
      <c r="N2471" s="223"/>
      <c r="O2471" s="61"/>
      <c r="P2471" s="69" t="str">
        <f t="shared" si="160"/>
        <v>Biaya Transport Pengiriman Bensin, Parkir, Tol</v>
      </c>
      <c r="Q2471" s="61"/>
    </row>
    <row r="2472" spans="1:17" hidden="1" x14ac:dyDescent="0.25">
      <c r="A2472" s="60" t="str">
        <f t="shared" si="158"/>
        <v>139511,05</v>
      </c>
      <c r="B2472" s="60">
        <f>COUNTIF($J$7:J2472,J2472)</f>
        <v>139</v>
      </c>
      <c r="C2472" s="60" t="str">
        <f t="shared" si="159"/>
        <v>0</v>
      </c>
      <c r="D2472" s="60">
        <f>COUNTIF($K$7:K2472,K2472)</f>
        <v>0</v>
      </c>
      <c r="E2472" s="61"/>
      <c r="F2472" s="239">
        <v>44607</v>
      </c>
      <c r="G2472" s="232"/>
      <c r="H2472" s="61" t="s">
        <v>1305</v>
      </c>
      <c r="I2472" s="243" t="s">
        <v>1403</v>
      </c>
      <c r="J2472" s="64">
        <v>511.05</v>
      </c>
      <c r="K2472" s="65"/>
      <c r="L2472" s="257">
        <v>11000</v>
      </c>
      <c r="M2472" s="223"/>
      <c r="N2472" s="223"/>
      <c r="O2472" s="61"/>
      <c r="P2472" s="69" t="str">
        <f t="shared" si="160"/>
        <v>Biaya Transport Pengiriman Bensin, Parkir, Tol</v>
      </c>
      <c r="Q2472" s="61"/>
    </row>
    <row r="2473" spans="1:17" hidden="1" x14ac:dyDescent="0.25">
      <c r="A2473" s="60" t="str">
        <f t="shared" si="158"/>
        <v>6610,04</v>
      </c>
      <c r="B2473" s="60">
        <f>COUNTIF($J$7:J2473,J2473)</f>
        <v>6</v>
      </c>
      <c r="C2473" s="60" t="str">
        <f t="shared" si="159"/>
        <v>0</v>
      </c>
      <c r="D2473" s="60">
        <f>COUNTIF($K$7:K2473,K2473)</f>
        <v>0</v>
      </c>
      <c r="E2473" s="61"/>
      <c r="F2473" s="239">
        <v>44610</v>
      </c>
      <c r="G2473" s="232"/>
      <c r="H2473" s="61" t="s">
        <v>1305</v>
      </c>
      <c r="I2473" s="243" t="s">
        <v>1404</v>
      </c>
      <c r="J2473" s="221">
        <v>610.04</v>
      </c>
      <c r="K2473" s="65"/>
      <c r="L2473" s="257">
        <v>53000</v>
      </c>
      <c r="M2473" s="223"/>
      <c r="N2473" s="223"/>
      <c r="O2473" s="61"/>
      <c r="P2473" s="69" t="str">
        <f t="shared" si="160"/>
        <v>Biaya Transportasi Umum (Bensin, Tol, Parkir) dan Kirim Dokumen</v>
      </c>
      <c r="Q2473" s="61"/>
    </row>
    <row r="2474" spans="1:17" hidden="1" x14ac:dyDescent="0.25">
      <c r="A2474" s="60" t="str">
        <f t="shared" si="158"/>
        <v>55119</v>
      </c>
      <c r="B2474" s="60">
        <f>COUNTIF($J$7:J2474,J2474)</f>
        <v>55</v>
      </c>
      <c r="C2474" s="60" t="str">
        <f t="shared" si="159"/>
        <v>21119,01</v>
      </c>
      <c r="D2474" s="60">
        <f>COUNTIF($K$7:K2474,K2474)</f>
        <v>21</v>
      </c>
      <c r="E2474" s="61"/>
      <c r="F2474" s="239">
        <v>44610</v>
      </c>
      <c r="G2474" s="232"/>
      <c r="H2474" s="61" t="s">
        <v>1305</v>
      </c>
      <c r="I2474" s="63" t="s">
        <v>1405</v>
      </c>
      <c r="J2474" s="76">
        <v>119</v>
      </c>
      <c r="K2474" s="75">
        <v>119.01</v>
      </c>
      <c r="L2474" s="65">
        <v>1207000</v>
      </c>
      <c r="M2474" s="223"/>
      <c r="N2474" s="223"/>
      <c r="O2474" s="61"/>
      <c r="P2474" s="69" t="str">
        <f t="shared" si="160"/>
        <v>Uang Muka Biaya Pengiriman dan Perjalanan Dinas Marketing</v>
      </c>
      <c r="Q2474" s="61"/>
    </row>
    <row r="2475" spans="1:17" hidden="1" x14ac:dyDescent="0.25">
      <c r="A2475" s="60" t="str">
        <f t="shared" si="158"/>
        <v>56119</v>
      </c>
      <c r="B2475" s="60">
        <f>COUNTIF($J$7:J2475,J2475)</f>
        <v>56</v>
      </c>
      <c r="C2475" s="60" t="str">
        <f t="shared" si="159"/>
        <v>23119,02</v>
      </c>
      <c r="D2475" s="60">
        <f>COUNTIF($K$7:K2475,K2475)</f>
        <v>23</v>
      </c>
      <c r="E2475" s="61"/>
      <c r="F2475" s="239">
        <v>44610</v>
      </c>
      <c r="G2475" s="232"/>
      <c r="H2475" s="61" t="s">
        <v>1283</v>
      </c>
      <c r="I2475" s="243" t="s">
        <v>1406</v>
      </c>
      <c r="J2475" s="76">
        <v>119</v>
      </c>
      <c r="K2475" s="75">
        <v>119.02</v>
      </c>
      <c r="L2475" s="61"/>
      <c r="M2475" s="65">
        <v>2000000</v>
      </c>
      <c r="N2475" s="65"/>
      <c r="O2475" s="264">
        <f>M2475-SUM(L2476:L2492)</f>
        <v>1048400</v>
      </c>
      <c r="P2475" s="69" t="str">
        <f t="shared" si="160"/>
        <v>Uang Muka Biaya Pengiriman dan Perjalanan Dinas Marketing</v>
      </c>
      <c r="Q2475" s="61"/>
    </row>
    <row r="2476" spans="1:17" hidden="1" x14ac:dyDescent="0.25">
      <c r="A2476" s="60" t="str">
        <f t="shared" si="158"/>
        <v>88511,04</v>
      </c>
      <c r="B2476" s="60">
        <f>COUNTIF($J$7:J2476,J2476)</f>
        <v>88</v>
      </c>
      <c r="C2476" s="60" t="str">
        <f t="shared" si="159"/>
        <v>0</v>
      </c>
      <c r="D2476" s="60">
        <f>COUNTIF($K$7:K2476,K2476)</f>
        <v>0</v>
      </c>
      <c r="E2476" s="61"/>
      <c r="F2476" s="239">
        <v>44615</v>
      </c>
      <c r="G2476" s="232"/>
      <c r="H2476" s="61" t="s">
        <v>1283</v>
      </c>
      <c r="I2476" s="243" t="s">
        <v>1407</v>
      </c>
      <c r="J2476" s="64">
        <v>511.04</v>
      </c>
      <c r="K2476" s="75"/>
      <c r="L2476" s="257">
        <v>210000</v>
      </c>
      <c r="M2476" s="61"/>
      <c r="N2476" s="61"/>
      <c r="O2476" s="61"/>
      <c r="P2476" s="69" t="str">
        <f t="shared" si="160"/>
        <v>Biaya pengiriman Via Online (Gojek,Grab), Kuli</v>
      </c>
      <c r="Q2476" s="61"/>
    </row>
    <row r="2477" spans="1:17" hidden="1" x14ac:dyDescent="0.25">
      <c r="A2477" s="60" t="str">
        <f t="shared" si="158"/>
        <v>140511,05</v>
      </c>
      <c r="B2477" s="60">
        <f>COUNTIF($J$7:J2477,J2477)</f>
        <v>140</v>
      </c>
      <c r="C2477" s="60" t="str">
        <f t="shared" si="159"/>
        <v>0</v>
      </c>
      <c r="D2477" s="60">
        <f>COUNTIF($K$7:K2477,K2477)</f>
        <v>0</v>
      </c>
      <c r="E2477" s="61"/>
      <c r="F2477" s="239">
        <v>44614</v>
      </c>
      <c r="G2477" s="232"/>
      <c r="H2477" s="61" t="s">
        <v>1283</v>
      </c>
      <c r="I2477" s="243" t="s">
        <v>1408</v>
      </c>
      <c r="J2477" s="61">
        <v>511.05</v>
      </c>
      <c r="K2477" s="75"/>
      <c r="L2477" s="257">
        <v>4000</v>
      </c>
      <c r="M2477" s="61"/>
      <c r="N2477" s="61"/>
      <c r="O2477" s="61"/>
      <c r="P2477" s="69" t="str">
        <f t="shared" si="160"/>
        <v>Biaya Transport Pengiriman Bensin, Parkir, Tol</v>
      </c>
      <c r="Q2477" s="61"/>
    </row>
    <row r="2478" spans="1:17" hidden="1" x14ac:dyDescent="0.25">
      <c r="A2478" s="60" t="str">
        <f t="shared" si="158"/>
        <v>141511,05</v>
      </c>
      <c r="B2478" s="60">
        <f>COUNTIF($J$7:J2478,J2478)</f>
        <v>141</v>
      </c>
      <c r="C2478" s="60" t="str">
        <f t="shared" si="159"/>
        <v>0</v>
      </c>
      <c r="D2478" s="60">
        <f>COUNTIF($K$7:K2478,K2478)</f>
        <v>0</v>
      </c>
      <c r="E2478" s="61"/>
      <c r="F2478" s="239">
        <v>44615</v>
      </c>
      <c r="G2478" s="232"/>
      <c r="H2478" s="61" t="s">
        <v>1283</v>
      </c>
      <c r="I2478" s="243" t="s">
        <v>1409</v>
      </c>
      <c r="J2478" s="61">
        <v>511.05</v>
      </c>
      <c r="K2478" s="75"/>
      <c r="L2478" s="257">
        <v>8000</v>
      </c>
      <c r="M2478" s="61"/>
      <c r="N2478" s="61"/>
      <c r="O2478" s="61"/>
      <c r="P2478" s="69" t="str">
        <f t="shared" si="160"/>
        <v>Biaya Transport Pengiriman Bensin, Parkir, Tol</v>
      </c>
      <c r="Q2478" s="61"/>
    </row>
    <row r="2479" spans="1:17" hidden="1" x14ac:dyDescent="0.25">
      <c r="A2479" s="60" t="str">
        <f t="shared" si="158"/>
        <v>142511,05</v>
      </c>
      <c r="B2479" s="60">
        <f>COUNTIF($J$7:J2479,J2479)</f>
        <v>142</v>
      </c>
      <c r="C2479" s="60" t="str">
        <f t="shared" si="159"/>
        <v>0</v>
      </c>
      <c r="D2479" s="60">
        <f>COUNTIF($K$7:K2479,K2479)</f>
        <v>0</v>
      </c>
      <c r="E2479" s="61"/>
      <c r="F2479" s="239">
        <v>44615</v>
      </c>
      <c r="G2479" s="232"/>
      <c r="H2479" s="61" t="s">
        <v>1283</v>
      </c>
      <c r="I2479" s="243" t="s">
        <v>1410</v>
      </c>
      <c r="J2479" s="61">
        <v>511.05</v>
      </c>
      <c r="K2479" s="75"/>
      <c r="L2479" s="257">
        <v>20000</v>
      </c>
      <c r="M2479" s="61"/>
      <c r="N2479" s="61"/>
      <c r="O2479" s="61"/>
      <c r="P2479" s="69" t="str">
        <f t="shared" si="160"/>
        <v>Biaya Transport Pengiriman Bensin, Parkir, Tol</v>
      </c>
      <c r="Q2479" s="61"/>
    </row>
    <row r="2480" spans="1:17" hidden="1" x14ac:dyDescent="0.25">
      <c r="A2480" s="60" t="str">
        <f t="shared" si="158"/>
        <v>143511,05</v>
      </c>
      <c r="B2480" s="60">
        <f>COUNTIF($J$7:J2480,J2480)</f>
        <v>143</v>
      </c>
      <c r="C2480" s="60" t="str">
        <f t="shared" si="159"/>
        <v>0</v>
      </c>
      <c r="D2480" s="60">
        <f>COUNTIF($K$7:K2480,K2480)</f>
        <v>0</v>
      </c>
      <c r="E2480" s="61"/>
      <c r="F2480" s="239">
        <v>44615</v>
      </c>
      <c r="G2480" s="232"/>
      <c r="H2480" s="61" t="s">
        <v>1283</v>
      </c>
      <c r="I2480" s="243" t="s">
        <v>1411</v>
      </c>
      <c r="J2480" s="61">
        <v>511.05</v>
      </c>
      <c r="K2480" s="75"/>
      <c r="L2480" s="257">
        <v>4000</v>
      </c>
      <c r="M2480" s="61"/>
      <c r="N2480" s="61"/>
      <c r="O2480" s="61"/>
      <c r="P2480" s="69" t="str">
        <f t="shared" si="160"/>
        <v>Biaya Transport Pengiriman Bensin, Parkir, Tol</v>
      </c>
      <c r="Q2480" s="61"/>
    </row>
    <row r="2481" spans="1:17" hidden="1" x14ac:dyDescent="0.25">
      <c r="A2481" s="60" t="str">
        <f t="shared" si="158"/>
        <v>56511,03</v>
      </c>
      <c r="B2481" s="60">
        <f>COUNTIF($J$7:J2481,J2481)</f>
        <v>56</v>
      </c>
      <c r="C2481" s="60" t="str">
        <f t="shared" si="159"/>
        <v>0</v>
      </c>
      <c r="D2481" s="60">
        <f>COUNTIF($K$7:K2481,K2481)</f>
        <v>0</v>
      </c>
      <c r="E2481" s="61"/>
      <c r="F2481" s="239">
        <v>44615</v>
      </c>
      <c r="G2481" s="232"/>
      <c r="H2481" s="61" t="s">
        <v>1283</v>
      </c>
      <c r="I2481" s="243" t="s">
        <v>1412</v>
      </c>
      <c r="J2481" s="61">
        <v>511.03</v>
      </c>
      <c r="K2481" s="75"/>
      <c r="L2481" s="257">
        <v>176000</v>
      </c>
      <c r="M2481" s="61"/>
      <c r="N2481" s="61"/>
      <c r="O2481" s="61"/>
      <c r="P2481" s="69" t="str">
        <f t="shared" si="160"/>
        <v>Biaya Pengiriman Barang Ekspedisi</v>
      </c>
      <c r="Q2481" s="61"/>
    </row>
    <row r="2482" spans="1:17" hidden="1" x14ac:dyDescent="0.25">
      <c r="A2482" s="60" t="str">
        <f t="shared" si="158"/>
        <v>89511,04</v>
      </c>
      <c r="B2482" s="60">
        <f>COUNTIF($J$7:J2482,J2482)</f>
        <v>89</v>
      </c>
      <c r="C2482" s="60" t="str">
        <f t="shared" si="159"/>
        <v>0</v>
      </c>
      <c r="D2482" s="60">
        <f>COUNTIF($K$7:K2482,K2482)</f>
        <v>0</v>
      </c>
      <c r="E2482" s="61"/>
      <c r="F2482" s="239">
        <v>44617</v>
      </c>
      <c r="G2482" s="232"/>
      <c r="H2482" s="61" t="s">
        <v>1283</v>
      </c>
      <c r="I2482" s="243" t="s">
        <v>1413</v>
      </c>
      <c r="J2482" s="64">
        <v>511.04</v>
      </c>
      <c r="K2482" s="75"/>
      <c r="L2482" s="257">
        <v>210000</v>
      </c>
      <c r="M2482" s="61"/>
      <c r="N2482" s="61"/>
      <c r="O2482" s="61"/>
      <c r="P2482" s="69" t="str">
        <f t="shared" si="160"/>
        <v>Biaya pengiriman Via Online (Gojek,Grab), Kuli</v>
      </c>
      <c r="Q2482" s="61"/>
    </row>
    <row r="2483" spans="1:17" hidden="1" x14ac:dyDescent="0.25">
      <c r="A2483" s="60" t="str">
        <f t="shared" si="158"/>
        <v>144511,05</v>
      </c>
      <c r="B2483" s="60">
        <f>COUNTIF($J$7:J2483,J2483)</f>
        <v>144</v>
      </c>
      <c r="C2483" s="60" t="str">
        <f t="shared" si="159"/>
        <v>0</v>
      </c>
      <c r="D2483" s="60">
        <f>COUNTIF($K$7:K2483,K2483)</f>
        <v>0</v>
      </c>
      <c r="E2483" s="61"/>
      <c r="F2483" s="239">
        <v>44616</v>
      </c>
      <c r="G2483" s="232"/>
      <c r="H2483" s="61" t="s">
        <v>1283</v>
      </c>
      <c r="I2483" s="243" t="s">
        <v>1414</v>
      </c>
      <c r="J2483" s="61">
        <v>511.05</v>
      </c>
      <c r="K2483" s="75"/>
      <c r="L2483" s="257">
        <v>20000</v>
      </c>
      <c r="M2483" s="61"/>
      <c r="N2483" s="61"/>
      <c r="O2483" s="61"/>
      <c r="P2483" s="69" t="str">
        <f t="shared" si="160"/>
        <v>Biaya Transport Pengiriman Bensin, Parkir, Tol</v>
      </c>
      <c r="Q2483" s="61"/>
    </row>
    <row r="2484" spans="1:17" hidden="1" x14ac:dyDescent="0.25">
      <c r="A2484" s="60" t="str">
        <f t="shared" si="158"/>
        <v>145511,05</v>
      </c>
      <c r="B2484" s="60">
        <f>COUNTIF($J$7:J2484,J2484)</f>
        <v>145</v>
      </c>
      <c r="C2484" s="60" t="str">
        <f t="shared" si="159"/>
        <v>0</v>
      </c>
      <c r="D2484" s="60">
        <f>COUNTIF($K$7:K2484,K2484)</f>
        <v>0</v>
      </c>
      <c r="E2484" s="61"/>
      <c r="F2484" s="239">
        <v>44616</v>
      </c>
      <c r="G2484" s="232"/>
      <c r="H2484" s="61" t="s">
        <v>1283</v>
      </c>
      <c r="I2484" s="243" t="s">
        <v>1415</v>
      </c>
      <c r="J2484" s="61">
        <v>511.05</v>
      </c>
      <c r="K2484" s="75"/>
      <c r="L2484" s="257">
        <v>2000</v>
      </c>
      <c r="M2484" s="61"/>
      <c r="N2484" s="61"/>
      <c r="O2484" s="61"/>
      <c r="P2484" s="69" t="str">
        <f t="shared" si="160"/>
        <v>Biaya Transport Pengiriman Bensin, Parkir, Tol</v>
      </c>
      <c r="Q2484" s="61"/>
    </row>
    <row r="2485" spans="1:17" hidden="1" x14ac:dyDescent="0.25">
      <c r="A2485" s="60" t="str">
        <f t="shared" si="158"/>
        <v>146511,05</v>
      </c>
      <c r="B2485" s="60">
        <f>COUNTIF($J$7:J2485,J2485)</f>
        <v>146</v>
      </c>
      <c r="C2485" s="60" t="str">
        <f t="shared" si="159"/>
        <v>0</v>
      </c>
      <c r="D2485" s="60">
        <f>COUNTIF($K$7:K2485,K2485)</f>
        <v>0</v>
      </c>
      <c r="E2485" s="61"/>
      <c r="F2485" s="239">
        <v>44617</v>
      </c>
      <c r="G2485" s="232"/>
      <c r="H2485" s="61" t="s">
        <v>1283</v>
      </c>
      <c r="I2485" s="243" t="s">
        <v>1416</v>
      </c>
      <c r="J2485" s="61">
        <v>511.05</v>
      </c>
      <c r="K2485" s="75"/>
      <c r="L2485" s="257">
        <v>8000</v>
      </c>
      <c r="M2485" s="61"/>
      <c r="N2485" s="61"/>
      <c r="O2485" s="61"/>
      <c r="P2485" s="69" t="str">
        <f t="shared" si="160"/>
        <v>Biaya Transport Pengiriman Bensin, Parkir, Tol</v>
      </c>
      <c r="Q2485" s="61"/>
    </row>
    <row r="2486" spans="1:17" hidden="1" x14ac:dyDescent="0.25">
      <c r="A2486" s="60" t="str">
        <f t="shared" si="158"/>
        <v>147511,05</v>
      </c>
      <c r="B2486" s="60">
        <f>COUNTIF($J$7:J2486,J2486)</f>
        <v>147</v>
      </c>
      <c r="C2486" s="60" t="str">
        <f t="shared" si="159"/>
        <v>0</v>
      </c>
      <c r="D2486" s="60">
        <f>COUNTIF($K$7:K2486,K2486)</f>
        <v>0</v>
      </c>
      <c r="E2486" s="61"/>
      <c r="F2486" s="239">
        <v>44617</v>
      </c>
      <c r="G2486" s="232"/>
      <c r="H2486" s="61" t="s">
        <v>1283</v>
      </c>
      <c r="I2486" s="243" t="s">
        <v>1417</v>
      </c>
      <c r="J2486" s="61">
        <v>511.05</v>
      </c>
      <c r="K2486" s="75"/>
      <c r="L2486" s="257">
        <v>8000</v>
      </c>
      <c r="M2486" s="61"/>
      <c r="N2486" s="61"/>
      <c r="O2486" s="61"/>
      <c r="P2486" s="69" t="str">
        <f t="shared" si="160"/>
        <v>Biaya Transport Pengiriman Bensin, Parkir, Tol</v>
      </c>
      <c r="Q2486" s="61"/>
    </row>
    <row r="2487" spans="1:17" hidden="1" x14ac:dyDescent="0.25">
      <c r="A2487" s="60" t="str">
        <f t="shared" si="158"/>
        <v>148511,05</v>
      </c>
      <c r="B2487" s="60">
        <f>COUNTIF($J$7:J2487,J2487)</f>
        <v>148</v>
      </c>
      <c r="C2487" s="60" t="str">
        <f t="shared" si="159"/>
        <v>0</v>
      </c>
      <c r="D2487" s="60">
        <f>COUNTIF($K$7:K2487,K2487)</f>
        <v>0</v>
      </c>
      <c r="E2487" s="61"/>
      <c r="F2487" s="239">
        <v>44617</v>
      </c>
      <c r="G2487" s="232"/>
      <c r="H2487" s="61" t="s">
        <v>1283</v>
      </c>
      <c r="I2487" s="243" t="s">
        <v>1418</v>
      </c>
      <c r="J2487" s="61">
        <v>511.05</v>
      </c>
      <c r="K2487" s="75"/>
      <c r="L2487" s="257">
        <v>4000</v>
      </c>
      <c r="M2487" s="61"/>
      <c r="N2487" s="61"/>
      <c r="O2487" s="61"/>
      <c r="P2487" s="69" t="str">
        <f t="shared" si="160"/>
        <v>Biaya Transport Pengiriman Bensin, Parkir, Tol</v>
      </c>
      <c r="Q2487" s="61"/>
    </row>
    <row r="2488" spans="1:17" hidden="1" x14ac:dyDescent="0.25">
      <c r="A2488" s="60" t="str">
        <f t="shared" si="158"/>
        <v>29610,1</v>
      </c>
      <c r="B2488" s="60">
        <f>COUNTIF($J$7:J2488,J2488)</f>
        <v>29</v>
      </c>
      <c r="C2488" s="60" t="str">
        <f t="shared" si="159"/>
        <v>0</v>
      </c>
      <c r="D2488" s="60">
        <f>COUNTIF($K$7:K2488,K2488)</f>
        <v>0</v>
      </c>
      <c r="E2488" s="61"/>
      <c r="F2488" s="239">
        <v>44617</v>
      </c>
      <c r="G2488" s="232"/>
      <c r="H2488" s="61" t="s">
        <v>1283</v>
      </c>
      <c r="I2488" s="243" t="s">
        <v>694</v>
      </c>
      <c r="J2488" s="61">
        <v>610.1</v>
      </c>
      <c r="K2488" s="75"/>
      <c r="L2488" s="257">
        <v>36000</v>
      </c>
      <c r="M2488" s="61"/>
      <c r="N2488" s="61"/>
      <c r="O2488" s="61"/>
      <c r="P2488" s="69" t="str">
        <f t="shared" si="160"/>
        <v>Biaya Rumah Tangga Kantor</v>
      </c>
      <c r="Q2488" s="61"/>
    </row>
    <row r="2489" spans="1:17" hidden="1" x14ac:dyDescent="0.25">
      <c r="A2489" s="60" t="str">
        <f t="shared" si="158"/>
        <v>149511,05</v>
      </c>
      <c r="B2489" s="60">
        <f>COUNTIF($J$7:J2489,J2489)</f>
        <v>149</v>
      </c>
      <c r="C2489" s="60" t="str">
        <f t="shared" si="159"/>
        <v>0</v>
      </c>
      <c r="D2489" s="60">
        <f>COUNTIF($K$7:K2489,K2489)</f>
        <v>0</v>
      </c>
      <c r="E2489" s="61"/>
      <c r="F2489" s="239">
        <v>44617</v>
      </c>
      <c r="G2489" s="232"/>
      <c r="H2489" s="61" t="s">
        <v>1283</v>
      </c>
      <c r="I2489" s="243" t="s">
        <v>1419</v>
      </c>
      <c r="J2489" s="61">
        <v>511.05</v>
      </c>
      <c r="K2489" s="75"/>
      <c r="L2489" s="257">
        <v>16600</v>
      </c>
      <c r="M2489" s="61"/>
      <c r="N2489" s="61"/>
      <c r="O2489" s="61"/>
      <c r="P2489" s="69" t="str">
        <f t="shared" si="160"/>
        <v>Biaya Transport Pengiriman Bensin, Parkir, Tol</v>
      </c>
      <c r="Q2489" s="61"/>
    </row>
    <row r="2490" spans="1:17" hidden="1" x14ac:dyDescent="0.25">
      <c r="A2490" s="60" t="str">
        <f t="shared" si="158"/>
        <v>150511,05</v>
      </c>
      <c r="B2490" s="60">
        <f>COUNTIF($J$7:J2490,J2490)</f>
        <v>150</v>
      </c>
      <c r="C2490" s="60" t="str">
        <f t="shared" si="159"/>
        <v>0</v>
      </c>
      <c r="D2490" s="60">
        <f>COUNTIF($K$7:K2490,K2490)</f>
        <v>0</v>
      </c>
      <c r="E2490" s="61"/>
      <c r="F2490" s="239">
        <v>44617</v>
      </c>
      <c r="G2490" s="232"/>
      <c r="H2490" s="61" t="s">
        <v>1283</v>
      </c>
      <c r="I2490" s="243" t="s">
        <v>1420</v>
      </c>
      <c r="J2490" s="61">
        <v>511.05</v>
      </c>
      <c r="K2490" s="75"/>
      <c r="L2490" s="257">
        <v>2000</v>
      </c>
      <c r="M2490" s="61"/>
      <c r="N2490" s="61"/>
      <c r="O2490" s="61"/>
      <c r="P2490" s="69" t="str">
        <f t="shared" si="160"/>
        <v>Biaya Transport Pengiriman Bensin, Parkir, Tol</v>
      </c>
      <c r="Q2490" s="61"/>
    </row>
    <row r="2491" spans="1:17" hidden="1" x14ac:dyDescent="0.25">
      <c r="A2491" s="60" t="str">
        <f t="shared" si="158"/>
        <v>57511,03</v>
      </c>
      <c r="B2491" s="60">
        <f>COUNTIF($J$7:J2491,J2491)</f>
        <v>57</v>
      </c>
      <c r="C2491" s="60" t="str">
        <f t="shared" si="159"/>
        <v>0</v>
      </c>
      <c r="D2491" s="60">
        <f>COUNTIF($K$7:K2491,K2491)</f>
        <v>0</v>
      </c>
      <c r="E2491" s="61"/>
      <c r="F2491" s="239">
        <v>44617</v>
      </c>
      <c r="G2491" s="232"/>
      <c r="H2491" s="61" t="s">
        <v>1283</v>
      </c>
      <c r="I2491" s="243" t="s">
        <v>1421</v>
      </c>
      <c r="J2491" s="61">
        <v>511.03</v>
      </c>
      <c r="K2491" s="75"/>
      <c r="L2491" s="257">
        <v>198000</v>
      </c>
      <c r="M2491" s="61"/>
      <c r="N2491" s="61"/>
      <c r="O2491" s="61"/>
      <c r="P2491" s="69" t="str">
        <f t="shared" si="160"/>
        <v>Biaya Pengiriman Barang Ekspedisi</v>
      </c>
      <c r="Q2491" s="61"/>
    </row>
    <row r="2492" spans="1:17" hidden="1" x14ac:dyDescent="0.25">
      <c r="A2492" s="60" t="str">
        <f t="shared" si="158"/>
        <v>58511,03</v>
      </c>
      <c r="B2492" s="60">
        <f>COUNTIF($J$7:J2492,J2492)</f>
        <v>58</v>
      </c>
      <c r="C2492" s="60" t="str">
        <f t="shared" si="159"/>
        <v>0</v>
      </c>
      <c r="D2492" s="60">
        <f>COUNTIF($K$7:K2492,K2492)</f>
        <v>0</v>
      </c>
      <c r="E2492" s="61"/>
      <c r="F2492" s="239">
        <v>44617</v>
      </c>
      <c r="G2492" s="232"/>
      <c r="H2492" s="61" t="s">
        <v>1283</v>
      </c>
      <c r="I2492" s="243" t="s">
        <v>1422</v>
      </c>
      <c r="J2492" s="61">
        <v>511.03</v>
      </c>
      <c r="K2492" s="75"/>
      <c r="L2492" s="257">
        <v>25000</v>
      </c>
      <c r="M2492" s="61"/>
      <c r="N2492" s="61"/>
      <c r="O2492" s="61"/>
      <c r="P2492" s="69" t="str">
        <f t="shared" si="160"/>
        <v>Biaya Pengiriman Barang Ekspedisi</v>
      </c>
      <c r="Q2492" s="61"/>
    </row>
    <row r="2493" spans="1:17" hidden="1" x14ac:dyDescent="0.25">
      <c r="A2493" s="60" t="str">
        <f t="shared" si="158"/>
        <v>57119</v>
      </c>
      <c r="B2493" s="60">
        <f>COUNTIF($J$7:J2493,J2493)</f>
        <v>57</v>
      </c>
      <c r="C2493" s="60" t="str">
        <f t="shared" si="159"/>
        <v>24119,02</v>
      </c>
      <c r="D2493" s="60">
        <f>COUNTIF($K$7:K2493,K2493)</f>
        <v>24</v>
      </c>
      <c r="E2493" s="61"/>
      <c r="F2493" s="239">
        <v>44617</v>
      </c>
      <c r="G2493" s="232"/>
      <c r="H2493" s="61" t="s">
        <v>1283</v>
      </c>
      <c r="I2493" s="243" t="s">
        <v>1423</v>
      </c>
      <c r="J2493" s="76">
        <v>119</v>
      </c>
      <c r="K2493" s="75">
        <v>119.02</v>
      </c>
      <c r="L2493" s="257">
        <v>854400</v>
      </c>
      <c r="M2493" s="61"/>
      <c r="N2493" s="61"/>
      <c r="O2493" s="61"/>
      <c r="P2493" s="69" t="str">
        <f t="shared" si="160"/>
        <v>Uang Muka Biaya Pengiriman dan Perjalanan Dinas Marketing</v>
      </c>
      <c r="Q2493" s="61"/>
    </row>
    <row r="2494" spans="1:17" hidden="1" x14ac:dyDescent="0.25">
      <c r="A2494" s="60" t="str">
        <f t="shared" si="158"/>
        <v>58119</v>
      </c>
      <c r="B2494" s="60">
        <f>COUNTIF($J$7:J2494,J2494)</f>
        <v>58</v>
      </c>
      <c r="C2494" s="60" t="str">
        <f t="shared" si="159"/>
        <v>2119,03</v>
      </c>
      <c r="D2494" s="60">
        <f>COUNTIF($K$7:K2494,K2494)</f>
        <v>2</v>
      </c>
      <c r="E2494" s="61"/>
      <c r="F2494" s="239">
        <v>44600</v>
      </c>
      <c r="G2494" s="232"/>
      <c r="H2494" s="61" t="s">
        <v>764</v>
      </c>
      <c r="I2494" s="243" t="s">
        <v>1424</v>
      </c>
      <c r="J2494" s="76">
        <v>119</v>
      </c>
      <c r="K2494" s="75">
        <v>119.03</v>
      </c>
      <c r="L2494" s="61"/>
      <c r="M2494" s="65">
        <v>1000000</v>
      </c>
      <c r="N2494" s="65"/>
      <c r="O2494" s="264">
        <f>M2494-SUM(L2495:L2516)</f>
        <v>-58500</v>
      </c>
      <c r="P2494" s="69" t="str">
        <f t="shared" si="160"/>
        <v>Uang Muka Biaya Pengiriman dan Perjalanan Dinas Marketing</v>
      </c>
      <c r="Q2494" s="61"/>
    </row>
    <row r="2495" spans="1:17" hidden="1" x14ac:dyDescent="0.25">
      <c r="A2495" s="60" t="str">
        <f t="shared" si="158"/>
        <v>90511,04</v>
      </c>
      <c r="B2495" s="60">
        <f>COUNTIF($J$7:J2495,J2495)</f>
        <v>90</v>
      </c>
      <c r="C2495" s="60" t="str">
        <f t="shared" si="159"/>
        <v>0</v>
      </c>
      <c r="D2495" s="60">
        <f>COUNTIF($K$7:K2495,K2495)</f>
        <v>0</v>
      </c>
      <c r="E2495" s="61"/>
      <c r="F2495" s="239">
        <v>44606</v>
      </c>
      <c r="G2495" s="232"/>
      <c r="H2495" s="61" t="s">
        <v>764</v>
      </c>
      <c r="I2495" s="243" t="s">
        <v>1425</v>
      </c>
      <c r="J2495" s="61">
        <v>511.04</v>
      </c>
      <c r="K2495" s="75"/>
      <c r="L2495" s="257">
        <v>141000</v>
      </c>
      <c r="M2495" s="223"/>
      <c r="N2495" s="223"/>
      <c r="O2495" s="61"/>
      <c r="P2495" s="69" t="str">
        <f t="shared" si="160"/>
        <v>Biaya pengiriman Via Online (Gojek,Grab), Kuli</v>
      </c>
      <c r="Q2495" s="61"/>
    </row>
    <row r="2496" spans="1:17" hidden="1" x14ac:dyDescent="0.25">
      <c r="A2496" s="60" t="str">
        <f t="shared" si="158"/>
        <v>91511,04</v>
      </c>
      <c r="B2496" s="60">
        <f>COUNTIF($J$7:J2496,J2496)</f>
        <v>91</v>
      </c>
      <c r="C2496" s="60" t="str">
        <f t="shared" si="159"/>
        <v>0</v>
      </c>
      <c r="D2496" s="60">
        <f>COUNTIF($K$7:K2496,K2496)</f>
        <v>0</v>
      </c>
      <c r="E2496" s="61"/>
      <c r="F2496" s="239">
        <v>44607</v>
      </c>
      <c r="G2496" s="232"/>
      <c r="H2496" s="61" t="s">
        <v>764</v>
      </c>
      <c r="I2496" s="243" t="s">
        <v>1426</v>
      </c>
      <c r="J2496" s="61">
        <v>511.04</v>
      </c>
      <c r="K2496" s="75"/>
      <c r="L2496" s="257">
        <v>141000</v>
      </c>
      <c r="M2496" s="223"/>
      <c r="N2496" s="223"/>
      <c r="O2496" s="61"/>
      <c r="P2496" s="69" t="str">
        <f t="shared" si="160"/>
        <v>Biaya pengiriman Via Online (Gojek,Grab), Kuli</v>
      </c>
      <c r="Q2496" s="61"/>
    </row>
    <row r="2497" spans="1:17" hidden="1" x14ac:dyDescent="0.25">
      <c r="A2497" s="60" t="str">
        <f t="shared" si="158"/>
        <v>151511,05</v>
      </c>
      <c r="B2497" s="60">
        <f>COUNTIF($J$7:J2497,J2497)</f>
        <v>151</v>
      </c>
      <c r="C2497" s="60" t="str">
        <f t="shared" si="159"/>
        <v>0</v>
      </c>
      <c r="D2497" s="60">
        <f>COUNTIF($K$7:K2497,K2497)</f>
        <v>0</v>
      </c>
      <c r="E2497" s="61"/>
      <c r="F2497" s="239">
        <v>44607</v>
      </c>
      <c r="G2497" s="232"/>
      <c r="H2497" s="61" t="s">
        <v>764</v>
      </c>
      <c r="I2497" s="243" t="s">
        <v>1427</v>
      </c>
      <c r="J2497" s="61">
        <v>511.05</v>
      </c>
      <c r="K2497" s="75"/>
      <c r="L2497" s="257">
        <v>16000</v>
      </c>
      <c r="M2497" s="223"/>
      <c r="N2497" s="223"/>
      <c r="O2497" s="61"/>
      <c r="P2497" s="69" t="str">
        <f t="shared" si="160"/>
        <v>Biaya Transport Pengiriman Bensin, Parkir, Tol</v>
      </c>
      <c r="Q2497" s="61"/>
    </row>
    <row r="2498" spans="1:17" hidden="1" x14ac:dyDescent="0.25">
      <c r="A2498" s="60" t="str">
        <f t="shared" si="158"/>
        <v>152511,05</v>
      </c>
      <c r="B2498" s="60">
        <f>COUNTIF($J$7:J2498,J2498)</f>
        <v>152</v>
      </c>
      <c r="C2498" s="60" t="str">
        <f t="shared" si="159"/>
        <v>0</v>
      </c>
      <c r="D2498" s="60">
        <f>COUNTIF($K$7:K2498,K2498)</f>
        <v>0</v>
      </c>
      <c r="E2498" s="61"/>
      <c r="F2498" s="239">
        <v>44606</v>
      </c>
      <c r="G2498" s="232"/>
      <c r="H2498" s="61" t="s">
        <v>764</v>
      </c>
      <c r="I2498" s="243" t="s">
        <v>1428</v>
      </c>
      <c r="J2498" s="61">
        <v>511.05</v>
      </c>
      <c r="K2498" s="75"/>
      <c r="L2498" s="257">
        <v>16000</v>
      </c>
      <c r="M2498" s="223"/>
      <c r="N2498" s="223"/>
      <c r="O2498" s="61"/>
      <c r="P2498" s="69" t="str">
        <f t="shared" si="160"/>
        <v>Biaya Transport Pengiriman Bensin, Parkir, Tol</v>
      </c>
      <c r="Q2498" s="61"/>
    </row>
    <row r="2499" spans="1:17" hidden="1" x14ac:dyDescent="0.25">
      <c r="A2499" s="60" t="str">
        <f t="shared" si="158"/>
        <v>153511,05</v>
      </c>
      <c r="B2499" s="60">
        <f>COUNTIF($J$7:J2499,J2499)</f>
        <v>153</v>
      </c>
      <c r="C2499" s="60" t="str">
        <f t="shared" si="159"/>
        <v>0</v>
      </c>
      <c r="D2499" s="60">
        <f>COUNTIF($K$7:K2499,K2499)</f>
        <v>0</v>
      </c>
      <c r="E2499" s="61"/>
      <c r="F2499" s="239">
        <v>44606</v>
      </c>
      <c r="G2499" s="232"/>
      <c r="H2499" s="61" t="s">
        <v>764</v>
      </c>
      <c r="I2499" s="243" t="s">
        <v>1429</v>
      </c>
      <c r="J2499" s="61">
        <v>511.05</v>
      </c>
      <c r="K2499" s="75"/>
      <c r="L2499" s="257">
        <v>8000</v>
      </c>
      <c r="M2499" s="223"/>
      <c r="N2499" s="223"/>
      <c r="O2499" s="61"/>
      <c r="P2499" s="69" t="str">
        <f t="shared" si="160"/>
        <v>Biaya Transport Pengiriman Bensin, Parkir, Tol</v>
      </c>
      <c r="Q2499" s="61"/>
    </row>
    <row r="2500" spans="1:17" hidden="1" x14ac:dyDescent="0.25">
      <c r="A2500" s="60" t="str">
        <f t="shared" si="158"/>
        <v>154511,05</v>
      </c>
      <c r="B2500" s="60">
        <f>COUNTIF($J$7:J2500,J2500)</f>
        <v>154</v>
      </c>
      <c r="C2500" s="60" t="str">
        <f t="shared" si="159"/>
        <v>0</v>
      </c>
      <c r="D2500" s="60">
        <f>COUNTIF($K$7:K2500,K2500)</f>
        <v>0</v>
      </c>
      <c r="E2500" s="61"/>
      <c r="F2500" s="239">
        <v>44607</v>
      </c>
      <c r="G2500" s="232"/>
      <c r="H2500" s="61" t="s">
        <v>764</v>
      </c>
      <c r="I2500" s="243" t="s">
        <v>1430</v>
      </c>
      <c r="J2500" s="61">
        <v>511.05</v>
      </c>
      <c r="K2500" s="75"/>
      <c r="L2500" s="257">
        <v>8000</v>
      </c>
      <c r="M2500" s="223"/>
      <c r="N2500" s="223"/>
      <c r="O2500" s="61"/>
      <c r="P2500" s="69" t="str">
        <f t="shared" si="160"/>
        <v>Biaya Transport Pengiriman Bensin, Parkir, Tol</v>
      </c>
      <c r="Q2500" s="61"/>
    </row>
    <row r="2501" spans="1:17" hidden="1" x14ac:dyDescent="0.25">
      <c r="A2501" s="60" t="str">
        <f t="shared" si="158"/>
        <v>155511,05</v>
      </c>
      <c r="B2501" s="60">
        <f>COUNTIF($J$7:J2501,J2501)</f>
        <v>155</v>
      </c>
      <c r="C2501" s="60" t="str">
        <f t="shared" si="159"/>
        <v>0</v>
      </c>
      <c r="D2501" s="60">
        <f>COUNTIF($K$7:K2501,K2501)</f>
        <v>0</v>
      </c>
      <c r="E2501" s="61"/>
      <c r="F2501" s="239">
        <v>44614</v>
      </c>
      <c r="G2501" s="232"/>
      <c r="H2501" s="61" t="s">
        <v>764</v>
      </c>
      <c r="I2501" s="243" t="s">
        <v>1431</v>
      </c>
      <c r="J2501" s="61">
        <v>511.05</v>
      </c>
      <c r="K2501" s="75"/>
      <c r="L2501" s="257">
        <v>20000</v>
      </c>
      <c r="M2501" s="223"/>
      <c r="N2501" s="223"/>
      <c r="O2501" s="61"/>
      <c r="P2501" s="69" t="str">
        <f t="shared" si="160"/>
        <v>Biaya Transport Pengiriman Bensin, Parkir, Tol</v>
      </c>
      <c r="Q2501" s="61"/>
    </row>
    <row r="2502" spans="1:17" hidden="1" x14ac:dyDescent="0.25">
      <c r="A2502" s="60" t="str">
        <f t="shared" si="158"/>
        <v>156511,05</v>
      </c>
      <c r="B2502" s="60">
        <f>COUNTIF($J$7:J2502,J2502)</f>
        <v>156</v>
      </c>
      <c r="C2502" s="60" t="str">
        <f t="shared" si="159"/>
        <v>0</v>
      </c>
      <c r="D2502" s="60">
        <f>COUNTIF($K$7:K2502,K2502)</f>
        <v>0</v>
      </c>
      <c r="E2502" s="61"/>
      <c r="F2502" s="239">
        <v>44615</v>
      </c>
      <c r="G2502" s="232"/>
      <c r="H2502" s="61" t="s">
        <v>764</v>
      </c>
      <c r="I2502" s="243" t="s">
        <v>1432</v>
      </c>
      <c r="J2502" s="61">
        <v>511.05</v>
      </c>
      <c r="K2502" s="75"/>
      <c r="L2502" s="257">
        <v>20000</v>
      </c>
      <c r="M2502" s="223"/>
      <c r="N2502" s="223"/>
      <c r="O2502" s="61"/>
      <c r="P2502" s="69" t="str">
        <f t="shared" si="160"/>
        <v>Biaya Transport Pengiriman Bensin, Parkir, Tol</v>
      </c>
      <c r="Q2502" s="61"/>
    </row>
    <row r="2503" spans="1:17" hidden="1" x14ac:dyDescent="0.25">
      <c r="A2503" s="60" t="str">
        <f t="shared" ref="A2503:A2566" si="161">B2503&amp;J2503</f>
        <v>157511,05</v>
      </c>
      <c r="B2503" s="60">
        <f>COUNTIF($J$7:J2503,J2503)</f>
        <v>157</v>
      </c>
      <c r="C2503" s="60" t="str">
        <f t="shared" ref="C2503:C2566" si="162">D2503&amp;K2503</f>
        <v>0</v>
      </c>
      <c r="D2503" s="60">
        <f>COUNTIF($K$7:K2503,K2503)</f>
        <v>0</v>
      </c>
      <c r="E2503" s="61"/>
      <c r="F2503" s="239">
        <v>44600</v>
      </c>
      <c r="G2503" s="232"/>
      <c r="H2503" s="61" t="s">
        <v>764</v>
      </c>
      <c r="I2503" s="243" t="s">
        <v>1433</v>
      </c>
      <c r="J2503" s="61">
        <v>511.05</v>
      </c>
      <c r="K2503" s="75"/>
      <c r="L2503" s="257">
        <v>20000</v>
      </c>
      <c r="M2503" s="223"/>
      <c r="N2503" s="223"/>
      <c r="O2503" s="61"/>
      <c r="P2503" s="69" t="str">
        <f t="shared" ref="P2503:P2566" si="163">IF(J2503=0,"-",+VLOOKUP(J2503,DAF_AKUN,2,FALSE))</f>
        <v>Biaya Transport Pengiriman Bensin, Parkir, Tol</v>
      </c>
      <c r="Q2503" s="61"/>
    </row>
    <row r="2504" spans="1:17" hidden="1" x14ac:dyDescent="0.25">
      <c r="A2504" s="60" t="str">
        <f t="shared" si="161"/>
        <v>158511,05</v>
      </c>
      <c r="B2504" s="60">
        <f>COUNTIF($J$7:J2504,J2504)</f>
        <v>158</v>
      </c>
      <c r="C2504" s="60" t="str">
        <f t="shared" si="162"/>
        <v>0</v>
      </c>
      <c r="D2504" s="60">
        <f>COUNTIF($K$7:K2504,K2504)</f>
        <v>0</v>
      </c>
      <c r="E2504" s="61"/>
      <c r="F2504" s="239">
        <v>44607</v>
      </c>
      <c r="G2504" s="232"/>
      <c r="H2504" s="61" t="s">
        <v>764</v>
      </c>
      <c r="I2504" s="243" t="s">
        <v>1434</v>
      </c>
      <c r="J2504" s="61">
        <v>511.05</v>
      </c>
      <c r="K2504" s="75"/>
      <c r="L2504" s="257">
        <v>20000</v>
      </c>
      <c r="M2504" s="223"/>
      <c r="N2504" s="223"/>
      <c r="O2504" s="61"/>
      <c r="P2504" s="69" t="str">
        <f t="shared" si="163"/>
        <v>Biaya Transport Pengiriman Bensin, Parkir, Tol</v>
      </c>
      <c r="Q2504" s="61"/>
    </row>
    <row r="2505" spans="1:17" hidden="1" x14ac:dyDescent="0.25">
      <c r="A2505" s="60" t="str">
        <f t="shared" si="161"/>
        <v>159511,05</v>
      </c>
      <c r="B2505" s="60">
        <f>COUNTIF($J$7:J2505,J2505)</f>
        <v>159</v>
      </c>
      <c r="C2505" s="60" t="str">
        <f t="shared" si="162"/>
        <v>0</v>
      </c>
      <c r="D2505" s="60">
        <f>COUNTIF($K$7:K2505,K2505)</f>
        <v>0</v>
      </c>
      <c r="E2505" s="61"/>
      <c r="F2505" s="239">
        <v>44606</v>
      </c>
      <c r="G2505" s="232"/>
      <c r="H2505" s="61" t="s">
        <v>764</v>
      </c>
      <c r="I2505" s="243" t="s">
        <v>1435</v>
      </c>
      <c r="J2505" s="61">
        <v>511.05</v>
      </c>
      <c r="K2505" s="75"/>
      <c r="L2505" s="257">
        <v>20000</v>
      </c>
      <c r="M2505" s="223"/>
      <c r="N2505" s="223"/>
      <c r="O2505" s="61"/>
      <c r="P2505" s="69" t="str">
        <f t="shared" si="163"/>
        <v>Biaya Transport Pengiriman Bensin, Parkir, Tol</v>
      </c>
      <c r="Q2505" s="61"/>
    </row>
    <row r="2506" spans="1:17" hidden="1" x14ac:dyDescent="0.25">
      <c r="A2506" s="60" t="str">
        <f t="shared" si="161"/>
        <v>160511,05</v>
      </c>
      <c r="B2506" s="60">
        <f>COUNTIF($J$7:J2506,J2506)</f>
        <v>160</v>
      </c>
      <c r="C2506" s="60" t="str">
        <f t="shared" si="162"/>
        <v>0</v>
      </c>
      <c r="D2506" s="60">
        <f>COUNTIF($K$7:K2506,K2506)</f>
        <v>0</v>
      </c>
      <c r="E2506" s="61"/>
      <c r="F2506" s="239">
        <v>44606</v>
      </c>
      <c r="G2506" s="232"/>
      <c r="H2506" s="61" t="s">
        <v>764</v>
      </c>
      <c r="I2506" s="243" t="s">
        <v>1436</v>
      </c>
      <c r="J2506" s="61">
        <v>511.05</v>
      </c>
      <c r="K2506" s="75"/>
      <c r="L2506" s="257">
        <v>2000</v>
      </c>
      <c r="M2506" s="223"/>
      <c r="N2506" s="223"/>
      <c r="O2506" s="61"/>
      <c r="P2506" s="69" t="str">
        <f t="shared" si="163"/>
        <v>Biaya Transport Pengiriman Bensin, Parkir, Tol</v>
      </c>
      <c r="Q2506" s="61"/>
    </row>
    <row r="2507" spans="1:17" hidden="1" x14ac:dyDescent="0.25">
      <c r="A2507" s="60" t="str">
        <f t="shared" si="161"/>
        <v>59511,03</v>
      </c>
      <c r="B2507" s="60">
        <f>COUNTIF($J$7:J2507,J2507)</f>
        <v>59</v>
      </c>
      <c r="C2507" s="60" t="str">
        <f t="shared" si="162"/>
        <v>0</v>
      </c>
      <c r="D2507" s="60">
        <f>COUNTIF($K$7:K2507,K2507)</f>
        <v>0</v>
      </c>
      <c r="E2507" s="61"/>
      <c r="F2507" s="239">
        <v>44613</v>
      </c>
      <c r="G2507" s="232"/>
      <c r="H2507" s="61" t="s">
        <v>764</v>
      </c>
      <c r="I2507" s="243" t="s">
        <v>1437</v>
      </c>
      <c r="J2507" s="61">
        <v>511.03</v>
      </c>
      <c r="K2507" s="75"/>
      <c r="L2507" s="257">
        <v>60500</v>
      </c>
      <c r="M2507" s="223"/>
      <c r="N2507" s="223"/>
      <c r="O2507" s="61"/>
      <c r="P2507" s="69" t="str">
        <f t="shared" si="163"/>
        <v>Biaya Pengiriman Barang Ekspedisi</v>
      </c>
      <c r="Q2507" s="61"/>
    </row>
    <row r="2508" spans="1:17" hidden="1" x14ac:dyDescent="0.25">
      <c r="A2508" s="60" t="str">
        <f t="shared" si="161"/>
        <v>60511,03</v>
      </c>
      <c r="B2508" s="60">
        <f>COUNTIF($J$7:J2508,J2508)</f>
        <v>60</v>
      </c>
      <c r="C2508" s="60" t="str">
        <f t="shared" si="162"/>
        <v>0</v>
      </c>
      <c r="D2508" s="60">
        <f>COUNTIF($K$7:K2508,K2508)</f>
        <v>0</v>
      </c>
      <c r="E2508" s="61"/>
      <c r="F2508" s="239">
        <v>44613</v>
      </c>
      <c r="G2508" s="232"/>
      <c r="H2508" s="61" t="s">
        <v>764</v>
      </c>
      <c r="I2508" s="243" t="s">
        <v>1438</v>
      </c>
      <c r="J2508" s="61">
        <v>511.03</v>
      </c>
      <c r="K2508" s="75"/>
      <c r="L2508" s="257">
        <v>144000</v>
      </c>
      <c r="M2508" s="223"/>
      <c r="N2508" s="223"/>
      <c r="O2508" s="61"/>
      <c r="P2508" s="69" t="str">
        <f t="shared" si="163"/>
        <v>Biaya Pengiriman Barang Ekspedisi</v>
      </c>
      <c r="Q2508" s="61"/>
    </row>
    <row r="2509" spans="1:17" hidden="1" x14ac:dyDescent="0.25">
      <c r="A2509" s="60" t="str">
        <f t="shared" si="161"/>
        <v>92511,04</v>
      </c>
      <c r="B2509" s="60">
        <f>COUNTIF($J$7:J2509,J2509)</f>
        <v>92</v>
      </c>
      <c r="C2509" s="60" t="str">
        <f t="shared" si="162"/>
        <v>0</v>
      </c>
      <c r="D2509" s="60">
        <f>COUNTIF($K$7:K2509,K2509)</f>
        <v>0</v>
      </c>
      <c r="E2509" s="61"/>
      <c r="F2509" s="239">
        <v>44615</v>
      </c>
      <c r="G2509" s="232"/>
      <c r="H2509" s="61" t="s">
        <v>764</v>
      </c>
      <c r="I2509" s="243" t="s">
        <v>1439</v>
      </c>
      <c r="J2509" s="61">
        <v>511.04</v>
      </c>
      <c r="K2509" s="75"/>
      <c r="L2509" s="257">
        <v>141000</v>
      </c>
      <c r="M2509" s="223"/>
      <c r="N2509" s="223"/>
      <c r="O2509" s="61"/>
      <c r="P2509" s="69" t="str">
        <f t="shared" si="163"/>
        <v>Biaya pengiriman Via Online (Gojek,Grab), Kuli</v>
      </c>
      <c r="Q2509" s="61"/>
    </row>
    <row r="2510" spans="1:17" hidden="1" x14ac:dyDescent="0.25">
      <c r="A2510" s="60" t="str">
        <f t="shared" si="161"/>
        <v>161511,05</v>
      </c>
      <c r="B2510" s="60">
        <f>COUNTIF($J$7:J2510,J2510)</f>
        <v>161</v>
      </c>
      <c r="C2510" s="60" t="str">
        <f t="shared" si="162"/>
        <v>0</v>
      </c>
      <c r="D2510" s="60">
        <f>COUNTIF($K$7:K2510,K2510)</f>
        <v>0</v>
      </c>
      <c r="E2510" s="61"/>
      <c r="F2510" s="239">
        <v>44615</v>
      </c>
      <c r="G2510" s="232"/>
      <c r="H2510" s="61" t="s">
        <v>764</v>
      </c>
      <c r="I2510" s="243" t="s">
        <v>1440</v>
      </c>
      <c r="J2510" s="61">
        <v>511.05</v>
      </c>
      <c r="K2510" s="75"/>
      <c r="L2510" s="257">
        <v>16000</v>
      </c>
      <c r="M2510" s="223"/>
      <c r="N2510" s="223"/>
      <c r="O2510" s="61"/>
      <c r="P2510" s="69" t="str">
        <f t="shared" si="163"/>
        <v>Biaya Transport Pengiriman Bensin, Parkir, Tol</v>
      </c>
      <c r="Q2510" s="61"/>
    </row>
    <row r="2511" spans="1:17" hidden="1" x14ac:dyDescent="0.25">
      <c r="A2511" s="60" t="str">
        <f t="shared" si="161"/>
        <v>162511,05</v>
      </c>
      <c r="B2511" s="60">
        <f>COUNTIF($J$7:J2511,J2511)</f>
        <v>162</v>
      </c>
      <c r="C2511" s="60" t="str">
        <f t="shared" si="162"/>
        <v>0</v>
      </c>
      <c r="D2511" s="60">
        <f>COUNTIF($K$7:K2511,K2511)</f>
        <v>0</v>
      </c>
      <c r="E2511" s="61"/>
      <c r="F2511" s="239">
        <v>44615</v>
      </c>
      <c r="G2511" s="232"/>
      <c r="H2511" s="61" t="s">
        <v>764</v>
      </c>
      <c r="I2511" s="243" t="s">
        <v>1441</v>
      </c>
      <c r="J2511" s="61">
        <v>511.05</v>
      </c>
      <c r="K2511" s="75"/>
      <c r="L2511" s="257">
        <v>8000</v>
      </c>
      <c r="M2511" s="223"/>
      <c r="N2511" s="223"/>
      <c r="O2511" s="61"/>
      <c r="P2511" s="69" t="str">
        <f t="shared" si="163"/>
        <v>Biaya Transport Pengiriman Bensin, Parkir, Tol</v>
      </c>
      <c r="Q2511" s="61"/>
    </row>
    <row r="2512" spans="1:17" hidden="1" x14ac:dyDescent="0.25">
      <c r="A2512" s="60" t="str">
        <f t="shared" si="161"/>
        <v>93511,04</v>
      </c>
      <c r="B2512" s="60">
        <f>COUNTIF($J$7:J2512,J2512)</f>
        <v>93</v>
      </c>
      <c r="C2512" s="60" t="str">
        <f t="shared" si="162"/>
        <v>0</v>
      </c>
      <c r="D2512" s="60">
        <f>COUNTIF($K$7:K2512,K2512)</f>
        <v>0</v>
      </c>
      <c r="E2512" s="61"/>
      <c r="F2512" s="239">
        <v>44617</v>
      </c>
      <c r="G2512" s="232"/>
      <c r="H2512" s="61" t="s">
        <v>764</v>
      </c>
      <c r="I2512" s="243" t="s">
        <v>1442</v>
      </c>
      <c r="J2512" s="61">
        <v>511.04</v>
      </c>
      <c r="K2512" s="75"/>
      <c r="L2512" s="257">
        <v>214000</v>
      </c>
      <c r="M2512" s="223"/>
      <c r="N2512" s="223"/>
      <c r="O2512" s="61"/>
      <c r="P2512" s="69" t="str">
        <f t="shared" si="163"/>
        <v>Biaya pengiriman Via Online (Gojek,Grab), Kuli</v>
      </c>
      <c r="Q2512" s="61"/>
    </row>
    <row r="2513" spans="1:17" hidden="1" x14ac:dyDescent="0.25">
      <c r="A2513" s="60" t="str">
        <f t="shared" si="161"/>
        <v>163511,05</v>
      </c>
      <c r="B2513" s="60">
        <f>COUNTIF($J$7:J2513,J2513)</f>
        <v>163</v>
      </c>
      <c r="C2513" s="60" t="str">
        <f t="shared" si="162"/>
        <v>0</v>
      </c>
      <c r="D2513" s="60">
        <f>COUNTIF($K$7:K2513,K2513)</f>
        <v>0</v>
      </c>
      <c r="E2513" s="61"/>
      <c r="F2513" s="239">
        <v>44617</v>
      </c>
      <c r="G2513" s="232"/>
      <c r="H2513" s="61" t="s">
        <v>764</v>
      </c>
      <c r="I2513" s="243" t="s">
        <v>1443</v>
      </c>
      <c r="J2513" s="61">
        <v>511.05</v>
      </c>
      <c r="K2513" s="75"/>
      <c r="L2513" s="257">
        <v>16000</v>
      </c>
      <c r="M2513" s="223"/>
      <c r="N2513" s="223"/>
      <c r="O2513" s="61"/>
      <c r="P2513" s="69" t="str">
        <f t="shared" si="163"/>
        <v>Biaya Transport Pengiriman Bensin, Parkir, Tol</v>
      </c>
      <c r="Q2513" s="61"/>
    </row>
    <row r="2514" spans="1:17" hidden="1" x14ac:dyDescent="0.25">
      <c r="A2514" s="60" t="str">
        <f t="shared" si="161"/>
        <v>164511,05</v>
      </c>
      <c r="B2514" s="60">
        <f>COUNTIF($J$7:J2514,J2514)</f>
        <v>164</v>
      </c>
      <c r="C2514" s="60" t="str">
        <f t="shared" si="162"/>
        <v>0</v>
      </c>
      <c r="D2514" s="60">
        <f>COUNTIF($K$7:K2514,K2514)</f>
        <v>0</v>
      </c>
      <c r="E2514" s="61"/>
      <c r="F2514" s="239">
        <v>44617</v>
      </c>
      <c r="G2514" s="232"/>
      <c r="H2514" s="61" t="s">
        <v>764</v>
      </c>
      <c r="I2514" s="243" t="s">
        <v>1444</v>
      </c>
      <c r="J2514" s="61">
        <v>511.05</v>
      </c>
      <c r="K2514" s="75"/>
      <c r="L2514" s="257">
        <v>3000</v>
      </c>
      <c r="M2514" s="223"/>
      <c r="N2514" s="223"/>
      <c r="O2514" s="61"/>
      <c r="P2514" s="69" t="str">
        <f t="shared" si="163"/>
        <v>Biaya Transport Pengiriman Bensin, Parkir, Tol</v>
      </c>
      <c r="Q2514" s="61"/>
    </row>
    <row r="2515" spans="1:17" hidden="1" x14ac:dyDescent="0.25">
      <c r="A2515" s="60" t="str">
        <f t="shared" si="161"/>
        <v>165511,05</v>
      </c>
      <c r="B2515" s="60">
        <f>COUNTIF($J$7:J2515,J2515)</f>
        <v>165</v>
      </c>
      <c r="C2515" s="60" t="str">
        <f t="shared" si="162"/>
        <v>0</v>
      </c>
      <c r="D2515" s="60">
        <f>COUNTIF($K$7:K2515,K2515)</f>
        <v>0</v>
      </c>
      <c r="E2515" s="61"/>
      <c r="F2515" s="239">
        <v>44617</v>
      </c>
      <c r="G2515" s="232"/>
      <c r="H2515" s="61" t="s">
        <v>764</v>
      </c>
      <c r="I2515" s="243" t="s">
        <v>1445</v>
      </c>
      <c r="J2515" s="61">
        <v>511.05</v>
      </c>
      <c r="K2515" s="75"/>
      <c r="L2515" s="257">
        <v>16000</v>
      </c>
      <c r="M2515" s="223"/>
      <c r="N2515" s="223"/>
      <c r="O2515" s="61"/>
      <c r="P2515" s="69" t="str">
        <f t="shared" si="163"/>
        <v>Biaya Transport Pengiriman Bensin, Parkir, Tol</v>
      </c>
      <c r="Q2515" s="61"/>
    </row>
    <row r="2516" spans="1:17" hidden="1" x14ac:dyDescent="0.25">
      <c r="A2516" s="60" t="str">
        <f t="shared" si="161"/>
        <v>166511,05</v>
      </c>
      <c r="B2516" s="60">
        <f>COUNTIF($J$7:J2516,J2516)</f>
        <v>166</v>
      </c>
      <c r="C2516" s="60" t="str">
        <f t="shared" si="162"/>
        <v>0</v>
      </c>
      <c r="D2516" s="60">
        <f>COUNTIF($K$7:K2516,K2516)</f>
        <v>0</v>
      </c>
      <c r="E2516" s="61"/>
      <c r="F2516" s="239">
        <v>44617</v>
      </c>
      <c r="G2516" s="232"/>
      <c r="H2516" s="61" t="s">
        <v>764</v>
      </c>
      <c r="I2516" s="243" t="s">
        <v>1446</v>
      </c>
      <c r="J2516" s="61">
        <v>511.05</v>
      </c>
      <c r="K2516" s="75"/>
      <c r="L2516" s="257">
        <v>8000</v>
      </c>
      <c r="M2516" s="223"/>
      <c r="N2516" s="223"/>
      <c r="O2516" s="61"/>
      <c r="P2516" s="69" t="str">
        <f t="shared" si="163"/>
        <v>Biaya Transport Pengiriman Bensin, Parkir, Tol</v>
      </c>
      <c r="Q2516" s="61"/>
    </row>
    <row r="2517" spans="1:17" hidden="1" x14ac:dyDescent="0.25">
      <c r="A2517" s="60" t="str">
        <f t="shared" si="161"/>
        <v>67220,03</v>
      </c>
      <c r="B2517" s="60">
        <f>COUNTIF($J$7:J2517,J2517)</f>
        <v>67</v>
      </c>
      <c r="C2517" s="60" t="str">
        <f t="shared" si="162"/>
        <v>0</v>
      </c>
      <c r="D2517" s="60">
        <f>COUNTIF($K$7:K2517,K2517)</f>
        <v>0</v>
      </c>
      <c r="E2517" s="61"/>
      <c r="F2517" s="239">
        <v>44617</v>
      </c>
      <c r="G2517" s="232"/>
      <c r="H2517" s="61" t="s">
        <v>764</v>
      </c>
      <c r="I2517" s="63" t="s">
        <v>1447</v>
      </c>
      <c r="J2517" s="76">
        <v>220.03</v>
      </c>
      <c r="K2517" s="75"/>
      <c r="L2517" s="224"/>
      <c r="M2517" s="223">
        <v>58500</v>
      </c>
      <c r="N2517" s="223"/>
      <c r="O2517" s="61"/>
      <c r="P2517" s="69" t="str">
        <f t="shared" si="163"/>
        <v>Hutang BIaya</v>
      </c>
      <c r="Q2517" s="61"/>
    </row>
    <row r="2518" spans="1:17" hidden="1" x14ac:dyDescent="0.25">
      <c r="A2518" s="60" t="str">
        <f t="shared" si="161"/>
        <v>369211,01</v>
      </c>
      <c r="B2518" s="60">
        <f>COUNTIF($J$7:J2518,J2518)</f>
        <v>369</v>
      </c>
      <c r="C2518" s="60" t="str">
        <f t="shared" si="162"/>
        <v>0</v>
      </c>
      <c r="D2518" s="60">
        <f>COUNTIF($K$7:K2518,K2518)</f>
        <v>0</v>
      </c>
      <c r="E2518" s="61"/>
      <c r="F2518" s="220">
        <v>44620</v>
      </c>
      <c r="G2518" s="72"/>
      <c r="H2518" s="61" t="s">
        <v>800</v>
      </c>
      <c r="I2518" s="63" t="s">
        <v>1448</v>
      </c>
      <c r="J2518" s="67">
        <v>211.01</v>
      </c>
      <c r="K2518" s="65"/>
      <c r="L2518" s="247">
        <f>M2519</f>
        <v>109834343</v>
      </c>
      <c r="M2518" s="247"/>
      <c r="N2518" s="247"/>
      <c r="O2518" s="61"/>
      <c r="P2518" s="69" t="str">
        <f t="shared" si="163"/>
        <v>Hutang Pajak PPN</v>
      </c>
      <c r="Q2518" s="61"/>
    </row>
    <row r="2519" spans="1:17" hidden="1" x14ac:dyDescent="0.25">
      <c r="A2519" s="60" t="str">
        <f t="shared" si="161"/>
        <v>18117,01</v>
      </c>
      <c r="B2519" s="60">
        <f>COUNTIF($J$7:J2519,J2519)</f>
        <v>18</v>
      </c>
      <c r="C2519" s="60" t="str">
        <f t="shared" si="162"/>
        <v>0</v>
      </c>
      <c r="D2519" s="60">
        <f>COUNTIF($K$7:K2519,K2519)</f>
        <v>0</v>
      </c>
      <c r="E2519" s="61"/>
      <c r="F2519" s="220">
        <v>44620</v>
      </c>
      <c r="G2519" s="72"/>
      <c r="H2519" s="61" t="s">
        <v>800</v>
      </c>
      <c r="I2519" s="63" t="s">
        <v>1448</v>
      </c>
      <c r="J2519" s="67">
        <v>117.01</v>
      </c>
      <c r="K2519" s="65"/>
      <c r="L2519" s="247"/>
      <c r="M2519" s="247">
        <f>L862+L1875+L857+L842+L1886+L1861+L401</f>
        <v>109834343</v>
      </c>
      <c r="N2519" s="247"/>
      <c r="O2519" s="61" t="s">
        <v>1449</v>
      </c>
      <c r="P2519" s="69" t="str">
        <f t="shared" si="163"/>
        <v>Pajak Dibayar Di Muka - PPN Masukan</v>
      </c>
      <c r="Q2519" s="61"/>
    </row>
    <row r="2520" spans="1:17" hidden="1" x14ac:dyDescent="0.25">
      <c r="A2520" s="60" t="str">
        <f t="shared" si="161"/>
        <v>2510,01</v>
      </c>
      <c r="B2520" s="60">
        <f>COUNTIF($J$7:J2520,J2520)</f>
        <v>2</v>
      </c>
      <c r="C2520" s="60" t="str">
        <f t="shared" si="162"/>
        <v>0</v>
      </c>
      <c r="D2520" s="60">
        <f>COUNTIF($K$7:K2520,K2520)</f>
        <v>0</v>
      </c>
      <c r="E2520" s="61"/>
      <c r="F2520" s="220">
        <v>44620</v>
      </c>
      <c r="G2520" s="72"/>
      <c r="H2520" s="61" t="s">
        <v>800</v>
      </c>
      <c r="I2520" s="63" t="s">
        <v>1450</v>
      </c>
      <c r="J2520" s="221">
        <v>510.01</v>
      </c>
      <c r="K2520" s="65"/>
      <c r="L2520" s="247">
        <f>[2]Feb!$D$130</f>
        <v>638231387.46944726</v>
      </c>
      <c r="M2520" s="247"/>
      <c r="N2520" s="247"/>
      <c r="O2520" s="61"/>
      <c r="P2520" s="69" t="str">
        <f t="shared" si="163"/>
        <v>Harga Pokok Penjualan Intouch</v>
      </c>
      <c r="Q2520" s="61"/>
    </row>
    <row r="2521" spans="1:17" hidden="1" x14ac:dyDescent="0.25">
      <c r="A2521" s="60" t="str">
        <f t="shared" si="161"/>
        <v>7116,01</v>
      </c>
      <c r="B2521" s="60">
        <f>COUNTIF($J$7:J2521,J2521)</f>
        <v>7</v>
      </c>
      <c r="C2521" s="60" t="str">
        <f t="shared" si="162"/>
        <v>0</v>
      </c>
      <c r="D2521" s="60">
        <f>COUNTIF($K$7:K2521,K2521)</f>
        <v>0</v>
      </c>
      <c r="E2521" s="61"/>
      <c r="F2521" s="220">
        <v>44620</v>
      </c>
      <c r="G2521" s="72"/>
      <c r="H2521" s="61" t="s">
        <v>800</v>
      </c>
      <c r="I2521" s="63" t="s">
        <v>1450</v>
      </c>
      <c r="J2521" s="67">
        <v>116.01</v>
      </c>
      <c r="K2521" s="65"/>
      <c r="L2521" s="247"/>
      <c r="M2521" s="247">
        <f>L2520</f>
        <v>638231387.46944726</v>
      </c>
      <c r="N2521" s="247"/>
      <c r="O2521" s="61"/>
      <c r="P2521" s="69" t="str">
        <f t="shared" si="163"/>
        <v>Persediaan Intouch</v>
      </c>
      <c r="Q2521" s="61"/>
    </row>
    <row r="2522" spans="1:17" hidden="1" x14ac:dyDescent="0.25">
      <c r="A2522" s="60" t="str">
        <f t="shared" si="161"/>
        <v>2510,03</v>
      </c>
      <c r="B2522" s="60">
        <f>COUNTIF($J$7:J2522,J2522)</f>
        <v>2</v>
      </c>
      <c r="C2522" s="60" t="str">
        <f t="shared" si="162"/>
        <v>0</v>
      </c>
      <c r="D2522" s="60">
        <f>COUNTIF($K$7:K2522,K2522)</f>
        <v>0</v>
      </c>
      <c r="E2522" s="61"/>
      <c r="F2522" s="220">
        <v>44620</v>
      </c>
      <c r="G2522" s="72"/>
      <c r="H2522" s="61" t="s">
        <v>800</v>
      </c>
      <c r="I2522" s="63" t="s">
        <v>1451</v>
      </c>
      <c r="J2522" s="221">
        <v>510.03</v>
      </c>
      <c r="K2522" s="65"/>
      <c r="L2522" s="247">
        <f>[2]Feb!$D$132</f>
        <v>237328574.60062194</v>
      </c>
      <c r="M2522" s="247"/>
      <c r="N2522" s="247"/>
      <c r="O2522" s="61"/>
      <c r="P2522" s="69" t="str">
        <f t="shared" si="163"/>
        <v>Harga Pokok Penjualan Exam</v>
      </c>
      <c r="Q2522" s="61"/>
    </row>
    <row r="2523" spans="1:17" hidden="1" x14ac:dyDescent="0.25">
      <c r="A2523" s="60" t="str">
        <f t="shared" si="161"/>
        <v>5116,02</v>
      </c>
      <c r="B2523" s="60">
        <f>COUNTIF($J$7:J2523,J2523)</f>
        <v>5</v>
      </c>
      <c r="C2523" s="60" t="str">
        <f t="shared" si="162"/>
        <v>0</v>
      </c>
      <c r="D2523" s="60">
        <f>COUNTIF($K$7:K2523,K2523)</f>
        <v>0</v>
      </c>
      <c r="E2523" s="61"/>
      <c r="F2523" s="220">
        <v>44620</v>
      </c>
      <c r="G2523" s="72"/>
      <c r="H2523" s="61" t="s">
        <v>800</v>
      </c>
      <c r="I2523" s="63" t="s">
        <v>1451</v>
      </c>
      <c r="J2523" s="67">
        <v>116.02</v>
      </c>
      <c r="K2523" s="65"/>
      <c r="L2523" s="247"/>
      <c r="M2523" s="247">
        <f>L2522</f>
        <v>237328574.60062194</v>
      </c>
      <c r="N2523" s="247"/>
      <c r="O2523" s="61"/>
      <c r="P2523" s="69" t="str">
        <f t="shared" si="163"/>
        <v>Persediaan Exam</v>
      </c>
      <c r="Q2523" s="61"/>
    </row>
    <row r="2524" spans="1:17" hidden="1" x14ac:dyDescent="0.25">
      <c r="A2524" s="60" t="str">
        <f t="shared" si="161"/>
        <v>2510,02</v>
      </c>
      <c r="B2524" s="60">
        <f>COUNTIF($J$7:J2524,J2524)</f>
        <v>2</v>
      </c>
      <c r="C2524" s="60" t="str">
        <f t="shared" si="162"/>
        <v>0</v>
      </c>
      <c r="D2524" s="60">
        <f>COUNTIF($K$7:K2524,K2524)</f>
        <v>0</v>
      </c>
      <c r="E2524" s="61"/>
      <c r="F2524" s="220">
        <v>44620</v>
      </c>
      <c r="G2524" s="72"/>
      <c r="H2524" s="61" t="s">
        <v>800</v>
      </c>
      <c r="I2524" s="63" t="s">
        <v>1452</v>
      </c>
      <c r="J2524" s="221">
        <v>510.02</v>
      </c>
      <c r="K2524" s="65"/>
      <c r="L2524" s="247">
        <f>[2]Feb!$D$131</f>
        <v>5052823.9673605328</v>
      </c>
      <c r="M2524" s="247"/>
      <c r="N2524" s="247"/>
      <c r="O2524" s="61"/>
      <c r="P2524" s="69" t="str">
        <f t="shared" si="163"/>
        <v>Harga Pokok Penjualan  Condom</v>
      </c>
      <c r="Q2524" s="61"/>
    </row>
    <row r="2525" spans="1:17" hidden="1" x14ac:dyDescent="0.25">
      <c r="A2525" s="60" t="str">
        <f t="shared" si="161"/>
        <v>2116,03</v>
      </c>
      <c r="B2525" s="60">
        <f>COUNTIF($J$7:J2525,J2525)</f>
        <v>2</v>
      </c>
      <c r="C2525" s="60" t="str">
        <f t="shared" si="162"/>
        <v>0</v>
      </c>
      <c r="D2525" s="60">
        <f>COUNTIF($K$7:K2525,K2525)</f>
        <v>0</v>
      </c>
      <c r="E2525" s="61"/>
      <c r="F2525" s="220">
        <v>44620</v>
      </c>
      <c r="G2525" s="72"/>
      <c r="H2525" s="61" t="s">
        <v>800</v>
      </c>
      <c r="I2525" s="63" t="s">
        <v>1452</v>
      </c>
      <c r="J2525" s="67">
        <v>116.03</v>
      </c>
      <c r="K2525" s="65"/>
      <c r="L2525" s="247"/>
      <c r="M2525" s="247">
        <f>L2524</f>
        <v>5052823.9673605328</v>
      </c>
      <c r="N2525" s="247"/>
      <c r="O2525" s="61"/>
      <c r="P2525" s="69" t="str">
        <f t="shared" si="163"/>
        <v>Persediaan Condom</v>
      </c>
      <c r="Q2525" s="61"/>
    </row>
    <row r="2526" spans="1:17" hidden="1" x14ac:dyDescent="0.25">
      <c r="A2526" s="60" t="str">
        <f t="shared" si="161"/>
        <v>1512,01</v>
      </c>
      <c r="B2526" s="60">
        <f>COUNTIF($J$7:J2526,J2526)</f>
        <v>1</v>
      </c>
      <c r="C2526" s="60" t="str">
        <f t="shared" si="162"/>
        <v>0</v>
      </c>
      <c r="D2526" s="60">
        <f>COUNTIF($K$7:K2526,K2526)</f>
        <v>0</v>
      </c>
      <c r="E2526" s="61"/>
      <c r="F2526" s="220">
        <v>44620</v>
      </c>
      <c r="G2526" s="72"/>
      <c r="H2526" s="61" t="s">
        <v>800</v>
      </c>
      <c r="I2526" s="63" t="s">
        <v>1453</v>
      </c>
      <c r="J2526" s="238">
        <v>512.01</v>
      </c>
      <c r="K2526" s="65"/>
      <c r="L2526" s="247">
        <f>[2]Feb!$D$135</f>
        <v>3649044.536961447</v>
      </c>
      <c r="M2526" s="247"/>
      <c r="N2526" s="247"/>
      <c r="O2526" s="61"/>
      <c r="P2526" s="69" t="str">
        <f t="shared" si="163"/>
        <v>Beban Iklan dan Promosi</v>
      </c>
      <c r="Q2526" s="61"/>
    </row>
    <row r="2527" spans="1:17" hidden="1" x14ac:dyDescent="0.25">
      <c r="A2527" s="60" t="str">
        <f t="shared" si="161"/>
        <v>8116,01</v>
      </c>
      <c r="B2527" s="60">
        <f>COUNTIF($J$7:J2527,J2527)</f>
        <v>8</v>
      </c>
      <c r="C2527" s="60" t="str">
        <f t="shared" si="162"/>
        <v>0</v>
      </c>
      <c r="D2527" s="60">
        <f>COUNTIF($K$7:K2527,K2527)</f>
        <v>0</v>
      </c>
      <c r="E2527" s="61"/>
      <c r="F2527" s="220">
        <v>44620</v>
      </c>
      <c r="G2527" s="72"/>
      <c r="H2527" s="61" t="s">
        <v>800</v>
      </c>
      <c r="I2527" s="63" t="s">
        <v>1453</v>
      </c>
      <c r="J2527" s="67">
        <v>116.01</v>
      </c>
      <c r="K2527" s="65"/>
      <c r="L2527" s="247"/>
      <c r="M2527" s="247">
        <f>L2526</f>
        <v>3649044.536961447</v>
      </c>
      <c r="N2527" s="247"/>
      <c r="O2527" s="61"/>
      <c r="P2527" s="69" t="str">
        <f t="shared" si="163"/>
        <v>Persediaan Intouch</v>
      </c>
      <c r="Q2527" s="61"/>
    </row>
    <row r="2528" spans="1:17" hidden="1" x14ac:dyDescent="0.25">
      <c r="A2528" s="60" t="str">
        <f t="shared" si="161"/>
        <v>2610,27</v>
      </c>
      <c r="B2528" s="60">
        <f>COUNTIF($J$7:J2528,J2528)</f>
        <v>2</v>
      </c>
      <c r="C2528" s="60" t="str">
        <f t="shared" si="162"/>
        <v>0</v>
      </c>
      <c r="D2528" s="60">
        <f>COUNTIF($K$7:K2528,K2528)</f>
        <v>0</v>
      </c>
      <c r="E2528" s="61"/>
      <c r="F2528" s="220">
        <v>44620</v>
      </c>
      <c r="G2528" s="72"/>
      <c r="H2528" s="61" t="s">
        <v>800</v>
      </c>
      <c r="I2528" s="61" t="s">
        <v>1454</v>
      </c>
      <c r="J2528" s="221">
        <v>610.27</v>
      </c>
      <c r="K2528" s="65"/>
      <c r="L2528" s="247">
        <f>[1]DAFSET!BP109</f>
        <v>5143017.520833334</v>
      </c>
      <c r="M2528" s="247"/>
      <c r="N2528" s="247"/>
      <c r="O2528" s="61"/>
      <c r="P2528" s="69" t="str">
        <f t="shared" si="163"/>
        <v>Biaya Penyusutan Kendaraan</v>
      </c>
      <c r="Q2528" s="61"/>
    </row>
    <row r="2529" spans="1:17" hidden="1" x14ac:dyDescent="0.25">
      <c r="A2529" s="60" t="str">
        <f t="shared" si="161"/>
        <v>2122,04</v>
      </c>
      <c r="B2529" s="60">
        <f>COUNTIF($J$7:J2529,J2529)</f>
        <v>2</v>
      </c>
      <c r="C2529" s="60" t="str">
        <f t="shared" si="162"/>
        <v>0</v>
      </c>
      <c r="D2529" s="60">
        <f>COUNTIF($K$7:K2529,K2529)</f>
        <v>0</v>
      </c>
      <c r="E2529" s="61"/>
      <c r="F2529" s="220">
        <v>44620</v>
      </c>
      <c r="G2529" s="72"/>
      <c r="H2529" s="61" t="s">
        <v>800</v>
      </c>
      <c r="I2529" s="61" t="s">
        <v>1454</v>
      </c>
      <c r="J2529" s="67">
        <v>122.04</v>
      </c>
      <c r="K2529" s="65"/>
      <c r="L2529" s="247"/>
      <c r="M2529" s="247">
        <f>L2528</f>
        <v>5143017.520833334</v>
      </c>
      <c r="N2529" s="247"/>
      <c r="O2529" s="61"/>
      <c r="P2529" s="69" t="str">
        <f t="shared" si="163"/>
        <v>Akumulasi Peny Kendaraan</v>
      </c>
      <c r="Q2529" s="61"/>
    </row>
    <row r="2530" spans="1:17" hidden="1" x14ac:dyDescent="0.25">
      <c r="A2530" s="60" t="str">
        <f t="shared" si="161"/>
        <v>2610,28</v>
      </c>
      <c r="B2530" s="60">
        <f>COUNTIF($J$7:J2530,J2530)</f>
        <v>2</v>
      </c>
      <c r="C2530" s="60" t="str">
        <f t="shared" si="162"/>
        <v>0</v>
      </c>
      <c r="D2530" s="60">
        <f>COUNTIF($K$7:K2530,K2530)</f>
        <v>0</v>
      </c>
      <c r="E2530" s="61"/>
      <c r="F2530" s="220">
        <v>44620</v>
      </c>
      <c r="G2530" s="72"/>
      <c r="H2530" s="61" t="s">
        <v>800</v>
      </c>
      <c r="I2530" s="61" t="s">
        <v>1455</v>
      </c>
      <c r="J2530" s="221">
        <v>610.28</v>
      </c>
      <c r="K2530" s="65"/>
      <c r="L2530" s="247">
        <f>[1]DAFSET!BP102</f>
        <v>6327194.5833333349</v>
      </c>
      <c r="M2530" s="247"/>
      <c r="N2530" s="247"/>
      <c r="O2530" s="61"/>
      <c r="P2530" s="69" t="str">
        <f t="shared" si="163"/>
        <v>Biaya Penyusutan Inventaris Kantor</v>
      </c>
      <c r="Q2530" s="61"/>
    </row>
    <row r="2531" spans="1:17" hidden="1" x14ac:dyDescent="0.25">
      <c r="A2531" s="60" t="str">
        <f t="shared" si="161"/>
        <v>2122,05</v>
      </c>
      <c r="B2531" s="60">
        <f>COUNTIF($J$7:J2531,J2531)</f>
        <v>2</v>
      </c>
      <c r="C2531" s="60" t="str">
        <f t="shared" si="162"/>
        <v>0</v>
      </c>
      <c r="D2531" s="60">
        <f>COUNTIF($K$7:K2531,K2531)</f>
        <v>0</v>
      </c>
      <c r="E2531" s="61"/>
      <c r="F2531" s="220">
        <v>44620</v>
      </c>
      <c r="G2531" s="72"/>
      <c r="H2531" s="61" t="s">
        <v>800</v>
      </c>
      <c r="I2531" s="61" t="s">
        <v>1455</v>
      </c>
      <c r="J2531" s="67">
        <v>122.05</v>
      </c>
      <c r="K2531" s="65"/>
      <c r="L2531" s="247"/>
      <c r="M2531" s="247">
        <f>L2530</f>
        <v>6327194.5833333349</v>
      </c>
      <c r="N2531" s="247"/>
      <c r="O2531" s="61"/>
      <c r="P2531" s="69" t="str">
        <f t="shared" si="163"/>
        <v>Akumulasi Peny Inventaris Kantor</v>
      </c>
      <c r="Q2531" s="61"/>
    </row>
    <row r="2532" spans="1:17" hidden="1" x14ac:dyDescent="0.25">
      <c r="A2532" s="60" t="str">
        <f t="shared" si="161"/>
        <v>2610,11</v>
      </c>
      <c r="B2532" s="60">
        <f>COUNTIF($J$7:J2532,J2532)</f>
        <v>2</v>
      </c>
      <c r="C2532" s="60" t="str">
        <f t="shared" si="162"/>
        <v>0</v>
      </c>
      <c r="D2532" s="60">
        <f>COUNTIF($K$7:K2532,K2532)</f>
        <v>0</v>
      </c>
      <c r="E2532" s="61"/>
      <c r="F2532" s="220">
        <v>44620</v>
      </c>
      <c r="G2532" s="72"/>
      <c r="H2532" s="61" t="s">
        <v>800</v>
      </c>
      <c r="I2532" s="63" t="s">
        <v>1456</v>
      </c>
      <c r="J2532" s="221">
        <v>610.11</v>
      </c>
      <c r="K2532" s="65"/>
      <c r="L2532" s="247">
        <f>'[1]Sewa &amp; Asuransi'!CC33</f>
        <v>24444444.458333332</v>
      </c>
      <c r="M2532" s="247"/>
      <c r="N2532" s="247"/>
      <c r="O2532" s="61"/>
      <c r="P2532" s="69" t="str">
        <f t="shared" si="163"/>
        <v xml:space="preserve">Biaya Sewa Gedung </v>
      </c>
      <c r="Q2532" s="61"/>
    </row>
    <row r="2533" spans="1:17" hidden="1" x14ac:dyDescent="0.25">
      <c r="A2533" s="60" t="str">
        <f t="shared" si="161"/>
        <v>2118,01</v>
      </c>
      <c r="B2533" s="60">
        <f>COUNTIF($J$7:J2533,J2533)</f>
        <v>2</v>
      </c>
      <c r="C2533" s="60" t="str">
        <f t="shared" si="162"/>
        <v>0</v>
      </c>
      <c r="D2533" s="60">
        <f>COUNTIF($K$7:K2533,K2533)</f>
        <v>0</v>
      </c>
      <c r="E2533" s="61"/>
      <c r="F2533" s="220">
        <v>44620</v>
      </c>
      <c r="G2533" s="72"/>
      <c r="H2533" s="61" t="s">
        <v>800</v>
      </c>
      <c r="I2533" s="63" t="s">
        <v>1457</v>
      </c>
      <c r="J2533" s="67">
        <v>118.01</v>
      </c>
      <c r="K2533" s="65"/>
      <c r="L2533" s="247"/>
      <c r="M2533" s="247">
        <f>L2532</f>
        <v>24444444.458333332</v>
      </c>
      <c r="N2533" s="247"/>
      <c r="O2533" s="61"/>
      <c r="P2533" s="69" t="str">
        <f t="shared" si="163"/>
        <v>Sewa Dibayar Dimuka</v>
      </c>
      <c r="Q2533" s="61"/>
    </row>
    <row r="2534" spans="1:17" hidden="1" x14ac:dyDescent="0.25">
      <c r="A2534" s="60" t="str">
        <f t="shared" si="161"/>
        <v>2610,19</v>
      </c>
      <c r="B2534" s="60">
        <f>COUNTIF($J$7:J2534,J2534)</f>
        <v>2</v>
      </c>
      <c r="C2534" s="60" t="str">
        <f t="shared" si="162"/>
        <v>0</v>
      </c>
      <c r="D2534" s="60">
        <f>COUNTIF($K$7:K2534,K2534)</f>
        <v>0</v>
      </c>
      <c r="E2534" s="61"/>
      <c r="F2534" s="220">
        <v>44620</v>
      </c>
      <c r="G2534" s="72"/>
      <c r="H2534" s="61" t="s">
        <v>800</v>
      </c>
      <c r="I2534" s="61" t="s">
        <v>1458</v>
      </c>
      <c r="J2534" s="221">
        <v>610.19000000000005</v>
      </c>
      <c r="K2534" s="65"/>
      <c r="L2534" s="247">
        <f>'[1]Sewa &amp; Asuransi'!C95</f>
        <v>393005.55555555556</v>
      </c>
      <c r="M2534" s="247"/>
      <c r="N2534" s="247"/>
      <c r="O2534" s="61"/>
      <c r="P2534" s="69" t="str">
        <f t="shared" si="163"/>
        <v>Biaya Asuransi</v>
      </c>
      <c r="Q2534" s="61"/>
    </row>
    <row r="2535" spans="1:17" hidden="1" x14ac:dyDescent="0.25">
      <c r="A2535" s="60" t="str">
        <f t="shared" si="161"/>
        <v>2118,02</v>
      </c>
      <c r="B2535" s="60">
        <f>COUNTIF($J$7:J2535,J2535)</f>
        <v>2</v>
      </c>
      <c r="C2535" s="60" t="str">
        <f t="shared" si="162"/>
        <v>0</v>
      </c>
      <c r="D2535" s="60">
        <f>COUNTIF($K$7:K2535,K2535)</f>
        <v>0</v>
      </c>
      <c r="E2535" s="61" t="s">
        <v>1459</v>
      </c>
      <c r="F2535" s="220">
        <v>44620</v>
      </c>
      <c r="G2535" s="72"/>
      <c r="H2535" s="61" t="s">
        <v>800</v>
      </c>
      <c r="I2535" s="61" t="s">
        <v>1458</v>
      </c>
      <c r="J2535" s="67">
        <v>118.02</v>
      </c>
      <c r="K2535" s="65"/>
      <c r="L2535" s="247"/>
      <c r="M2535" s="247">
        <f>L2534</f>
        <v>393005.55555555556</v>
      </c>
      <c r="N2535" s="247"/>
      <c r="O2535" s="61"/>
      <c r="P2535" s="69" t="str">
        <f t="shared" si="163"/>
        <v>Asuransi Dibayar Dimuka</v>
      </c>
      <c r="Q2535" s="61"/>
    </row>
    <row r="2536" spans="1:17" hidden="1" x14ac:dyDescent="0.25">
      <c r="A2536" s="60" t="str">
        <f t="shared" si="161"/>
        <v>505112</v>
      </c>
      <c r="B2536" s="60">
        <f>COUNTIF($J$7:J2536,J2536)</f>
        <v>505</v>
      </c>
      <c r="C2536" s="60" t="str">
        <f t="shared" si="162"/>
        <v>14112,35</v>
      </c>
      <c r="D2536" s="60">
        <f>COUNTIF($K$7:K2536,K2536)</f>
        <v>14</v>
      </c>
      <c r="E2536" s="61"/>
      <c r="F2536" s="71">
        <v>44621</v>
      </c>
      <c r="G2536" s="72" t="s">
        <v>13</v>
      </c>
      <c r="H2536" s="73" t="s">
        <v>1460</v>
      </c>
      <c r="I2536" s="73" t="s">
        <v>44</v>
      </c>
      <c r="J2536" s="265">
        <v>112</v>
      </c>
      <c r="K2536" s="80">
        <v>112.35</v>
      </c>
      <c r="L2536" s="224">
        <v>6720000.0000210004</v>
      </c>
      <c r="M2536" s="223"/>
      <c r="N2536" s="223"/>
      <c r="O2536" s="61"/>
      <c r="P2536" s="69" t="str">
        <f t="shared" si="163"/>
        <v>Piutang Usaha</v>
      </c>
      <c r="Q2536" s="61"/>
    </row>
    <row r="2537" spans="1:17" hidden="1" x14ac:dyDescent="0.25">
      <c r="A2537" s="60" t="str">
        <f t="shared" si="161"/>
        <v>506112</v>
      </c>
      <c r="B2537" s="60">
        <f>COUNTIF($J$7:J2537,J2537)</f>
        <v>506</v>
      </c>
      <c r="C2537" s="60" t="str">
        <f t="shared" si="162"/>
        <v>91112,01</v>
      </c>
      <c r="D2537" s="60">
        <f>COUNTIF($K$7:K2537,K2537)</f>
        <v>91</v>
      </c>
      <c r="E2537" s="61"/>
      <c r="F2537" s="71">
        <v>44621</v>
      </c>
      <c r="G2537" s="72">
        <f>F2537+45</f>
        <v>44666</v>
      </c>
      <c r="H2537" s="73" t="s">
        <v>1461</v>
      </c>
      <c r="I2537" s="73" t="s">
        <v>18</v>
      </c>
      <c r="J2537" s="265">
        <v>112</v>
      </c>
      <c r="K2537" s="265">
        <v>112.01</v>
      </c>
      <c r="L2537" s="224">
        <v>45100000</v>
      </c>
      <c r="M2537" s="223"/>
      <c r="N2537" s="223"/>
      <c r="O2537" s="61"/>
      <c r="P2537" s="69" t="str">
        <f t="shared" si="163"/>
        <v>Piutang Usaha</v>
      </c>
      <c r="Q2537" s="61"/>
    </row>
    <row r="2538" spans="1:17" hidden="1" x14ac:dyDescent="0.25">
      <c r="A2538" s="60" t="str">
        <f t="shared" si="161"/>
        <v>507112</v>
      </c>
      <c r="B2538" s="60">
        <f>COUNTIF($J$7:J2538,J2538)</f>
        <v>507</v>
      </c>
      <c r="C2538" s="60" t="str">
        <f t="shared" si="162"/>
        <v>92112,01</v>
      </c>
      <c r="D2538" s="60">
        <f>COUNTIF($K$7:K2538,K2538)</f>
        <v>92</v>
      </c>
      <c r="E2538" s="61"/>
      <c r="F2538" s="71">
        <v>44621</v>
      </c>
      <c r="G2538" s="72">
        <f>F2538+45</f>
        <v>44666</v>
      </c>
      <c r="H2538" s="73" t="s">
        <v>1462</v>
      </c>
      <c r="I2538" s="73" t="s">
        <v>18</v>
      </c>
      <c r="J2538" s="265">
        <v>112</v>
      </c>
      <c r="K2538" s="265">
        <v>112.01</v>
      </c>
      <c r="L2538" s="224">
        <v>18422250</v>
      </c>
      <c r="M2538" s="223"/>
      <c r="N2538" s="223"/>
      <c r="O2538" s="61"/>
      <c r="P2538" s="69" t="str">
        <f t="shared" si="163"/>
        <v>Piutang Usaha</v>
      </c>
      <c r="Q2538" s="61"/>
    </row>
    <row r="2539" spans="1:17" hidden="1" x14ac:dyDescent="0.25">
      <c r="A2539" s="60" t="str">
        <f t="shared" si="161"/>
        <v>508112</v>
      </c>
      <c r="B2539" s="60">
        <f>COUNTIF($J$7:J2539,J2539)</f>
        <v>508</v>
      </c>
      <c r="C2539" s="60" t="str">
        <f t="shared" si="162"/>
        <v>93112,01</v>
      </c>
      <c r="D2539" s="60">
        <f>COUNTIF($K$7:K2539,K2539)</f>
        <v>93</v>
      </c>
      <c r="E2539" s="61"/>
      <c r="F2539" s="71">
        <v>44621</v>
      </c>
      <c r="G2539" s="72">
        <f>F2539+45</f>
        <v>44666</v>
      </c>
      <c r="H2539" s="73" t="s">
        <v>1463</v>
      </c>
      <c r="I2539" s="73" t="s">
        <v>18</v>
      </c>
      <c r="J2539" s="265">
        <v>112</v>
      </c>
      <c r="K2539" s="265">
        <v>112.01</v>
      </c>
      <c r="L2539" s="224">
        <v>3019500</v>
      </c>
      <c r="M2539" s="223"/>
      <c r="N2539" s="223"/>
      <c r="O2539" s="61"/>
      <c r="P2539" s="69" t="str">
        <f t="shared" si="163"/>
        <v>Piutang Usaha</v>
      </c>
      <c r="Q2539" s="61"/>
    </row>
    <row r="2540" spans="1:17" hidden="1" x14ac:dyDescent="0.25">
      <c r="A2540" s="60" t="str">
        <f t="shared" si="161"/>
        <v>509112</v>
      </c>
      <c r="B2540" s="60">
        <f>COUNTIF($J$7:J2540,J2540)</f>
        <v>509</v>
      </c>
      <c r="C2540" s="60" t="str">
        <f t="shared" si="162"/>
        <v>53112,02</v>
      </c>
      <c r="D2540" s="60">
        <f>COUNTIF($K$7:K2540,K2540)</f>
        <v>53</v>
      </c>
      <c r="E2540" s="61"/>
      <c r="F2540" s="71">
        <v>44621</v>
      </c>
      <c r="G2540" s="72">
        <f>F2540+30</f>
        <v>44651</v>
      </c>
      <c r="H2540" s="73" t="s">
        <v>1464</v>
      </c>
      <c r="I2540" s="73" t="s">
        <v>20</v>
      </c>
      <c r="J2540" s="265">
        <v>112</v>
      </c>
      <c r="K2540" s="265">
        <v>112.02</v>
      </c>
      <c r="L2540" s="224">
        <v>3894000</v>
      </c>
      <c r="M2540" s="223"/>
      <c r="N2540" s="223"/>
      <c r="O2540" s="61"/>
      <c r="P2540" s="69" t="str">
        <f t="shared" si="163"/>
        <v>Piutang Usaha</v>
      </c>
      <c r="Q2540" s="61"/>
    </row>
    <row r="2541" spans="1:17" hidden="1" x14ac:dyDescent="0.25">
      <c r="A2541" s="60" t="str">
        <f t="shared" si="161"/>
        <v>510112</v>
      </c>
      <c r="B2541" s="60">
        <f>COUNTIF($J$7:J2541,J2541)</f>
        <v>510</v>
      </c>
      <c r="C2541" s="60" t="str">
        <f t="shared" si="162"/>
        <v>54112,02</v>
      </c>
      <c r="D2541" s="60">
        <f>COUNTIF($K$7:K2541,K2541)</f>
        <v>54</v>
      </c>
      <c r="E2541" s="61"/>
      <c r="F2541" s="71">
        <v>44621</v>
      </c>
      <c r="G2541" s="72">
        <f>F2541+30</f>
        <v>44651</v>
      </c>
      <c r="H2541" s="73" t="s">
        <v>1465</v>
      </c>
      <c r="I2541" s="73" t="s">
        <v>20</v>
      </c>
      <c r="J2541" s="265">
        <v>112</v>
      </c>
      <c r="K2541" s="265">
        <v>112.02</v>
      </c>
      <c r="L2541" s="224">
        <v>2706000</v>
      </c>
      <c r="M2541" s="223"/>
      <c r="N2541" s="223"/>
      <c r="O2541" s="61"/>
      <c r="P2541" s="69" t="str">
        <f t="shared" si="163"/>
        <v>Piutang Usaha</v>
      </c>
      <c r="Q2541" s="61"/>
    </row>
    <row r="2542" spans="1:17" hidden="1" x14ac:dyDescent="0.25">
      <c r="A2542" s="60" t="str">
        <f t="shared" si="161"/>
        <v>511112</v>
      </c>
      <c r="B2542" s="60">
        <f>COUNTIF($J$7:J2542,J2542)</f>
        <v>511</v>
      </c>
      <c r="C2542" s="60" t="str">
        <f t="shared" si="162"/>
        <v>80112,06</v>
      </c>
      <c r="D2542" s="60">
        <f>COUNTIF($K$7:K2542,K2542)</f>
        <v>80</v>
      </c>
      <c r="E2542" s="61"/>
      <c r="F2542" s="71">
        <v>44621</v>
      </c>
      <c r="G2542" s="72">
        <f>F2542+45</f>
        <v>44666</v>
      </c>
      <c r="H2542" s="73" t="s">
        <v>1466</v>
      </c>
      <c r="I2542" s="73" t="s">
        <v>37</v>
      </c>
      <c r="J2542" s="265">
        <v>112</v>
      </c>
      <c r="K2542" s="80">
        <v>112.06</v>
      </c>
      <c r="L2542" s="224">
        <v>17325000</v>
      </c>
      <c r="M2542" s="223"/>
      <c r="N2542" s="223"/>
      <c r="O2542" s="61"/>
      <c r="P2542" s="69" t="str">
        <f t="shared" si="163"/>
        <v>Piutang Usaha</v>
      </c>
      <c r="Q2542" s="61"/>
    </row>
    <row r="2543" spans="1:17" hidden="1" x14ac:dyDescent="0.25">
      <c r="A2543" s="60" t="str">
        <f t="shared" si="161"/>
        <v>512112</v>
      </c>
      <c r="B2543" s="60">
        <f>COUNTIF($J$7:J2543,J2543)</f>
        <v>512</v>
      </c>
      <c r="C2543" s="60" t="str">
        <f t="shared" si="162"/>
        <v>2112,49</v>
      </c>
      <c r="D2543" s="60">
        <f>COUNTIF($K$7:K2543,K2543)</f>
        <v>2</v>
      </c>
      <c r="E2543" s="61"/>
      <c r="F2543" s="71">
        <v>44621</v>
      </c>
      <c r="G2543" s="72">
        <f>F2543+30</f>
        <v>44651</v>
      </c>
      <c r="H2543" s="73" t="s">
        <v>1467</v>
      </c>
      <c r="I2543" s="73" t="s">
        <v>122</v>
      </c>
      <c r="J2543" s="265">
        <v>112</v>
      </c>
      <c r="K2543" s="80">
        <v>112.49</v>
      </c>
      <c r="L2543" s="224">
        <v>6424000</v>
      </c>
      <c r="M2543" s="223"/>
      <c r="N2543" s="223"/>
      <c r="O2543" s="61"/>
      <c r="P2543" s="69" t="str">
        <f t="shared" si="163"/>
        <v>Piutang Usaha</v>
      </c>
      <c r="Q2543" s="61"/>
    </row>
    <row r="2544" spans="1:17" hidden="1" x14ac:dyDescent="0.25">
      <c r="A2544" s="60" t="str">
        <f t="shared" si="161"/>
        <v>513112</v>
      </c>
      <c r="B2544" s="60">
        <f>COUNTIF($J$7:J2544,J2544)</f>
        <v>513</v>
      </c>
      <c r="C2544" s="60" t="str">
        <f t="shared" si="162"/>
        <v>55112,02</v>
      </c>
      <c r="D2544" s="60">
        <f>COUNTIF($K$7:K2544,K2544)</f>
        <v>55</v>
      </c>
      <c r="E2544" s="61"/>
      <c r="F2544" s="71">
        <v>44622</v>
      </c>
      <c r="G2544" s="72">
        <f>F2544+30</f>
        <v>44652</v>
      </c>
      <c r="H2544" s="73" t="s">
        <v>1468</v>
      </c>
      <c r="I2544" s="73" t="s">
        <v>20</v>
      </c>
      <c r="J2544" s="265">
        <v>112</v>
      </c>
      <c r="K2544" s="265">
        <v>112.02</v>
      </c>
      <c r="L2544" s="224">
        <v>15402750</v>
      </c>
      <c r="M2544" s="223"/>
      <c r="N2544" s="223"/>
      <c r="O2544" s="61"/>
      <c r="P2544" s="69" t="str">
        <f t="shared" si="163"/>
        <v>Piutang Usaha</v>
      </c>
      <c r="Q2544" s="61"/>
    </row>
    <row r="2545" spans="1:17" hidden="1" x14ac:dyDescent="0.25">
      <c r="A2545" s="60" t="str">
        <f t="shared" si="161"/>
        <v>514112</v>
      </c>
      <c r="B2545" s="60">
        <f>COUNTIF($J$7:J2545,J2545)</f>
        <v>514</v>
      </c>
      <c r="C2545" s="60" t="str">
        <f t="shared" si="162"/>
        <v>81112,06</v>
      </c>
      <c r="D2545" s="60">
        <f>COUNTIF($K$7:K2545,K2545)</f>
        <v>81</v>
      </c>
      <c r="E2545" s="61"/>
      <c r="F2545" s="71">
        <v>44622</v>
      </c>
      <c r="G2545" s="72">
        <f>F2545+45</f>
        <v>44667</v>
      </c>
      <c r="H2545" s="73" t="s">
        <v>1469</v>
      </c>
      <c r="I2545" s="73" t="s">
        <v>37</v>
      </c>
      <c r="J2545" s="265">
        <v>112</v>
      </c>
      <c r="K2545" s="80">
        <v>112.06</v>
      </c>
      <c r="L2545" s="224">
        <v>9625000</v>
      </c>
      <c r="M2545" s="223"/>
      <c r="N2545" s="223"/>
      <c r="O2545" s="61"/>
      <c r="P2545" s="69" t="str">
        <f t="shared" si="163"/>
        <v>Piutang Usaha</v>
      </c>
      <c r="Q2545" s="61"/>
    </row>
    <row r="2546" spans="1:17" hidden="1" x14ac:dyDescent="0.25">
      <c r="A2546" s="60" t="str">
        <f t="shared" si="161"/>
        <v>515112</v>
      </c>
      <c r="B2546" s="60">
        <f>COUNTIF($J$7:J2546,J2546)</f>
        <v>515</v>
      </c>
      <c r="C2546" s="60" t="str">
        <f t="shared" si="162"/>
        <v>82112,06</v>
      </c>
      <c r="D2546" s="60">
        <f>COUNTIF($K$7:K2546,K2546)</f>
        <v>82</v>
      </c>
      <c r="E2546" s="61"/>
      <c r="F2546" s="71">
        <v>44622</v>
      </c>
      <c r="G2546" s="72">
        <f>F2546+45</f>
        <v>44667</v>
      </c>
      <c r="H2546" s="73" t="s">
        <v>1470</v>
      </c>
      <c r="I2546" s="73" t="s">
        <v>37</v>
      </c>
      <c r="J2546" s="265">
        <v>112</v>
      </c>
      <c r="K2546" s="80">
        <v>112.06</v>
      </c>
      <c r="L2546" s="224">
        <v>10395000</v>
      </c>
      <c r="M2546" s="223"/>
      <c r="N2546" s="223"/>
      <c r="O2546" s="61"/>
      <c r="P2546" s="69" t="str">
        <f t="shared" si="163"/>
        <v>Piutang Usaha</v>
      </c>
      <c r="Q2546" s="61"/>
    </row>
    <row r="2547" spans="1:17" ht="30" hidden="1" x14ac:dyDescent="0.25">
      <c r="A2547" s="60" t="str">
        <f t="shared" si="161"/>
        <v>516112</v>
      </c>
      <c r="B2547" s="60">
        <f>COUNTIF($J$7:J2547,J2547)</f>
        <v>516</v>
      </c>
      <c r="C2547" s="60" t="str">
        <f t="shared" si="162"/>
        <v>76112,4</v>
      </c>
      <c r="D2547" s="60">
        <f>COUNTIF($K$7:K2547,K2547)</f>
        <v>76</v>
      </c>
      <c r="E2547" s="61"/>
      <c r="F2547" s="71">
        <v>44622</v>
      </c>
      <c r="G2547" s="72">
        <f>F2547+30</f>
        <v>44652</v>
      </c>
      <c r="H2547" s="73" t="s">
        <v>1471</v>
      </c>
      <c r="I2547" s="73" t="s">
        <v>34</v>
      </c>
      <c r="J2547" s="265">
        <v>112</v>
      </c>
      <c r="K2547" s="80">
        <v>112.4</v>
      </c>
      <c r="L2547" s="224">
        <v>1814991.75</v>
      </c>
      <c r="M2547" s="223"/>
      <c r="N2547" s="223"/>
      <c r="O2547" s="61"/>
      <c r="P2547" s="69" t="str">
        <f t="shared" si="163"/>
        <v>Piutang Usaha</v>
      </c>
      <c r="Q2547" s="61"/>
    </row>
    <row r="2548" spans="1:17" hidden="1" x14ac:dyDescent="0.25">
      <c r="A2548" s="60" t="str">
        <f t="shared" si="161"/>
        <v>517112</v>
      </c>
      <c r="B2548" s="60">
        <f>COUNTIF($J$7:J2548,J2548)</f>
        <v>517</v>
      </c>
      <c r="C2548" s="60" t="str">
        <f t="shared" si="162"/>
        <v>2112,66</v>
      </c>
      <c r="D2548" s="60">
        <f>COUNTIF($K$7:K2548,K2548)</f>
        <v>2</v>
      </c>
      <c r="E2548" s="61"/>
      <c r="F2548" s="71">
        <v>44622</v>
      </c>
      <c r="G2548" s="266" t="s">
        <v>13</v>
      </c>
      <c r="H2548" s="73" t="s">
        <v>1472</v>
      </c>
      <c r="I2548" s="73" t="s">
        <v>1473</v>
      </c>
      <c r="J2548" s="265">
        <v>112</v>
      </c>
      <c r="K2548" s="80">
        <v>112.66</v>
      </c>
      <c r="L2548" s="224">
        <v>6237000</v>
      </c>
      <c r="M2548" s="223"/>
      <c r="N2548" s="223"/>
      <c r="O2548" s="61"/>
      <c r="P2548" s="69" t="str">
        <f t="shared" si="163"/>
        <v>Piutang Usaha</v>
      </c>
      <c r="Q2548" s="61"/>
    </row>
    <row r="2549" spans="1:17" hidden="1" x14ac:dyDescent="0.25">
      <c r="A2549" s="60" t="str">
        <f t="shared" si="161"/>
        <v>518112</v>
      </c>
      <c r="B2549" s="60">
        <f>COUNTIF($J$7:J2549,J2549)</f>
        <v>518</v>
      </c>
      <c r="C2549" s="60" t="str">
        <f t="shared" si="162"/>
        <v>30112,3</v>
      </c>
      <c r="D2549" s="60">
        <f>COUNTIF($K$7:K2549,K2549)</f>
        <v>30</v>
      </c>
      <c r="E2549" s="61"/>
      <c r="F2549" s="71">
        <v>44622</v>
      </c>
      <c r="G2549" s="72">
        <f>F2549+30</f>
        <v>44652</v>
      </c>
      <c r="H2549" s="73" t="s">
        <v>1474</v>
      </c>
      <c r="I2549" s="73" t="s">
        <v>48</v>
      </c>
      <c r="J2549" s="265">
        <v>112</v>
      </c>
      <c r="K2549" s="80">
        <v>112.3</v>
      </c>
      <c r="L2549" s="224">
        <v>17160000</v>
      </c>
      <c r="M2549" s="223"/>
      <c r="N2549" s="223"/>
      <c r="O2549" s="61"/>
      <c r="P2549" s="69" t="str">
        <f t="shared" si="163"/>
        <v>Piutang Usaha</v>
      </c>
      <c r="Q2549" s="61"/>
    </row>
    <row r="2550" spans="1:17" hidden="1" x14ac:dyDescent="0.25">
      <c r="A2550" s="60" t="str">
        <f t="shared" si="161"/>
        <v>519112</v>
      </c>
      <c r="B2550" s="60">
        <f>COUNTIF($J$7:J2550,J2550)</f>
        <v>519</v>
      </c>
      <c r="C2550" s="60" t="str">
        <f t="shared" si="162"/>
        <v>31112,3</v>
      </c>
      <c r="D2550" s="60">
        <f>COUNTIF($K$7:K2550,K2550)</f>
        <v>31</v>
      </c>
      <c r="E2550" s="61"/>
      <c r="F2550" s="71">
        <v>44622</v>
      </c>
      <c r="G2550" s="72">
        <f>F2550+30</f>
        <v>44652</v>
      </c>
      <c r="H2550" s="73" t="s">
        <v>1475</v>
      </c>
      <c r="I2550" s="73" t="s">
        <v>48</v>
      </c>
      <c r="J2550" s="265">
        <v>112</v>
      </c>
      <c r="K2550" s="80">
        <v>112.3</v>
      </c>
      <c r="L2550" s="224">
        <v>10725000</v>
      </c>
      <c r="M2550" s="223"/>
      <c r="N2550" s="223"/>
      <c r="O2550" s="61"/>
      <c r="P2550" s="69" t="str">
        <f t="shared" si="163"/>
        <v>Piutang Usaha</v>
      </c>
      <c r="Q2550" s="61"/>
    </row>
    <row r="2551" spans="1:17" ht="30" hidden="1" x14ac:dyDescent="0.25">
      <c r="A2551" s="60" t="str">
        <f t="shared" si="161"/>
        <v>520112</v>
      </c>
      <c r="B2551" s="60">
        <f>COUNTIF($J$7:J2551,J2551)</f>
        <v>520</v>
      </c>
      <c r="C2551" s="60" t="str">
        <f t="shared" si="162"/>
        <v>6112,64</v>
      </c>
      <c r="D2551" s="60">
        <f>COUNTIF($K$7:K2551,K2551)</f>
        <v>6</v>
      </c>
      <c r="E2551" s="61"/>
      <c r="F2551" s="71">
        <v>44622</v>
      </c>
      <c r="G2551" s="229">
        <f>F2551+30</f>
        <v>44652</v>
      </c>
      <c r="H2551" s="73" t="s">
        <v>1476</v>
      </c>
      <c r="I2551" s="73" t="s">
        <v>28</v>
      </c>
      <c r="J2551" s="265">
        <v>112</v>
      </c>
      <c r="K2551" s="80">
        <v>112.64</v>
      </c>
      <c r="L2551" s="224">
        <v>11220000</v>
      </c>
      <c r="M2551" s="223"/>
      <c r="N2551" s="223"/>
      <c r="O2551" s="61"/>
      <c r="P2551" s="69" t="str">
        <f t="shared" si="163"/>
        <v>Piutang Usaha</v>
      </c>
      <c r="Q2551" s="61"/>
    </row>
    <row r="2552" spans="1:17" ht="27.6" hidden="1" customHeight="1" x14ac:dyDescent="0.25">
      <c r="A2552" s="60" t="str">
        <f t="shared" si="161"/>
        <v>521112</v>
      </c>
      <c r="B2552" s="60">
        <f>COUNTIF($J$7:J2552,J2552)</f>
        <v>521</v>
      </c>
      <c r="C2552" s="60" t="str">
        <f t="shared" si="162"/>
        <v>5112,55</v>
      </c>
      <c r="D2552" s="60">
        <f>COUNTIF($K$7:K2552,K2552)</f>
        <v>5</v>
      </c>
      <c r="E2552" s="61"/>
      <c r="F2552" s="71">
        <v>44622</v>
      </c>
      <c r="G2552" s="229" t="s">
        <v>13</v>
      </c>
      <c r="H2552" s="73" t="s">
        <v>1477</v>
      </c>
      <c r="I2552" s="73" t="s">
        <v>15</v>
      </c>
      <c r="J2552" s="265">
        <v>112</v>
      </c>
      <c r="K2552" s="80">
        <v>112.55</v>
      </c>
      <c r="L2552" s="224">
        <v>64000000</v>
      </c>
      <c r="M2552" s="223"/>
      <c r="N2552" s="223"/>
      <c r="O2552" s="61"/>
      <c r="P2552" s="69" t="str">
        <f t="shared" si="163"/>
        <v>Piutang Usaha</v>
      </c>
      <c r="Q2552" s="61"/>
    </row>
    <row r="2553" spans="1:17" hidden="1" x14ac:dyDescent="0.25">
      <c r="A2553" s="60" t="str">
        <f t="shared" si="161"/>
        <v>522112</v>
      </c>
      <c r="B2553" s="60">
        <f>COUNTIF($J$7:J2553,J2553)</f>
        <v>522</v>
      </c>
      <c r="C2553" s="60" t="str">
        <f t="shared" si="162"/>
        <v>25112,45</v>
      </c>
      <c r="D2553" s="60">
        <f>COUNTIF($K$7:K2553,K2553)</f>
        <v>25</v>
      </c>
      <c r="E2553" s="61"/>
      <c r="F2553" s="71">
        <v>44624</v>
      </c>
      <c r="G2553" s="72">
        <f>F2553+30</f>
        <v>44654</v>
      </c>
      <c r="H2553" s="73" t="s">
        <v>1478</v>
      </c>
      <c r="I2553" s="73" t="s">
        <v>32</v>
      </c>
      <c r="J2553" s="265">
        <v>112</v>
      </c>
      <c r="K2553" s="80">
        <v>112.45</v>
      </c>
      <c r="L2553" s="224">
        <v>3024986.25</v>
      </c>
      <c r="M2553" s="223"/>
      <c r="N2553" s="223"/>
      <c r="O2553" s="61"/>
      <c r="P2553" s="69" t="str">
        <f t="shared" si="163"/>
        <v>Piutang Usaha</v>
      </c>
      <c r="Q2553" s="61"/>
    </row>
    <row r="2554" spans="1:17" hidden="1" x14ac:dyDescent="0.25">
      <c r="A2554" s="60" t="str">
        <f t="shared" si="161"/>
        <v>523112</v>
      </c>
      <c r="B2554" s="60">
        <f>COUNTIF($J$7:J2554,J2554)</f>
        <v>523</v>
      </c>
      <c r="C2554" s="60" t="str">
        <f t="shared" si="162"/>
        <v>26112,45</v>
      </c>
      <c r="D2554" s="60">
        <f>COUNTIF($K$7:K2554,K2554)</f>
        <v>26</v>
      </c>
      <c r="E2554" s="61"/>
      <c r="F2554" s="71">
        <v>44624</v>
      </c>
      <c r="G2554" s="72">
        <f>F2554+30</f>
        <v>44654</v>
      </c>
      <c r="H2554" s="73" t="s">
        <v>1479</v>
      </c>
      <c r="I2554" s="73" t="s">
        <v>32</v>
      </c>
      <c r="J2554" s="265">
        <v>112</v>
      </c>
      <c r="K2554" s="80">
        <v>112.45</v>
      </c>
      <c r="L2554" s="224">
        <v>3629983.5</v>
      </c>
      <c r="M2554" s="223"/>
      <c r="N2554" s="223"/>
      <c r="O2554" s="61"/>
      <c r="P2554" s="69" t="str">
        <f t="shared" si="163"/>
        <v>Piutang Usaha</v>
      </c>
      <c r="Q2554" s="61"/>
    </row>
    <row r="2555" spans="1:17" hidden="1" x14ac:dyDescent="0.25">
      <c r="A2555" s="60" t="str">
        <f t="shared" si="161"/>
        <v>524112</v>
      </c>
      <c r="B2555" s="60">
        <f>COUNTIF($J$7:J2555,J2555)</f>
        <v>524</v>
      </c>
      <c r="C2555" s="60" t="str">
        <f t="shared" si="162"/>
        <v>7112,57</v>
      </c>
      <c r="D2555" s="60">
        <f>COUNTIF($K$7:K2555,K2555)</f>
        <v>7</v>
      </c>
      <c r="E2555" s="61"/>
      <c r="F2555" s="71">
        <v>44624</v>
      </c>
      <c r="G2555" s="72">
        <f>F2555+30</f>
        <v>44654</v>
      </c>
      <c r="H2555" s="73" t="s">
        <v>1480</v>
      </c>
      <c r="I2555" s="73" t="s">
        <v>62</v>
      </c>
      <c r="J2555" s="265">
        <v>112</v>
      </c>
      <c r="K2555" s="80">
        <v>112.57</v>
      </c>
      <c r="L2555" s="224">
        <v>10559999.999670001</v>
      </c>
      <c r="M2555" s="223"/>
      <c r="N2555" s="223"/>
      <c r="O2555" s="61"/>
      <c r="P2555" s="69" t="str">
        <f t="shared" si="163"/>
        <v>Piutang Usaha</v>
      </c>
      <c r="Q2555" s="61"/>
    </row>
    <row r="2556" spans="1:17" hidden="1" x14ac:dyDescent="0.25">
      <c r="A2556" s="60" t="str">
        <f t="shared" si="161"/>
        <v>525112</v>
      </c>
      <c r="B2556" s="60">
        <f>COUNTIF($J$7:J2556,J2556)</f>
        <v>525</v>
      </c>
      <c r="C2556" s="60" t="str">
        <f t="shared" si="162"/>
        <v>5112,31</v>
      </c>
      <c r="D2556" s="60">
        <f>COUNTIF($K$7:K2556,K2556)</f>
        <v>5</v>
      </c>
      <c r="E2556" s="61"/>
      <c r="F2556" s="71">
        <v>44624</v>
      </c>
      <c r="G2556" s="72" t="s">
        <v>13</v>
      </c>
      <c r="H2556" s="73" t="s">
        <v>1481</v>
      </c>
      <c r="I2556" s="73" t="s">
        <v>53</v>
      </c>
      <c r="J2556" s="265">
        <v>112</v>
      </c>
      <c r="K2556" s="80">
        <v>112.31</v>
      </c>
      <c r="L2556" s="224">
        <v>4840000</v>
      </c>
      <c r="M2556" s="223"/>
      <c r="N2556" s="223"/>
      <c r="O2556" s="61"/>
      <c r="P2556" s="69" t="str">
        <f t="shared" si="163"/>
        <v>Piutang Usaha</v>
      </c>
      <c r="Q2556" s="61"/>
    </row>
    <row r="2557" spans="1:17" ht="30" hidden="1" x14ac:dyDescent="0.25">
      <c r="A2557" s="60" t="str">
        <f t="shared" si="161"/>
        <v>526112</v>
      </c>
      <c r="B2557" s="60">
        <f>COUNTIF($J$7:J2557,J2557)</f>
        <v>526</v>
      </c>
      <c r="C2557" s="60" t="str">
        <f t="shared" si="162"/>
        <v>77112,4</v>
      </c>
      <c r="D2557" s="60">
        <f>COUNTIF($K$7:K2557,K2557)</f>
        <v>77</v>
      </c>
      <c r="E2557" s="61"/>
      <c r="F2557" s="71">
        <v>44624</v>
      </c>
      <c r="G2557" s="72">
        <f>F2557+30</f>
        <v>44654</v>
      </c>
      <c r="H2557" s="73" t="s">
        <v>1482</v>
      </c>
      <c r="I2557" s="73" t="s">
        <v>34</v>
      </c>
      <c r="J2557" s="265">
        <v>112</v>
      </c>
      <c r="K2557" s="80">
        <v>112.4</v>
      </c>
      <c r="L2557" s="224">
        <v>4234980.75</v>
      </c>
      <c r="M2557" s="223"/>
      <c r="N2557" s="223"/>
      <c r="O2557" s="61"/>
      <c r="P2557" s="69" t="str">
        <f t="shared" si="163"/>
        <v>Piutang Usaha</v>
      </c>
      <c r="Q2557" s="61"/>
    </row>
    <row r="2558" spans="1:17" ht="30" hidden="1" x14ac:dyDescent="0.25">
      <c r="A2558" s="60" t="str">
        <f t="shared" si="161"/>
        <v>527112</v>
      </c>
      <c r="B2558" s="60">
        <f>COUNTIF($J$7:J2558,J2558)</f>
        <v>527</v>
      </c>
      <c r="C2558" s="60" t="str">
        <f t="shared" si="162"/>
        <v>78112,4</v>
      </c>
      <c r="D2558" s="60">
        <f>COUNTIF($K$7:K2558,K2558)</f>
        <v>78</v>
      </c>
      <c r="E2558" s="61"/>
      <c r="F2558" s="71">
        <v>44624</v>
      </c>
      <c r="G2558" s="72">
        <f>F2558+30</f>
        <v>44654</v>
      </c>
      <c r="H2558" s="73" t="s">
        <v>1483</v>
      </c>
      <c r="I2558" s="73" t="s">
        <v>34</v>
      </c>
      <c r="J2558" s="265">
        <v>112</v>
      </c>
      <c r="K2558" s="80">
        <v>112.4</v>
      </c>
      <c r="L2558" s="224">
        <v>604997.25</v>
      </c>
      <c r="M2558" s="223"/>
      <c r="N2558" s="223"/>
      <c r="O2558" s="61"/>
      <c r="P2558" s="69" t="str">
        <f t="shared" si="163"/>
        <v>Piutang Usaha</v>
      </c>
      <c r="Q2558" s="61"/>
    </row>
    <row r="2559" spans="1:17" hidden="1" x14ac:dyDescent="0.25">
      <c r="A2559" s="60" t="str">
        <f t="shared" si="161"/>
        <v>528112</v>
      </c>
      <c r="B2559" s="60">
        <f>COUNTIF($J$7:J2559,J2559)</f>
        <v>528</v>
      </c>
      <c r="C2559" s="60" t="str">
        <f t="shared" si="162"/>
        <v>94112,01</v>
      </c>
      <c r="D2559" s="60">
        <f>COUNTIF($K$7:K2559,K2559)</f>
        <v>94</v>
      </c>
      <c r="E2559" s="61"/>
      <c r="F2559" s="71">
        <v>44627</v>
      </c>
      <c r="G2559" s="72">
        <f>F2559+45</f>
        <v>44672</v>
      </c>
      <c r="H2559" s="73" t="s">
        <v>1484</v>
      </c>
      <c r="I2559" s="73" t="s">
        <v>18</v>
      </c>
      <c r="J2559" s="265">
        <v>112</v>
      </c>
      <c r="K2559" s="265">
        <v>112.01</v>
      </c>
      <c r="L2559" s="224">
        <v>21689250</v>
      </c>
      <c r="M2559" s="223"/>
      <c r="N2559" s="223"/>
      <c r="O2559" s="61"/>
      <c r="P2559" s="69" t="str">
        <f t="shared" si="163"/>
        <v>Piutang Usaha</v>
      </c>
      <c r="Q2559" s="61"/>
    </row>
    <row r="2560" spans="1:17" hidden="1" x14ac:dyDescent="0.25">
      <c r="A2560" s="60" t="str">
        <f t="shared" si="161"/>
        <v>529112</v>
      </c>
      <c r="B2560" s="60">
        <f>COUNTIF($J$7:J2560,J2560)</f>
        <v>529</v>
      </c>
      <c r="C2560" s="60" t="str">
        <f t="shared" si="162"/>
        <v>95112,01</v>
      </c>
      <c r="D2560" s="60">
        <f>COUNTIF($K$7:K2560,K2560)</f>
        <v>95</v>
      </c>
      <c r="E2560" s="61"/>
      <c r="F2560" s="71">
        <v>44627</v>
      </c>
      <c r="G2560" s="72">
        <f>F2560+45</f>
        <v>44672</v>
      </c>
      <c r="H2560" s="73" t="s">
        <v>1485</v>
      </c>
      <c r="I2560" s="73" t="s">
        <v>18</v>
      </c>
      <c r="J2560" s="265">
        <v>112</v>
      </c>
      <c r="K2560" s="265">
        <v>112.01</v>
      </c>
      <c r="L2560" s="224">
        <v>22481250</v>
      </c>
      <c r="M2560" s="223"/>
      <c r="N2560" s="223"/>
      <c r="O2560" s="61"/>
      <c r="P2560" s="69" t="str">
        <f t="shared" si="163"/>
        <v>Piutang Usaha</v>
      </c>
      <c r="Q2560" s="61"/>
    </row>
    <row r="2561" spans="1:17" hidden="1" x14ac:dyDescent="0.25">
      <c r="A2561" s="60" t="str">
        <f t="shared" si="161"/>
        <v>530112</v>
      </c>
      <c r="B2561" s="60">
        <f>COUNTIF($J$7:J2561,J2561)</f>
        <v>530</v>
      </c>
      <c r="C2561" s="60" t="str">
        <f t="shared" si="162"/>
        <v>27112,45</v>
      </c>
      <c r="D2561" s="60">
        <f>COUNTIF($K$7:K2561,K2561)</f>
        <v>27</v>
      </c>
      <c r="E2561" s="61"/>
      <c r="F2561" s="71">
        <v>44627</v>
      </c>
      <c r="G2561" s="72">
        <f t="shared" ref="G2561:G2568" si="164">F2561+30</f>
        <v>44657</v>
      </c>
      <c r="H2561" s="73" t="s">
        <v>1486</v>
      </c>
      <c r="I2561" s="73" t="s">
        <v>32</v>
      </c>
      <c r="J2561" s="265">
        <v>112</v>
      </c>
      <c r="K2561" s="80">
        <v>112.45</v>
      </c>
      <c r="L2561" s="224">
        <v>4839978</v>
      </c>
      <c r="M2561" s="223"/>
      <c r="N2561" s="223"/>
      <c r="O2561" s="61"/>
      <c r="P2561" s="69" t="str">
        <f t="shared" si="163"/>
        <v>Piutang Usaha</v>
      </c>
      <c r="Q2561" s="61"/>
    </row>
    <row r="2562" spans="1:17" hidden="1" x14ac:dyDescent="0.25">
      <c r="A2562" s="60" t="str">
        <f t="shared" si="161"/>
        <v>531112</v>
      </c>
      <c r="B2562" s="60">
        <f>COUNTIF($J$7:J2562,J2562)</f>
        <v>531</v>
      </c>
      <c r="C2562" s="60" t="str">
        <f t="shared" si="162"/>
        <v>33112,43</v>
      </c>
      <c r="D2562" s="60">
        <f>COUNTIF($K$7:K2562,K2562)</f>
        <v>33</v>
      </c>
      <c r="E2562" s="61"/>
      <c r="F2562" s="71">
        <v>44627</v>
      </c>
      <c r="G2562" s="72">
        <f t="shared" si="164"/>
        <v>44657</v>
      </c>
      <c r="H2562" s="73" t="s">
        <v>1487</v>
      </c>
      <c r="I2562" s="73" t="s">
        <v>41</v>
      </c>
      <c r="J2562" s="265">
        <v>112</v>
      </c>
      <c r="K2562" s="80">
        <v>112.43</v>
      </c>
      <c r="L2562" s="224">
        <v>62832000</v>
      </c>
      <c r="M2562" s="223"/>
      <c r="N2562" s="223"/>
      <c r="O2562" s="61"/>
      <c r="P2562" s="69" t="str">
        <f t="shared" si="163"/>
        <v>Piutang Usaha</v>
      </c>
      <c r="Q2562" s="61"/>
    </row>
    <row r="2563" spans="1:17" ht="30" hidden="1" x14ac:dyDescent="0.25">
      <c r="A2563" s="60" t="str">
        <f t="shared" si="161"/>
        <v>532112</v>
      </c>
      <c r="B2563" s="60">
        <f>COUNTIF($J$7:J2563,J2563)</f>
        <v>532</v>
      </c>
      <c r="C2563" s="60" t="str">
        <f t="shared" si="162"/>
        <v>79112,4</v>
      </c>
      <c r="D2563" s="60">
        <f>COUNTIF($K$7:K2563,K2563)</f>
        <v>79</v>
      </c>
      <c r="E2563" s="61"/>
      <c r="F2563" s="71">
        <v>44627</v>
      </c>
      <c r="G2563" s="72">
        <f t="shared" si="164"/>
        <v>44657</v>
      </c>
      <c r="H2563" s="73" t="s">
        <v>1488</v>
      </c>
      <c r="I2563" s="73" t="s">
        <v>34</v>
      </c>
      <c r="J2563" s="265">
        <v>112</v>
      </c>
      <c r="K2563" s="80">
        <v>112.4</v>
      </c>
      <c r="L2563" s="224">
        <v>1814991.75</v>
      </c>
      <c r="M2563" s="223"/>
      <c r="N2563" s="223"/>
      <c r="O2563" s="61"/>
      <c r="P2563" s="69" t="str">
        <f t="shared" si="163"/>
        <v>Piutang Usaha</v>
      </c>
      <c r="Q2563" s="61"/>
    </row>
    <row r="2564" spans="1:17" hidden="1" x14ac:dyDescent="0.25">
      <c r="A2564" s="60" t="str">
        <f t="shared" si="161"/>
        <v>533112</v>
      </c>
      <c r="B2564" s="60">
        <f>COUNTIF($J$7:J2564,J2564)</f>
        <v>533</v>
      </c>
      <c r="C2564" s="60" t="str">
        <f t="shared" si="162"/>
        <v>32112,3</v>
      </c>
      <c r="D2564" s="60">
        <f>COUNTIF($K$7:K2564,K2564)</f>
        <v>32</v>
      </c>
      <c r="E2564" s="61"/>
      <c r="F2564" s="71">
        <v>44627</v>
      </c>
      <c r="G2564" s="72">
        <f t="shared" si="164"/>
        <v>44657</v>
      </c>
      <c r="H2564" s="73" t="s">
        <v>1489</v>
      </c>
      <c r="I2564" s="73" t="s">
        <v>48</v>
      </c>
      <c r="J2564" s="265">
        <v>112</v>
      </c>
      <c r="K2564" s="80">
        <v>112.3</v>
      </c>
      <c r="L2564" s="224">
        <v>4290000</v>
      </c>
      <c r="M2564" s="223"/>
      <c r="N2564" s="223"/>
      <c r="O2564" s="61"/>
      <c r="P2564" s="69" t="str">
        <f t="shared" si="163"/>
        <v>Piutang Usaha</v>
      </c>
      <c r="Q2564" s="61"/>
    </row>
    <row r="2565" spans="1:17" hidden="1" x14ac:dyDescent="0.25">
      <c r="A2565" s="60" t="str">
        <f t="shared" si="161"/>
        <v>534112</v>
      </c>
      <c r="B2565" s="60">
        <f>COUNTIF($J$7:J2565,J2565)</f>
        <v>534</v>
      </c>
      <c r="C2565" s="60" t="str">
        <f t="shared" si="162"/>
        <v>33112,3</v>
      </c>
      <c r="D2565" s="60">
        <f>COUNTIF($K$7:K2565,K2565)</f>
        <v>33</v>
      </c>
      <c r="E2565" s="61"/>
      <c r="F2565" s="71">
        <v>44627</v>
      </c>
      <c r="G2565" s="72">
        <f t="shared" si="164"/>
        <v>44657</v>
      </c>
      <c r="H2565" s="73" t="s">
        <v>1490</v>
      </c>
      <c r="I2565" s="73" t="s">
        <v>48</v>
      </c>
      <c r="J2565" s="265">
        <v>112</v>
      </c>
      <c r="K2565" s="80">
        <v>112.3</v>
      </c>
      <c r="L2565" s="224">
        <v>4290000</v>
      </c>
      <c r="M2565" s="223"/>
      <c r="N2565" s="223"/>
      <c r="O2565" s="61"/>
      <c r="P2565" s="69" t="str">
        <f t="shared" si="163"/>
        <v>Piutang Usaha</v>
      </c>
      <c r="Q2565" s="61"/>
    </row>
    <row r="2566" spans="1:17" hidden="1" x14ac:dyDescent="0.25">
      <c r="A2566" s="60" t="str">
        <f t="shared" si="161"/>
        <v>535112</v>
      </c>
      <c r="B2566" s="60">
        <f>COUNTIF($J$7:J2566,J2566)</f>
        <v>535</v>
      </c>
      <c r="C2566" s="60" t="str">
        <f t="shared" si="162"/>
        <v>56112,02</v>
      </c>
      <c r="D2566" s="60">
        <f>COUNTIF($K$7:K2566,K2566)</f>
        <v>56</v>
      </c>
      <c r="E2566" s="61"/>
      <c r="F2566" s="71">
        <v>44628</v>
      </c>
      <c r="G2566" s="72">
        <f t="shared" si="164"/>
        <v>44658</v>
      </c>
      <c r="H2566" s="73" t="s">
        <v>1491</v>
      </c>
      <c r="I2566" s="73" t="s">
        <v>20</v>
      </c>
      <c r="J2566" s="265">
        <v>112</v>
      </c>
      <c r="K2566" s="265">
        <v>112.02</v>
      </c>
      <c r="L2566" s="224">
        <v>19651500</v>
      </c>
      <c r="M2566" s="223"/>
      <c r="N2566" s="223"/>
      <c r="O2566" s="61"/>
      <c r="P2566" s="69" t="str">
        <f t="shared" si="163"/>
        <v>Piutang Usaha</v>
      </c>
      <c r="Q2566" s="61"/>
    </row>
    <row r="2567" spans="1:17" hidden="1" x14ac:dyDescent="0.25">
      <c r="A2567" s="60" t="str">
        <f t="shared" ref="A2567:A2630" si="165">B2567&amp;J2567</f>
        <v>536112</v>
      </c>
      <c r="B2567" s="60">
        <f>COUNTIF($J$7:J2567,J2567)</f>
        <v>536</v>
      </c>
      <c r="C2567" s="60" t="str">
        <f t="shared" ref="C2567:C2630" si="166">D2567&amp;K2567</f>
        <v>57112,02</v>
      </c>
      <c r="D2567" s="60">
        <f>COUNTIF($K$7:K2567,K2567)</f>
        <v>57</v>
      </c>
      <c r="E2567" s="61"/>
      <c r="F2567" s="71">
        <v>44628</v>
      </c>
      <c r="G2567" s="72">
        <f t="shared" si="164"/>
        <v>44658</v>
      </c>
      <c r="H2567" s="73" t="s">
        <v>1492</v>
      </c>
      <c r="I2567" s="73" t="s">
        <v>20</v>
      </c>
      <c r="J2567" s="265">
        <v>112</v>
      </c>
      <c r="K2567" s="265">
        <v>112.02</v>
      </c>
      <c r="L2567" s="224">
        <v>1804000</v>
      </c>
      <c r="M2567" s="223"/>
      <c r="N2567" s="223"/>
      <c r="O2567" s="61"/>
      <c r="P2567" s="69" t="str">
        <f t="shared" ref="P2567:P2630" si="167">IF(J2567=0,"-",+VLOOKUP(J2567,DAF_AKUN,2,FALSE))</f>
        <v>Piutang Usaha</v>
      </c>
      <c r="Q2567" s="61"/>
    </row>
    <row r="2568" spans="1:17" hidden="1" x14ac:dyDescent="0.25">
      <c r="A2568" s="60" t="str">
        <f t="shared" si="165"/>
        <v>537112</v>
      </c>
      <c r="B2568" s="60">
        <f>COUNTIF($J$7:J2568,J2568)</f>
        <v>537</v>
      </c>
      <c r="C2568" s="60" t="str">
        <f t="shared" si="166"/>
        <v>14112,04</v>
      </c>
      <c r="D2568" s="60">
        <f>COUNTIF($K$7:K2568,K2568)</f>
        <v>14</v>
      </c>
      <c r="E2568" s="61"/>
      <c r="F2568" s="71">
        <v>44628</v>
      </c>
      <c r="G2568" s="72">
        <f t="shared" si="164"/>
        <v>44658</v>
      </c>
      <c r="H2568" s="73" t="s">
        <v>1493</v>
      </c>
      <c r="I2568" s="73" t="s">
        <v>26</v>
      </c>
      <c r="J2568" s="265">
        <v>112</v>
      </c>
      <c r="K2568" s="80">
        <v>112.04</v>
      </c>
      <c r="L2568" s="224">
        <v>935000</v>
      </c>
      <c r="M2568" s="223"/>
      <c r="N2568" s="223"/>
      <c r="O2568" s="61"/>
      <c r="P2568" s="69" t="str">
        <f t="shared" si="167"/>
        <v>Piutang Usaha</v>
      </c>
      <c r="Q2568" s="61"/>
    </row>
    <row r="2569" spans="1:17" hidden="1" x14ac:dyDescent="0.25">
      <c r="A2569" s="60" t="str">
        <f t="shared" si="165"/>
        <v>538112</v>
      </c>
      <c r="B2569" s="60">
        <f>COUNTIF($J$7:J2569,J2569)</f>
        <v>538</v>
      </c>
      <c r="C2569" s="60" t="str">
        <f t="shared" si="166"/>
        <v>83112,06</v>
      </c>
      <c r="D2569" s="60">
        <f>COUNTIF($K$7:K2569,K2569)</f>
        <v>83</v>
      </c>
      <c r="E2569" s="61"/>
      <c r="F2569" s="71">
        <v>44628</v>
      </c>
      <c r="G2569" s="72">
        <f>F2569+45</f>
        <v>44673</v>
      </c>
      <c r="H2569" s="73" t="s">
        <v>1494</v>
      </c>
      <c r="I2569" s="73" t="s">
        <v>37</v>
      </c>
      <c r="J2569" s="265">
        <v>112</v>
      </c>
      <c r="K2569" s="80">
        <v>112.06</v>
      </c>
      <c r="L2569" s="224">
        <v>26020500</v>
      </c>
      <c r="M2569" s="223"/>
      <c r="N2569" s="223"/>
      <c r="O2569" s="61"/>
      <c r="P2569" s="69" t="str">
        <f t="shared" si="167"/>
        <v>Piutang Usaha</v>
      </c>
      <c r="Q2569" s="61"/>
    </row>
    <row r="2570" spans="1:17" hidden="1" x14ac:dyDescent="0.25">
      <c r="A2570" s="60" t="str">
        <f t="shared" si="165"/>
        <v>539112</v>
      </c>
      <c r="B2570" s="60">
        <f>COUNTIF($J$7:J2570,J2570)</f>
        <v>539</v>
      </c>
      <c r="C2570" s="60" t="str">
        <f t="shared" si="166"/>
        <v>1112,72</v>
      </c>
      <c r="D2570" s="60">
        <f>COUNTIF($K$7:K2570,K2570)</f>
        <v>1</v>
      </c>
      <c r="E2570" s="61"/>
      <c r="F2570" s="71">
        <v>44628</v>
      </c>
      <c r="G2570" s="267">
        <f>F2570+30</f>
        <v>44658</v>
      </c>
      <c r="H2570" s="73" t="s">
        <v>1495</v>
      </c>
      <c r="I2570" s="73" t="s">
        <v>915</v>
      </c>
      <c r="J2570" s="265">
        <v>112</v>
      </c>
      <c r="K2570" s="80">
        <v>112.72</v>
      </c>
      <c r="L2570" s="224">
        <v>8976000</v>
      </c>
      <c r="M2570" s="223"/>
      <c r="N2570" s="223"/>
      <c r="O2570" s="61"/>
      <c r="P2570" s="69" t="str">
        <f t="shared" si="167"/>
        <v>Piutang Usaha</v>
      </c>
      <c r="Q2570" s="61"/>
    </row>
    <row r="2571" spans="1:17" hidden="1" x14ac:dyDescent="0.25">
      <c r="A2571" s="60" t="str">
        <f t="shared" si="165"/>
        <v>540112</v>
      </c>
      <c r="B2571" s="60">
        <f>COUNTIF($J$7:J2571,J2571)</f>
        <v>540</v>
      </c>
      <c r="C2571" s="60" t="str">
        <f t="shared" si="166"/>
        <v>5112,67</v>
      </c>
      <c r="D2571" s="60">
        <f>COUNTIF($K$7:K2571,K2571)</f>
        <v>5</v>
      </c>
      <c r="E2571" s="61"/>
      <c r="F2571" s="71">
        <v>44628</v>
      </c>
      <c r="G2571" s="267">
        <f>F2571+30</f>
        <v>44658</v>
      </c>
      <c r="H2571" s="73" t="s">
        <v>1496</v>
      </c>
      <c r="I2571" s="73" t="s">
        <v>124</v>
      </c>
      <c r="J2571" s="265">
        <v>112</v>
      </c>
      <c r="K2571" s="80">
        <v>112.67</v>
      </c>
      <c r="L2571" s="224">
        <v>14256000</v>
      </c>
      <c r="M2571" s="223"/>
      <c r="N2571" s="223"/>
      <c r="O2571" s="61"/>
      <c r="P2571" s="69" t="str">
        <f t="shared" si="167"/>
        <v>Piutang Usaha</v>
      </c>
      <c r="Q2571" s="61"/>
    </row>
    <row r="2572" spans="1:17" hidden="1" x14ac:dyDescent="0.25">
      <c r="A2572" s="60" t="str">
        <f t="shared" si="165"/>
        <v>541112</v>
      </c>
      <c r="B2572" s="60">
        <f>COUNTIF($J$7:J2572,J2572)</f>
        <v>541</v>
      </c>
      <c r="C2572" s="60" t="str">
        <f t="shared" si="166"/>
        <v>28112,45</v>
      </c>
      <c r="D2572" s="60">
        <f>COUNTIF($K$7:K2572,K2572)</f>
        <v>28</v>
      </c>
      <c r="E2572" s="61"/>
      <c r="F2572" s="71">
        <v>44629</v>
      </c>
      <c r="G2572" s="72">
        <f>F2572+30</f>
        <v>44659</v>
      </c>
      <c r="H2572" s="73" t="s">
        <v>1497</v>
      </c>
      <c r="I2572" s="73" t="s">
        <v>32</v>
      </c>
      <c r="J2572" s="265">
        <v>112</v>
      </c>
      <c r="K2572" s="80">
        <v>112.45</v>
      </c>
      <c r="L2572" s="224">
        <v>1814991.75</v>
      </c>
      <c r="M2572" s="223"/>
      <c r="N2572" s="223"/>
      <c r="O2572" s="61"/>
      <c r="P2572" s="69" t="str">
        <f t="shared" si="167"/>
        <v>Piutang Usaha</v>
      </c>
      <c r="Q2572" s="61"/>
    </row>
    <row r="2573" spans="1:17" hidden="1" x14ac:dyDescent="0.25">
      <c r="A2573" s="60" t="str">
        <f t="shared" si="165"/>
        <v>542112</v>
      </c>
      <c r="B2573" s="60">
        <f>COUNTIF($J$7:J2573,J2573)</f>
        <v>542</v>
      </c>
      <c r="C2573" s="60" t="str">
        <f t="shared" si="166"/>
        <v>29112,45</v>
      </c>
      <c r="D2573" s="60">
        <f>COUNTIF($K$7:K2573,K2573)</f>
        <v>29</v>
      </c>
      <c r="E2573" s="61"/>
      <c r="F2573" s="71">
        <v>44629</v>
      </c>
      <c r="G2573" s="72">
        <f>F2573+30</f>
        <v>44659</v>
      </c>
      <c r="H2573" s="73" t="s">
        <v>1498</v>
      </c>
      <c r="I2573" s="73" t="s">
        <v>32</v>
      </c>
      <c r="J2573" s="265">
        <v>112</v>
      </c>
      <c r="K2573" s="80">
        <v>112.45</v>
      </c>
      <c r="L2573" s="224">
        <v>12776500</v>
      </c>
      <c r="M2573" s="223"/>
      <c r="N2573" s="223"/>
      <c r="O2573" s="61"/>
      <c r="P2573" s="69" t="str">
        <f t="shared" si="167"/>
        <v>Piutang Usaha</v>
      </c>
      <c r="Q2573" s="61"/>
    </row>
    <row r="2574" spans="1:17" ht="27.6" hidden="1" customHeight="1" x14ac:dyDescent="0.25">
      <c r="A2574" s="60" t="str">
        <f t="shared" si="165"/>
        <v>543112</v>
      </c>
      <c r="B2574" s="60">
        <f>COUNTIF($J$7:J2574,J2574)</f>
        <v>543</v>
      </c>
      <c r="C2574" s="60" t="str">
        <f t="shared" si="166"/>
        <v>96112,01</v>
      </c>
      <c r="D2574" s="60">
        <f>COUNTIF($K$7:K2574,K2574)</f>
        <v>96</v>
      </c>
      <c r="E2574" s="61"/>
      <c r="F2574" s="71">
        <v>44629</v>
      </c>
      <c r="G2574" s="72">
        <f>F2574+45</f>
        <v>44674</v>
      </c>
      <c r="H2574" s="73" t="s">
        <v>1499</v>
      </c>
      <c r="I2574" s="268" t="s">
        <v>18</v>
      </c>
      <c r="J2574" s="265">
        <v>112</v>
      </c>
      <c r="K2574" s="80">
        <v>112.01</v>
      </c>
      <c r="L2574" s="224">
        <v>154753500</v>
      </c>
      <c r="M2574" s="223"/>
      <c r="N2574" s="223"/>
      <c r="O2574" s="61"/>
      <c r="P2574" s="69" t="str">
        <f t="shared" si="167"/>
        <v>Piutang Usaha</v>
      </c>
      <c r="Q2574" s="61"/>
    </row>
    <row r="2575" spans="1:17" ht="27.6" hidden="1" customHeight="1" x14ac:dyDescent="0.25">
      <c r="A2575" s="60" t="str">
        <f t="shared" si="165"/>
        <v>544112</v>
      </c>
      <c r="B2575" s="60">
        <f>COUNTIF($J$7:J2575,J2575)</f>
        <v>544</v>
      </c>
      <c r="C2575" s="60" t="str">
        <f t="shared" si="166"/>
        <v>58112,02</v>
      </c>
      <c r="D2575" s="60">
        <f>COUNTIF($K$7:K2575,K2575)</f>
        <v>58</v>
      </c>
      <c r="E2575" s="61"/>
      <c r="F2575" s="71">
        <v>44629</v>
      </c>
      <c r="G2575" s="72">
        <f>F2575+45</f>
        <v>44674</v>
      </c>
      <c r="H2575" s="73" t="s">
        <v>1500</v>
      </c>
      <c r="I2575" s="268" t="s">
        <v>20</v>
      </c>
      <c r="J2575" s="265">
        <v>112</v>
      </c>
      <c r="K2575" s="80">
        <v>112.02</v>
      </c>
      <c r="L2575" s="224">
        <v>16112250</v>
      </c>
      <c r="M2575" s="223"/>
      <c r="N2575" s="223"/>
      <c r="O2575" s="61"/>
      <c r="P2575" s="69" t="str">
        <f t="shared" si="167"/>
        <v>Piutang Usaha</v>
      </c>
      <c r="Q2575" s="61"/>
    </row>
    <row r="2576" spans="1:17" ht="27.6" hidden="1" customHeight="1" x14ac:dyDescent="0.25">
      <c r="A2576" s="60" t="str">
        <f t="shared" si="165"/>
        <v>545112</v>
      </c>
      <c r="B2576" s="60">
        <f>COUNTIF($J$7:J2576,J2576)</f>
        <v>545</v>
      </c>
      <c r="C2576" s="60" t="str">
        <f t="shared" si="166"/>
        <v>80112,4</v>
      </c>
      <c r="D2576" s="60">
        <f>COUNTIF($K$7:K2576,K2576)</f>
        <v>80</v>
      </c>
      <c r="E2576" s="61"/>
      <c r="F2576" s="71">
        <v>44629</v>
      </c>
      <c r="G2576" s="267">
        <f>F2576+30</f>
        <v>44659</v>
      </c>
      <c r="H2576" s="73" t="s">
        <v>1501</v>
      </c>
      <c r="I2576" s="268" t="s">
        <v>34</v>
      </c>
      <c r="J2576" s="265">
        <v>112</v>
      </c>
      <c r="K2576" s="80">
        <v>112.4</v>
      </c>
      <c r="L2576" s="224">
        <v>1209994.5</v>
      </c>
      <c r="M2576" s="223"/>
      <c r="N2576" s="223"/>
      <c r="O2576" s="61"/>
      <c r="P2576" s="69" t="str">
        <f t="shared" si="167"/>
        <v>Piutang Usaha</v>
      </c>
      <c r="Q2576" s="61"/>
    </row>
    <row r="2577" spans="1:17" ht="22.9" hidden="1" customHeight="1" x14ac:dyDescent="0.25">
      <c r="A2577" s="60" t="str">
        <f t="shared" si="165"/>
        <v>546112</v>
      </c>
      <c r="B2577" s="60">
        <f>COUNTIF($J$7:J2577,J2577)</f>
        <v>546</v>
      </c>
      <c r="C2577" s="60" t="str">
        <f t="shared" si="166"/>
        <v>15112,07</v>
      </c>
      <c r="D2577" s="60">
        <f>COUNTIF($K$7:K2577,K2577)</f>
        <v>15</v>
      </c>
      <c r="E2577" s="61"/>
      <c r="F2577" s="71">
        <v>44630</v>
      </c>
      <c r="G2577" s="72">
        <f>F2577+1</f>
        <v>44631</v>
      </c>
      <c r="H2577" s="73" t="s">
        <v>1502</v>
      </c>
      <c r="I2577" s="73" t="s">
        <v>99</v>
      </c>
      <c r="J2577" s="265">
        <v>112</v>
      </c>
      <c r="K2577" s="80">
        <v>112.07</v>
      </c>
      <c r="L2577" s="224">
        <v>4262500</v>
      </c>
      <c r="M2577" s="223"/>
      <c r="N2577" s="223"/>
      <c r="O2577" s="61"/>
      <c r="P2577" s="69" t="str">
        <f t="shared" si="167"/>
        <v>Piutang Usaha</v>
      </c>
      <c r="Q2577" s="61"/>
    </row>
    <row r="2578" spans="1:17" ht="22.9" hidden="1" customHeight="1" x14ac:dyDescent="0.25">
      <c r="A2578" s="60" t="str">
        <f t="shared" si="165"/>
        <v>547112</v>
      </c>
      <c r="B2578" s="60">
        <f>COUNTIF($J$7:J2578,J2578)</f>
        <v>547</v>
      </c>
      <c r="C2578" s="60" t="str">
        <f t="shared" si="166"/>
        <v>34112,43</v>
      </c>
      <c r="D2578" s="60">
        <f>COUNTIF($K$7:K2578,K2578)</f>
        <v>34</v>
      </c>
      <c r="E2578" s="61"/>
      <c r="F2578" s="71">
        <v>44630</v>
      </c>
      <c r="G2578" s="72">
        <f>F2578+30</f>
        <v>44660</v>
      </c>
      <c r="H2578" s="73" t="s">
        <v>1503</v>
      </c>
      <c r="I2578" s="73" t="s">
        <v>41</v>
      </c>
      <c r="J2578" s="265">
        <v>112</v>
      </c>
      <c r="K2578" s="80">
        <v>112.43</v>
      </c>
      <c r="L2578" s="224">
        <v>47685000</v>
      </c>
      <c r="M2578" s="223"/>
      <c r="N2578" s="223"/>
      <c r="O2578" s="61"/>
      <c r="P2578" s="69" t="str">
        <f t="shared" si="167"/>
        <v>Piutang Usaha</v>
      </c>
      <c r="Q2578" s="61"/>
    </row>
    <row r="2579" spans="1:17" ht="22.9" hidden="1" customHeight="1" x14ac:dyDescent="0.25">
      <c r="A2579" s="60" t="str">
        <f t="shared" si="165"/>
        <v>548112</v>
      </c>
      <c r="B2579" s="60">
        <f>COUNTIF($J$7:J2579,J2579)</f>
        <v>548</v>
      </c>
      <c r="C2579" s="60" t="str">
        <f t="shared" si="166"/>
        <v>35112,43</v>
      </c>
      <c r="D2579" s="60">
        <f>COUNTIF($K$7:K2579,K2579)</f>
        <v>35</v>
      </c>
      <c r="E2579" s="61"/>
      <c r="F2579" s="71">
        <v>44630</v>
      </c>
      <c r="G2579" s="72">
        <f>F2579+30</f>
        <v>44660</v>
      </c>
      <c r="H2579" s="73" t="s">
        <v>1504</v>
      </c>
      <c r="I2579" s="73" t="s">
        <v>41</v>
      </c>
      <c r="J2579" s="265">
        <v>112</v>
      </c>
      <c r="K2579" s="80">
        <v>112.43</v>
      </c>
      <c r="L2579" s="224">
        <v>3465000</v>
      </c>
      <c r="M2579" s="223"/>
      <c r="N2579" s="223"/>
      <c r="O2579" s="61"/>
      <c r="P2579" s="69" t="str">
        <f t="shared" si="167"/>
        <v>Piutang Usaha</v>
      </c>
      <c r="Q2579" s="61"/>
    </row>
    <row r="2580" spans="1:17" hidden="1" x14ac:dyDescent="0.25">
      <c r="A2580" s="60" t="str">
        <f t="shared" si="165"/>
        <v>549112</v>
      </c>
      <c r="B2580" s="60">
        <f>COUNTIF($J$7:J2580,J2580)</f>
        <v>549</v>
      </c>
      <c r="C2580" s="60" t="str">
        <f t="shared" si="166"/>
        <v>97112,01</v>
      </c>
      <c r="D2580" s="60">
        <f>COUNTIF($K$7:K2580,K2580)</f>
        <v>97</v>
      </c>
      <c r="E2580" s="61"/>
      <c r="F2580" s="71">
        <v>44630</v>
      </c>
      <c r="G2580" s="72">
        <f t="shared" ref="G2580:G2588" si="168">F2580+45</f>
        <v>44675</v>
      </c>
      <c r="H2580" s="73" t="s">
        <v>1505</v>
      </c>
      <c r="I2580" s="268" t="s">
        <v>18</v>
      </c>
      <c r="J2580" s="265">
        <v>112</v>
      </c>
      <c r="K2580" s="80">
        <v>112.01</v>
      </c>
      <c r="L2580" s="224">
        <v>16747500</v>
      </c>
      <c r="M2580" s="223"/>
      <c r="N2580" s="223"/>
      <c r="O2580" s="61"/>
      <c r="P2580" s="69" t="str">
        <f t="shared" si="167"/>
        <v>Piutang Usaha</v>
      </c>
      <c r="Q2580" s="61"/>
    </row>
    <row r="2581" spans="1:17" hidden="1" x14ac:dyDescent="0.25">
      <c r="A2581" s="60" t="str">
        <f t="shared" si="165"/>
        <v>550112</v>
      </c>
      <c r="B2581" s="60">
        <f>COUNTIF($J$7:J2581,J2581)</f>
        <v>550</v>
      </c>
      <c r="C2581" s="60" t="str">
        <f t="shared" si="166"/>
        <v>59112,02</v>
      </c>
      <c r="D2581" s="60">
        <f>COUNTIF($K$7:K2581,K2581)</f>
        <v>59</v>
      </c>
      <c r="E2581" s="61"/>
      <c r="F2581" s="71">
        <v>44630</v>
      </c>
      <c r="G2581" s="72">
        <f t="shared" si="168"/>
        <v>44675</v>
      </c>
      <c r="H2581" s="73" t="s">
        <v>1506</v>
      </c>
      <c r="I2581" s="268" t="s">
        <v>20</v>
      </c>
      <c r="J2581" s="265">
        <v>112</v>
      </c>
      <c r="K2581" s="80">
        <v>112.02</v>
      </c>
      <c r="L2581" s="224">
        <v>3943500</v>
      </c>
      <c r="M2581" s="223"/>
      <c r="N2581" s="223"/>
      <c r="O2581" s="61"/>
      <c r="P2581" s="69" t="str">
        <f t="shared" si="167"/>
        <v>Piutang Usaha</v>
      </c>
      <c r="Q2581" s="61"/>
    </row>
    <row r="2582" spans="1:17" hidden="1" x14ac:dyDescent="0.25">
      <c r="A2582" s="60" t="str">
        <f t="shared" si="165"/>
        <v>551112</v>
      </c>
      <c r="B2582" s="60">
        <f>COUNTIF($J$7:J2582,J2582)</f>
        <v>551</v>
      </c>
      <c r="C2582" s="60" t="str">
        <f t="shared" si="166"/>
        <v>60112,02</v>
      </c>
      <c r="D2582" s="60">
        <f>COUNTIF($K$7:K2582,K2582)</f>
        <v>60</v>
      </c>
      <c r="E2582" s="61"/>
      <c r="F2582" s="71">
        <v>44630</v>
      </c>
      <c r="G2582" s="72">
        <f t="shared" si="168"/>
        <v>44675</v>
      </c>
      <c r="H2582" s="73" t="s">
        <v>1507</v>
      </c>
      <c r="I2582" s="268" t="s">
        <v>20</v>
      </c>
      <c r="J2582" s="265">
        <v>112</v>
      </c>
      <c r="K2582" s="80">
        <v>112.02</v>
      </c>
      <c r="L2582" s="224">
        <v>3349500</v>
      </c>
      <c r="M2582" s="223"/>
      <c r="N2582" s="223"/>
      <c r="O2582" s="61"/>
      <c r="P2582" s="69" t="str">
        <f t="shared" si="167"/>
        <v>Piutang Usaha</v>
      </c>
      <c r="Q2582" s="61"/>
    </row>
    <row r="2583" spans="1:17" hidden="1" x14ac:dyDescent="0.25">
      <c r="A2583" s="60" t="str">
        <f t="shared" si="165"/>
        <v>552112</v>
      </c>
      <c r="B2583" s="60">
        <f>COUNTIF($J$7:J2583,J2583)</f>
        <v>552</v>
      </c>
      <c r="C2583" s="60" t="str">
        <f t="shared" si="166"/>
        <v>61112,02</v>
      </c>
      <c r="D2583" s="60">
        <f>COUNTIF($K$7:K2583,K2583)</f>
        <v>61</v>
      </c>
      <c r="E2583" s="61"/>
      <c r="F2583" s="71">
        <v>44630</v>
      </c>
      <c r="G2583" s="72">
        <f t="shared" si="168"/>
        <v>44675</v>
      </c>
      <c r="H2583" s="73" t="s">
        <v>1508</v>
      </c>
      <c r="I2583" s="268" t="s">
        <v>20</v>
      </c>
      <c r="J2583" s="265">
        <v>112</v>
      </c>
      <c r="K2583" s="80">
        <v>112.02</v>
      </c>
      <c r="L2583" s="224">
        <v>3943500</v>
      </c>
      <c r="M2583" s="223"/>
      <c r="N2583" s="223"/>
      <c r="O2583" s="61"/>
      <c r="P2583" s="69" t="str">
        <f t="shared" si="167"/>
        <v>Piutang Usaha</v>
      </c>
      <c r="Q2583" s="61"/>
    </row>
    <row r="2584" spans="1:17" hidden="1" x14ac:dyDescent="0.25">
      <c r="A2584" s="60" t="str">
        <f t="shared" si="165"/>
        <v>553112</v>
      </c>
      <c r="B2584" s="60">
        <f>COUNTIF($J$7:J2584,J2584)</f>
        <v>553</v>
      </c>
      <c r="C2584" s="60" t="str">
        <f t="shared" si="166"/>
        <v>62112,02</v>
      </c>
      <c r="D2584" s="60">
        <f>COUNTIF($K$7:K2584,K2584)</f>
        <v>62</v>
      </c>
      <c r="E2584" s="61"/>
      <c r="F2584" s="71">
        <v>44630</v>
      </c>
      <c r="G2584" s="72">
        <f t="shared" si="168"/>
        <v>44675</v>
      </c>
      <c r="H2584" s="73" t="s">
        <v>1509</v>
      </c>
      <c r="I2584" s="268" t="s">
        <v>20</v>
      </c>
      <c r="J2584" s="265">
        <v>112</v>
      </c>
      <c r="K2584" s="80">
        <v>112.02</v>
      </c>
      <c r="L2584" s="224">
        <v>21689250</v>
      </c>
      <c r="M2584" s="223"/>
      <c r="N2584" s="223"/>
      <c r="O2584" s="61"/>
      <c r="P2584" s="69" t="str">
        <f t="shared" si="167"/>
        <v>Piutang Usaha</v>
      </c>
      <c r="Q2584" s="61"/>
    </row>
    <row r="2585" spans="1:17" hidden="1" x14ac:dyDescent="0.25">
      <c r="A2585" s="60" t="str">
        <f t="shared" si="165"/>
        <v>554112</v>
      </c>
      <c r="B2585" s="60">
        <f>COUNTIF($J$7:J2585,J2585)</f>
        <v>554</v>
      </c>
      <c r="C2585" s="60" t="str">
        <f t="shared" si="166"/>
        <v>63112,02</v>
      </c>
      <c r="D2585" s="60">
        <f>COUNTIF($K$7:K2585,K2585)</f>
        <v>63</v>
      </c>
      <c r="E2585" s="61"/>
      <c r="F2585" s="71">
        <v>44630</v>
      </c>
      <c r="G2585" s="72">
        <f t="shared" si="168"/>
        <v>44675</v>
      </c>
      <c r="H2585" s="73" t="s">
        <v>1510</v>
      </c>
      <c r="I2585" s="268" t="s">
        <v>20</v>
      </c>
      <c r="J2585" s="265">
        <v>112</v>
      </c>
      <c r="K2585" s="80">
        <v>112.02</v>
      </c>
      <c r="L2585" s="224">
        <v>1971750</v>
      </c>
      <c r="M2585" s="223"/>
      <c r="N2585" s="223"/>
      <c r="O2585" s="61"/>
      <c r="P2585" s="69" t="str">
        <f t="shared" si="167"/>
        <v>Piutang Usaha</v>
      </c>
      <c r="Q2585" s="61"/>
    </row>
    <row r="2586" spans="1:17" hidden="1" x14ac:dyDescent="0.25">
      <c r="A2586" s="60" t="str">
        <f t="shared" si="165"/>
        <v>555112</v>
      </c>
      <c r="B2586" s="60">
        <f>COUNTIF($J$7:J2586,J2586)</f>
        <v>555</v>
      </c>
      <c r="C2586" s="60" t="str">
        <f t="shared" si="166"/>
        <v>84112,06</v>
      </c>
      <c r="D2586" s="60">
        <f>COUNTIF($K$7:K2586,K2586)</f>
        <v>84</v>
      </c>
      <c r="E2586" s="61"/>
      <c r="F2586" s="71">
        <v>44630</v>
      </c>
      <c r="G2586" s="72">
        <f t="shared" si="168"/>
        <v>44675</v>
      </c>
      <c r="H2586" s="73" t="s">
        <v>1511</v>
      </c>
      <c r="I2586" s="268" t="s">
        <v>37</v>
      </c>
      <c r="J2586" s="265">
        <v>112</v>
      </c>
      <c r="K2586" s="80">
        <v>112.06</v>
      </c>
      <c r="L2586" s="224">
        <v>11550000</v>
      </c>
      <c r="M2586" s="223"/>
      <c r="N2586" s="223"/>
      <c r="O2586" s="61"/>
      <c r="P2586" s="69" t="str">
        <f t="shared" si="167"/>
        <v>Piutang Usaha</v>
      </c>
      <c r="Q2586" s="61"/>
    </row>
    <row r="2587" spans="1:17" hidden="1" x14ac:dyDescent="0.25">
      <c r="A2587" s="60" t="str">
        <f t="shared" si="165"/>
        <v>556112</v>
      </c>
      <c r="B2587" s="60">
        <f>COUNTIF($J$7:J2587,J2587)</f>
        <v>556</v>
      </c>
      <c r="C2587" s="60" t="str">
        <f t="shared" si="166"/>
        <v>98112,01</v>
      </c>
      <c r="D2587" s="60">
        <f>COUNTIF($K$7:K2587,K2587)</f>
        <v>98</v>
      </c>
      <c r="E2587" s="61"/>
      <c r="F2587" s="71">
        <v>44631</v>
      </c>
      <c r="G2587" s="72">
        <f t="shared" si="168"/>
        <v>44676</v>
      </c>
      <c r="H2587" s="73" t="s">
        <v>1512</v>
      </c>
      <c r="I2587" s="268" t="s">
        <v>18</v>
      </c>
      <c r="J2587" s="265">
        <v>112</v>
      </c>
      <c r="K2587" s="80">
        <v>112.01</v>
      </c>
      <c r="L2587" s="224">
        <v>15097500</v>
      </c>
      <c r="M2587" s="223"/>
      <c r="N2587" s="223"/>
      <c r="O2587" s="61"/>
      <c r="P2587" s="69" t="str">
        <f t="shared" si="167"/>
        <v>Piutang Usaha</v>
      </c>
      <c r="Q2587" s="61"/>
    </row>
    <row r="2588" spans="1:17" hidden="1" x14ac:dyDescent="0.25">
      <c r="A2588" s="60" t="str">
        <f t="shared" si="165"/>
        <v>557112</v>
      </c>
      <c r="B2588" s="60">
        <f>COUNTIF($J$7:J2588,J2588)</f>
        <v>557</v>
      </c>
      <c r="C2588" s="60" t="str">
        <f t="shared" si="166"/>
        <v>99112,01</v>
      </c>
      <c r="D2588" s="60">
        <f>COUNTIF($K$7:K2588,K2588)</f>
        <v>99</v>
      </c>
      <c r="E2588" s="61"/>
      <c r="F2588" s="71">
        <v>44631</v>
      </c>
      <c r="G2588" s="72">
        <f t="shared" si="168"/>
        <v>44676</v>
      </c>
      <c r="H2588" s="73" t="s">
        <v>1513</v>
      </c>
      <c r="I2588" s="268" t="s">
        <v>18</v>
      </c>
      <c r="J2588" s="265">
        <v>112</v>
      </c>
      <c r="K2588" s="80">
        <v>112.01</v>
      </c>
      <c r="L2588" s="224">
        <v>19296750</v>
      </c>
      <c r="M2588" s="223"/>
      <c r="N2588" s="223"/>
      <c r="O2588" s="61"/>
      <c r="P2588" s="69" t="str">
        <f t="shared" si="167"/>
        <v>Piutang Usaha</v>
      </c>
      <c r="Q2588" s="61"/>
    </row>
    <row r="2589" spans="1:17" ht="28.5" hidden="1" x14ac:dyDescent="0.25">
      <c r="A2589" s="60" t="str">
        <f t="shared" si="165"/>
        <v>558112</v>
      </c>
      <c r="B2589" s="60">
        <f>COUNTIF($J$7:J2589,J2589)</f>
        <v>558</v>
      </c>
      <c r="C2589" s="60" t="str">
        <f t="shared" si="166"/>
        <v>81112,4</v>
      </c>
      <c r="D2589" s="60">
        <f>COUNTIF($K$7:K2589,K2589)</f>
        <v>81</v>
      </c>
      <c r="E2589" s="61"/>
      <c r="F2589" s="71">
        <v>44631</v>
      </c>
      <c r="G2589" s="267">
        <f>F2589+30</f>
        <v>44661</v>
      </c>
      <c r="H2589" s="73" t="s">
        <v>1514</v>
      </c>
      <c r="I2589" s="268" t="s">
        <v>34</v>
      </c>
      <c r="J2589" s="265">
        <v>112</v>
      </c>
      <c r="K2589" s="80">
        <v>112.4</v>
      </c>
      <c r="L2589" s="224">
        <v>1814991.75</v>
      </c>
      <c r="M2589" s="223"/>
      <c r="N2589" s="223"/>
      <c r="O2589" s="61"/>
      <c r="P2589" s="69" t="str">
        <f t="shared" si="167"/>
        <v>Piutang Usaha</v>
      </c>
      <c r="Q2589" s="61"/>
    </row>
    <row r="2590" spans="1:17" hidden="1" x14ac:dyDescent="0.25">
      <c r="A2590" s="60" t="str">
        <f t="shared" si="165"/>
        <v>559112</v>
      </c>
      <c r="B2590" s="60">
        <f>COUNTIF($J$7:J2590,J2590)</f>
        <v>559</v>
      </c>
      <c r="C2590" s="60" t="str">
        <f t="shared" si="166"/>
        <v>15112,35</v>
      </c>
      <c r="D2590" s="60">
        <f>COUNTIF($K$7:K2590,K2590)</f>
        <v>15</v>
      </c>
      <c r="E2590" s="61"/>
      <c r="F2590" s="71">
        <v>44634</v>
      </c>
      <c r="G2590" s="72" t="s">
        <v>13</v>
      </c>
      <c r="H2590" s="73" t="s">
        <v>1515</v>
      </c>
      <c r="I2590" s="268" t="s">
        <v>44</v>
      </c>
      <c r="J2590" s="265">
        <v>112</v>
      </c>
      <c r="K2590" s="80">
        <v>112.35</v>
      </c>
      <c r="L2590" s="224">
        <v>8800000</v>
      </c>
      <c r="M2590" s="223"/>
      <c r="N2590" s="223"/>
      <c r="O2590" s="61"/>
      <c r="P2590" s="69" t="str">
        <f t="shared" si="167"/>
        <v>Piutang Usaha</v>
      </c>
      <c r="Q2590" s="61"/>
    </row>
    <row r="2591" spans="1:17" hidden="1" x14ac:dyDescent="0.25">
      <c r="A2591" s="60" t="str">
        <f t="shared" si="165"/>
        <v>560112</v>
      </c>
      <c r="B2591" s="60">
        <f>COUNTIF($J$7:J2591,J2591)</f>
        <v>560</v>
      </c>
      <c r="C2591" s="60" t="str">
        <f t="shared" si="166"/>
        <v>64112,02</v>
      </c>
      <c r="D2591" s="60">
        <f>COUNTIF($K$7:K2591,K2591)</f>
        <v>64</v>
      </c>
      <c r="E2591" s="61"/>
      <c r="F2591" s="71">
        <v>44634</v>
      </c>
      <c r="G2591" s="72">
        <f>F2591+45</f>
        <v>44679</v>
      </c>
      <c r="H2591" s="73" t="s">
        <v>1516</v>
      </c>
      <c r="I2591" s="268" t="s">
        <v>20</v>
      </c>
      <c r="J2591" s="265">
        <v>112</v>
      </c>
      <c r="K2591" s="80">
        <v>112.02</v>
      </c>
      <c r="L2591" s="224">
        <v>9735000</v>
      </c>
      <c r="M2591" s="223"/>
      <c r="N2591" s="223"/>
      <c r="O2591" s="61"/>
      <c r="P2591" s="69" t="str">
        <f t="shared" si="167"/>
        <v>Piutang Usaha</v>
      </c>
      <c r="Q2591" s="61"/>
    </row>
    <row r="2592" spans="1:17" ht="28.5" hidden="1" x14ac:dyDescent="0.25">
      <c r="A2592" s="60" t="str">
        <f t="shared" si="165"/>
        <v>561112</v>
      </c>
      <c r="B2592" s="60">
        <f>COUNTIF($J$7:J2592,J2592)</f>
        <v>561</v>
      </c>
      <c r="C2592" s="60" t="str">
        <f t="shared" si="166"/>
        <v>30112,45</v>
      </c>
      <c r="D2592" s="60">
        <f>COUNTIF($K$7:K2592,K2592)</f>
        <v>30</v>
      </c>
      <c r="E2592" s="61"/>
      <c r="F2592" s="71">
        <v>44634</v>
      </c>
      <c r="G2592" s="72">
        <f>F2592+30</f>
        <v>44664</v>
      </c>
      <c r="H2592" s="73" t="s">
        <v>1517</v>
      </c>
      <c r="I2592" s="268" t="s">
        <v>32</v>
      </c>
      <c r="J2592" s="265">
        <v>112</v>
      </c>
      <c r="K2592" s="80">
        <v>112.45</v>
      </c>
      <c r="L2592" s="224">
        <v>4234980.75</v>
      </c>
      <c r="M2592" s="223"/>
      <c r="N2592" s="223"/>
      <c r="O2592" s="61"/>
      <c r="P2592" s="69" t="str">
        <f t="shared" si="167"/>
        <v>Piutang Usaha</v>
      </c>
      <c r="Q2592" s="61"/>
    </row>
    <row r="2593" spans="1:18" ht="28.5" hidden="1" x14ac:dyDescent="0.25">
      <c r="A2593" s="60" t="str">
        <f t="shared" si="165"/>
        <v>562112</v>
      </c>
      <c r="B2593" s="60">
        <f>COUNTIF($J$7:J2593,J2593)</f>
        <v>562</v>
      </c>
      <c r="C2593" s="60" t="str">
        <f t="shared" si="166"/>
        <v>31112,45</v>
      </c>
      <c r="D2593" s="60">
        <f>COUNTIF($K$7:K2593,K2593)</f>
        <v>31</v>
      </c>
      <c r="E2593" s="61"/>
      <c r="F2593" s="71">
        <v>44634</v>
      </c>
      <c r="G2593" s="72">
        <f>F2593+30</f>
        <v>44664</v>
      </c>
      <c r="H2593" s="73" t="s">
        <v>1518</v>
      </c>
      <c r="I2593" s="268" t="s">
        <v>32</v>
      </c>
      <c r="J2593" s="265">
        <v>112</v>
      </c>
      <c r="K2593" s="80">
        <v>112.45</v>
      </c>
      <c r="L2593" s="224">
        <v>11385000</v>
      </c>
      <c r="M2593" s="223"/>
      <c r="N2593" s="223"/>
      <c r="O2593" s="61"/>
      <c r="P2593" s="69" t="str">
        <f t="shared" si="167"/>
        <v>Piutang Usaha</v>
      </c>
      <c r="Q2593" s="61"/>
    </row>
    <row r="2594" spans="1:18" ht="28.5" hidden="1" x14ac:dyDescent="0.25">
      <c r="A2594" s="60" t="str">
        <f t="shared" si="165"/>
        <v>563112</v>
      </c>
      <c r="B2594" s="60">
        <f>COUNTIF($J$7:J2594,J2594)</f>
        <v>563</v>
      </c>
      <c r="C2594" s="60" t="str">
        <f t="shared" si="166"/>
        <v>32112,45</v>
      </c>
      <c r="D2594" s="60">
        <f>COUNTIF($K$7:K2594,K2594)</f>
        <v>32</v>
      </c>
      <c r="E2594" s="61"/>
      <c r="F2594" s="71">
        <v>44634</v>
      </c>
      <c r="G2594" s="72">
        <f>F2594+30</f>
        <v>44664</v>
      </c>
      <c r="H2594" s="73" t="s">
        <v>1519</v>
      </c>
      <c r="I2594" s="268" t="s">
        <v>32</v>
      </c>
      <c r="J2594" s="265">
        <v>112</v>
      </c>
      <c r="K2594" s="80">
        <v>112.45</v>
      </c>
      <c r="L2594" s="224">
        <v>604997.25</v>
      </c>
      <c r="M2594" s="223"/>
      <c r="N2594" s="223"/>
      <c r="O2594" s="61"/>
      <c r="P2594" s="69" t="str">
        <f t="shared" si="167"/>
        <v>Piutang Usaha</v>
      </c>
      <c r="Q2594" s="61"/>
    </row>
    <row r="2595" spans="1:18" hidden="1" x14ac:dyDescent="0.25">
      <c r="A2595" s="60" t="str">
        <f t="shared" si="165"/>
        <v>564112</v>
      </c>
      <c r="B2595" s="60">
        <f>COUNTIF($J$7:J2595,J2595)</f>
        <v>564</v>
      </c>
      <c r="C2595" s="60" t="str">
        <f t="shared" si="166"/>
        <v>36112,43</v>
      </c>
      <c r="D2595" s="60">
        <f>COUNTIF($K$7:K2595,K2595)</f>
        <v>36</v>
      </c>
      <c r="E2595" s="61"/>
      <c r="F2595" s="71">
        <v>44634</v>
      </c>
      <c r="G2595" s="72">
        <f>F2595+30</f>
        <v>44664</v>
      </c>
      <c r="H2595" s="73" t="s">
        <v>1520</v>
      </c>
      <c r="I2595" s="268" t="s">
        <v>41</v>
      </c>
      <c r="J2595" s="265">
        <v>112</v>
      </c>
      <c r="K2595" s="80">
        <v>112.43</v>
      </c>
      <c r="L2595" s="224">
        <v>8250000</v>
      </c>
      <c r="M2595" s="223"/>
      <c r="N2595" s="223"/>
      <c r="O2595" s="61"/>
      <c r="P2595" s="69" t="str">
        <f t="shared" si="167"/>
        <v>Piutang Usaha</v>
      </c>
      <c r="Q2595" s="61"/>
    </row>
    <row r="2596" spans="1:18" hidden="1" x14ac:dyDescent="0.25">
      <c r="A2596" s="60" t="str">
        <f t="shared" si="165"/>
        <v>565112</v>
      </c>
      <c r="B2596" s="60">
        <f>COUNTIF($J$7:J2596,J2596)</f>
        <v>565</v>
      </c>
      <c r="C2596" s="60" t="str">
        <f t="shared" si="166"/>
        <v>85112,06</v>
      </c>
      <c r="D2596" s="60">
        <f>COUNTIF($K$7:K2596,K2596)</f>
        <v>85</v>
      </c>
      <c r="E2596" s="61"/>
      <c r="F2596" s="71">
        <v>44634</v>
      </c>
      <c r="G2596" s="72">
        <f>F2596+45</f>
        <v>44679</v>
      </c>
      <c r="H2596" s="73" t="s">
        <v>1521</v>
      </c>
      <c r="I2596" s="268" t="s">
        <v>37</v>
      </c>
      <c r="J2596" s="265">
        <v>112</v>
      </c>
      <c r="K2596" s="80">
        <v>112.06</v>
      </c>
      <c r="L2596" s="224">
        <v>19206000</v>
      </c>
      <c r="M2596" s="223"/>
      <c r="N2596" s="223"/>
      <c r="O2596" s="61"/>
      <c r="P2596" s="69" t="str">
        <f t="shared" si="167"/>
        <v>Piutang Usaha</v>
      </c>
      <c r="Q2596" s="61"/>
    </row>
    <row r="2597" spans="1:18" ht="28.5" hidden="1" x14ac:dyDescent="0.25">
      <c r="A2597" s="60" t="str">
        <f t="shared" si="165"/>
        <v>566112</v>
      </c>
      <c r="B2597" s="60">
        <f>COUNTIF($J$7:J2597,J2597)</f>
        <v>566</v>
      </c>
      <c r="C2597" s="60" t="str">
        <f t="shared" si="166"/>
        <v>82112,4</v>
      </c>
      <c r="D2597" s="60">
        <f>COUNTIF($K$7:K2597,K2597)</f>
        <v>82</v>
      </c>
      <c r="E2597" s="61"/>
      <c r="F2597" s="71">
        <v>44634</v>
      </c>
      <c r="G2597" s="267">
        <f>F2597+30</f>
        <v>44664</v>
      </c>
      <c r="H2597" s="73" t="s">
        <v>1522</v>
      </c>
      <c r="I2597" s="268" t="s">
        <v>34</v>
      </c>
      <c r="J2597" s="265">
        <v>112</v>
      </c>
      <c r="K2597" s="80">
        <v>112.4</v>
      </c>
      <c r="L2597" s="224">
        <v>3629983.5</v>
      </c>
      <c r="M2597" s="223"/>
      <c r="N2597" s="223"/>
      <c r="O2597" s="61"/>
      <c r="P2597" s="69" t="str">
        <f t="shared" si="167"/>
        <v>Piutang Usaha</v>
      </c>
      <c r="Q2597" s="61"/>
    </row>
    <row r="2598" spans="1:18" hidden="1" x14ac:dyDescent="0.25">
      <c r="A2598" s="60" t="str">
        <f t="shared" si="165"/>
        <v>567112</v>
      </c>
      <c r="B2598" s="60">
        <f>COUNTIF($J$7:J2598,J2598)</f>
        <v>567</v>
      </c>
      <c r="C2598" s="60" t="str">
        <f t="shared" si="166"/>
        <v>86112,06</v>
      </c>
      <c r="D2598" s="60">
        <f>COUNTIF($K$7:K2598,K2598)</f>
        <v>86</v>
      </c>
      <c r="E2598" s="61"/>
      <c r="F2598" s="71">
        <v>44635</v>
      </c>
      <c r="G2598" s="72">
        <f>F2598+45</f>
        <v>44680</v>
      </c>
      <c r="H2598" s="73" t="s">
        <v>1523</v>
      </c>
      <c r="I2598" s="268" t="s">
        <v>37</v>
      </c>
      <c r="J2598" s="265">
        <v>112</v>
      </c>
      <c r="K2598" s="80">
        <v>112.06</v>
      </c>
      <c r="L2598" s="224">
        <v>8662500</v>
      </c>
      <c r="M2598" s="223"/>
      <c r="N2598" s="223"/>
      <c r="O2598" s="61"/>
      <c r="P2598" s="69" t="str">
        <f t="shared" si="167"/>
        <v>Piutang Usaha</v>
      </c>
      <c r="Q2598" s="61"/>
    </row>
    <row r="2599" spans="1:18" hidden="1" x14ac:dyDescent="0.25">
      <c r="A2599" s="60" t="str">
        <f t="shared" si="165"/>
        <v>568112</v>
      </c>
      <c r="B2599" s="60">
        <f>COUNTIF($J$7:J2599,J2599)</f>
        <v>568</v>
      </c>
      <c r="C2599" s="60" t="str">
        <f t="shared" si="166"/>
        <v>87112,06</v>
      </c>
      <c r="D2599" s="60">
        <f>COUNTIF($K$7:K2599,K2599)</f>
        <v>87</v>
      </c>
      <c r="E2599" s="61"/>
      <c r="F2599" s="71">
        <v>44635</v>
      </c>
      <c r="G2599" s="72">
        <f>F2599+45</f>
        <v>44680</v>
      </c>
      <c r="H2599" s="73" t="s">
        <v>1524</v>
      </c>
      <c r="I2599" s="268" t="s">
        <v>37</v>
      </c>
      <c r="J2599" s="265">
        <v>112</v>
      </c>
      <c r="K2599" s="80">
        <v>112.06</v>
      </c>
      <c r="L2599" s="224">
        <v>18793500</v>
      </c>
      <c r="M2599" s="223"/>
      <c r="N2599" s="223"/>
      <c r="O2599" s="61"/>
      <c r="P2599" s="69" t="str">
        <f t="shared" si="167"/>
        <v>Piutang Usaha</v>
      </c>
      <c r="Q2599" s="61"/>
    </row>
    <row r="2600" spans="1:18" hidden="1" x14ac:dyDescent="0.25">
      <c r="A2600" s="60" t="str">
        <f t="shared" si="165"/>
        <v>569112</v>
      </c>
      <c r="B2600" s="60">
        <f>COUNTIF($J$7:J2600,J2600)</f>
        <v>569</v>
      </c>
      <c r="C2600" s="60" t="str">
        <f t="shared" si="166"/>
        <v>9112,09</v>
      </c>
      <c r="D2600" s="60">
        <f>COUNTIF($K$7:K2600,K2600)</f>
        <v>9</v>
      </c>
      <c r="E2600" s="61"/>
      <c r="F2600" s="71">
        <v>44637</v>
      </c>
      <c r="G2600" s="72">
        <f>F2600+45</f>
        <v>44682</v>
      </c>
      <c r="H2600" s="73" t="s">
        <v>1525</v>
      </c>
      <c r="I2600" s="268" t="s">
        <v>863</v>
      </c>
      <c r="J2600" s="265">
        <v>112</v>
      </c>
      <c r="K2600" s="80">
        <v>112.09</v>
      </c>
      <c r="L2600" s="224">
        <v>161073000</v>
      </c>
      <c r="M2600" s="223"/>
      <c r="N2600" s="223"/>
      <c r="O2600" s="61"/>
      <c r="P2600" s="69" t="str">
        <f t="shared" si="167"/>
        <v>Piutang Usaha</v>
      </c>
      <c r="Q2600" s="61"/>
    </row>
    <row r="2601" spans="1:18" ht="28.5" hidden="1" x14ac:dyDescent="0.25">
      <c r="A2601" s="60" t="str">
        <f t="shared" si="165"/>
        <v>570112</v>
      </c>
      <c r="B2601" s="60">
        <f>COUNTIF($J$7:J2601,J2601)</f>
        <v>570</v>
      </c>
      <c r="C2601" s="60" t="str">
        <f t="shared" si="166"/>
        <v>83112,4</v>
      </c>
      <c r="D2601" s="60">
        <f>COUNTIF($K$7:K2601,K2601)</f>
        <v>83</v>
      </c>
      <c r="E2601" s="61"/>
      <c r="F2601" s="71">
        <v>44637</v>
      </c>
      <c r="G2601" s="267">
        <f>F2601+30</f>
        <v>44667</v>
      </c>
      <c r="H2601" s="73" t="s">
        <v>1526</v>
      </c>
      <c r="I2601" s="268" t="s">
        <v>34</v>
      </c>
      <c r="J2601" s="265">
        <v>112</v>
      </c>
      <c r="K2601" s="80">
        <v>112.4</v>
      </c>
      <c r="L2601" s="224">
        <v>1814991.75</v>
      </c>
      <c r="M2601" s="223"/>
      <c r="N2601" s="223"/>
      <c r="O2601" s="61"/>
      <c r="P2601" s="69" t="str">
        <f t="shared" si="167"/>
        <v>Piutang Usaha</v>
      </c>
      <c r="Q2601" s="61"/>
    </row>
    <row r="2602" spans="1:18" hidden="1" x14ac:dyDescent="0.25">
      <c r="A2602" s="60" t="str">
        <f t="shared" si="165"/>
        <v>571112</v>
      </c>
      <c r="B2602" s="60">
        <f>COUNTIF($J$7:J2602,J2602)</f>
        <v>571</v>
      </c>
      <c r="C2602" s="60" t="str">
        <f t="shared" si="166"/>
        <v>3112,66</v>
      </c>
      <c r="D2602" s="60">
        <f>COUNTIF($K$7:K2602,K2602)</f>
        <v>3</v>
      </c>
      <c r="E2602" s="61"/>
      <c r="F2602" s="71">
        <v>44637</v>
      </c>
      <c r="G2602" s="266" t="s">
        <v>13</v>
      </c>
      <c r="H2602" s="73" t="s">
        <v>1527</v>
      </c>
      <c r="I2602" s="268" t="s">
        <v>1473</v>
      </c>
      <c r="J2602" s="265">
        <v>112</v>
      </c>
      <c r="K2602" s="80">
        <v>112.66</v>
      </c>
      <c r="L2602" s="224">
        <v>26928000</v>
      </c>
      <c r="M2602" s="223"/>
      <c r="N2602" s="223"/>
      <c r="O2602" s="61"/>
      <c r="P2602" s="69" t="str">
        <f t="shared" si="167"/>
        <v>Piutang Usaha</v>
      </c>
      <c r="Q2602" s="61"/>
    </row>
    <row r="2603" spans="1:18" ht="28.5" hidden="1" x14ac:dyDescent="0.25">
      <c r="A2603" s="60" t="str">
        <f t="shared" si="165"/>
        <v>572112</v>
      </c>
      <c r="B2603" s="60">
        <f>COUNTIF($J$7:J2603,J2603)</f>
        <v>572</v>
      </c>
      <c r="C2603" s="60" t="str">
        <f t="shared" si="166"/>
        <v>1112,74</v>
      </c>
      <c r="D2603" s="60">
        <f>COUNTIF($K$7:K2603,K2603)</f>
        <v>1</v>
      </c>
      <c r="E2603" s="61"/>
      <c r="F2603" s="71">
        <v>44637</v>
      </c>
      <c r="G2603" s="267">
        <f>F2603+30</f>
        <v>44667</v>
      </c>
      <c r="H2603" s="73" t="s">
        <v>1528</v>
      </c>
      <c r="I2603" s="268" t="s">
        <v>1529</v>
      </c>
      <c r="J2603" s="265">
        <v>112</v>
      </c>
      <c r="K2603" s="80">
        <v>112.74</v>
      </c>
      <c r="L2603" s="269">
        <v>2056250</v>
      </c>
      <c r="M2603" s="223"/>
      <c r="N2603" s="223"/>
      <c r="O2603" s="61"/>
      <c r="P2603" s="69" t="str">
        <f t="shared" si="167"/>
        <v>Piutang Usaha</v>
      </c>
      <c r="Q2603" s="61"/>
    </row>
    <row r="2604" spans="1:18" hidden="1" x14ac:dyDescent="0.25">
      <c r="A2604" s="60" t="str">
        <f t="shared" si="165"/>
        <v>573112</v>
      </c>
      <c r="B2604" s="60">
        <f>COUNTIF($J$7:J2604,J2604)</f>
        <v>573</v>
      </c>
      <c r="C2604" s="60" t="str">
        <f t="shared" si="166"/>
        <v>1112,75</v>
      </c>
      <c r="D2604" s="60">
        <f>COUNTIF($K$7:K2604,K2604)</f>
        <v>1</v>
      </c>
      <c r="E2604" s="61"/>
      <c r="F2604" s="71">
        <v>44637</v>
      </c>
      <c r="G2604" s="267">
        <f>F2604+30</f>
        <v>44667</v>
      </c>
      <c r="H2604" s="73" t="s">
        <v>1530</v>
      </c>
      <c r="I2604" s="268" t="s">
        <v>1531</v>
      </c>
      <c r="J2604" s="265">
        <v>112</v>
      </c>
      <c r="K2604" s="80">
        <v>112.75</v>
      </c>
      <c r="L2604" s="269">
        <v>2007500</v>
      </c>
      <c r="M2604" s="223"/>
      <c r="N2604" s="223"/>
      <c r="O2604" s="61"/>
      <c r="P2604" s="69" t="str">
        <f t="shared" si="167"/>
        <v>Piutang Usaha</v>
      </c>
      <c r="Q2604" s="61"/>
      <c r="R2604" s="13"/>
    </row>
    <row r="2605" spans="1:18" hidden="1" x14ac:dyDescent="0.25">
      <c r="A2605" s="60" t="str">
        <f t="shared" si="165"/>
        <v>574112</v>
      </c>
      <c r="B2605" s="60">
        <f>COUNTIF($J$7:J2605,J2605)</f>
        <v>574</v>
      </c>
      <c r="C2605" s="60" t="str">
        <f t="shared" si="166"/>
        <v>65112,02</v>
      </c>
      <c r="D2605" s="60">
        <f>COUNTIF($K$7:K2605,K2605)</f>
        <v>65</v>
      </c>
      <c r="E2605" s="61"/>
      <c r="F2605" s="71">
        <v>44638</v>
      </c>
      <c r="G2605" s="72">
        <f>F2605+45</f>
        <v>44683</v>
      </c>
      <c r="H2605" s="73" t="s">
        <v>1532</v>
      </c>
      <c r="I2605" s="268" t="s">
        <v>20</v>
      </c>
      <c r="J2605" s="265">
        <v>112</v>
      </c>
      <c r="K2605" s="80">
        <v>112.02</v>
      </c>
      <c r="L2605" s="224">
        <v>24964500</v>
      </c>
      <c r="M2605" s="223"/>
      <c r="N2605" s="223"/>
      <c r="O2605" s="61"/>
      <c r="P2605" s="69" t="str">
        <f t="shared" si="167"/>
        <v>Piutang Usaha</v>
      </c>
      <c r="Q2605" s="61"/>
      <c r="R2605" s="13"/>
    </row>
    <row r="2606" spans="1:18" ht="28.5" hidden="1" x14ac:dyDescent="0.25">
      <c r="A2606" s="60" t="str">
        <f t="shared" si="165"/>
        <v>575112</v>
      </c>
      <c r="B2606" s="60">
        <f>COUNTIF($J$7:J2606,J2606)</f>
        <v>575</v>
      </c>
      <c r="C2606" s="60" t="str">
        <f t="shared" si="166"/>
        <v>84112,4</v>
      </c>
      <c r="D2606" s="60">
        <f>COUNTIF($K$7:K2606,K2606)</f>
        <v>84</v>
      </c>
      <c r="E2606" s="61"/>
      <c r="F2606" s="71">
        <v>44638</v>
      </c>
      <c r="G2606" s="267">
        <f t="shared" ref="G2606:G2607" si="169">F2606+30</f>
        <v>44668</v>
      </c>
      <c r="H2606" s="73" t="s">
        <v>1533</v>
      </c>
      <c r="I2606" s="268" t="s">
        <v>34</v>
      </c>
      <c r="J2606" s="265">
        <v>112</v>
      </c>
      <c r="K2606" s="80">
        <v>112.4</v>
      </c>
      <c r="L2606" s="224">
        <v>3629983.5</v>
      </c>
      <c r="M2606" s="223"/>
      <c r="N2606" s="223"/>
      <c r="O2606" s="61"/>
      <c r="P2606" s="69" t="str">
        <f t="shared" si="167"/>
        <v>Piutang Usaha</v>
      </c>
      <c r="Q2606" s="61"/>
      <c r="R2606" s="13"/>
    </row>
    <row r="2607" spans="1:18" ht="28.5" hidden="1" x14ac:dyDescent="0.25">
      <c r="A2607" s="60" t="str">
        <f t="shared" si="165"/>
        <v>576112</v>
      </c>
      <c r="B2607" s="60">
        <f>COUNTIF($J$7:J2607,J2607)</f>
        <v>576</v>
      </c>
      <c r="C2607" s="60" t="str">
        <f t="shared" si="166"/>
        <v>85112,4</v>
      </c>
      <c r="D2607" s="60">
        <f>COUNTIF($K$7:K2607,K2607)</f>
        <v>85</v>
      </c>
      <c r="E2607" s="61"/>
      <c r="F2607" s="71">
        <v>44638</v>
      </c>
      <c r="G2607" s="267">
        <f t="shared" si="169"/>
        <v>44668</v>
      </c>
      <c r="H2607" s="73" t="s">
        <v>1534</v>
      </c>
      <c r="I2607" s="268" t="s">
        <v>34</v>
      </c>
      <c r="J2607" s="265">
        <v>112</v>
      </c>
      <c r="K2607" s="80">
        <v>112.4</v>
      </c>
      <c r="L2607" s="224">
        <v>1814991.75</v>
      </c>
      <c r="M2607" s="223"/>
      <c r="N2607" s="223"/>
      <c r="O2607" s="61"/>
      <c r="P2607" s="69" t="str">
        <f t="shared" si="167"/>
        <v>Piutang Usaha</v>
      </c>
      <c r="Q2607" s="61"/>
    </row>
    <row r="2608" spans="1:18" hidden="1" x14ac:dyDescent="0.25">
      <c r="A2608" s="60" t="str">
        <f t="shared" si="165"/>
        <v>577112</v>
      </c>
      <c r="B2608" s="60">
        <f>COUNTIF($J$7:J2608,J2608)</f>
        <v>577</v>
      </c>
      <c r="C2608" s="60" t="str">
        <f t="shared" si="166"/>
        <v>16112,35</v>
      </c>
      <c r="D2608" s="60">
        <f>COUNTIF($K$7:K2608,K2608)</f>
        <v>16</v>
      </c>
      <c r="E2608" s="61"/>
      <c r="F2608" s="71">
        <v>44641</v>
      </c>
      <c r="G2608" s="72" t="s">
        <v>13</v>
      </c>
      <c r="H2608" s="73" t="s">
        <v>1535</v>
      </c>
      <c r="I2608" s="268" t="s">
        <v>44</v>
      </c>
      <c r="J2608" s="265">
        <v>112</v>
      </c>
      <c r="K2608" s="80">
        <v>112.35</v>
      </c>
      <c r="L2608" s="224">
        <v>13200000</v>
      </c>
      <c r="M2608" s="223"/>
      <c r="N2608" s="223"/>
      <c r="O2608" s="61"/>
      <c r="P2608" s="69" t="str">
        <f t="shared" si="167"/>
        <v>Piutang Usaha</v>
      </c>
      <c r="Q2608" s="61"/>
    </row>
    <row r="2609" spans="1:22" hidden="1" x14ac:dyDescent="0.25">
      <c r="A2609" s="60" t="str">
        <f t="shared" si="165"/>
        <v>578112</v>
      </c>
      <c r="B2609" s="60">
        <f>COUNTIF($J$7:J2609,J2609)</f>
        <v>578</v>
      </c>
      <c r="C2609" s="60" t="str">
        <f t="shared" si="166"/>
        <v>17112,35</v>
      </c>
      <c r="D2609" s="60">
        <f>COUNTIF($K$7:K2609,K2609)</f>
        <v>17</v>
      </c>
      <c r="E2609" s="61"/>
      <c r="F2609" s="71">
        <v>44641</v>
      </c>
      <c r="G2609" s="72" t="s">
        <v>13</v>
      </c>
      <c r="H2609" s="73" t="s">
        <v>1536</v>
      </c>
      <c r="I2609" s="268" t="s">
        <v>44</v>
      </c>
      <c r="J2609" s="265">
        <v>112</v>
      </c>
      <c r="K2609" s="80">
        <v>112.35</v>
      </c>
      <c r="L2609" s="224">
        <v>8800000</v>
      </c>
      <c r="M2609" s="223"/>
      <c r="N2609" s="223"/>
      <c r="O2609" s="61"/>
      <c r="P2609" s="69" t="str">
        <f t="shared" si="167"/>
        <v>Piutang Usaha</v>
      </c>
      <c r="Q2609" s="61"/>
      <c r="V2609" s="270"/>
    </row>
    <row r="2610" spans="1:22" hidden="1" x14ac:dyDescent="0.25">
      <c r="A2610" s="60" t="str">
        <f t="shared" si="165"/>
        <v>579112</v>
      </c>
      <c r="B2610" s="60">
        <f>COUNTIF($J$7:J2610,J2610)</f>
        <v>579</v>
      </c>
      <c r="C2610" s="60" t="str">
        <f t="shared" si="166"/>
        <v>100112,01</v>
      </c>
      <c r="D2610" s="60">
        <f>COUNTIF($K$7:K2610,K2610)</f>
        <v>100</v>
      </c>
      <c r="E2610" s="61"/>
      <c r="F2610" s="71">
        <v>44641</v>
      </c>
      <c r="G2610" s="72">
        <f>F2610+45</f>
        <v>44686</v>
      </c>
      <c r="H2610" s="73" t="s">
        <v>1537</v>
      </c>
      <c r="I2610" s="268" t="s">
        <v>18</v>
      </c>
      <c r="J2610" s="265">
        <v>112</v>
      </c>
      <c r="K2610" s="80">
        <v>112.01</v>
      </c>
      <c r="L2610" s="224">
        <v>23190750</v>
      </c>
      <c r="M2610" s="223"/>
      <c r="N2610" s="223"/>
      <c r="O2610" s="61"/>
      <c r="P2610" s="69" t="str">
        <f t="shared" si="167"/>
        <v>Piutang Usaha</v>
      </c>
      <c r="Q2610" s="61"/>
    </row>
    <row r="2611" spans="1:22" hidden="1" x14ac:dyDescent="0.25">
      <c r="A2611" s="60" t="str">
        <f t="shared" si="165"/>
        <v>580112</v>
      </c>
      <c r="B2611" s="60">
        <f>COUNTIF($J$7:J2611,J2611)</f>
        <v>580</v>
      </c>
      <c r="C2611" s="60" t="str">
        <f t="shared" si="166"/>
        <v>101112,01</v>
      </c>
      <c r="D2611" s="60">
        <f>COUNTIF($K$7:K2611,K2611)</f>
        <v>101</v>
      </c>
      <c r="E2611" s="61"/>
      <c r="F2611" s="71">
        <v>44641</v>
      </c>
      <c r="G2611" s="72">
        <f>F2611+45</f>
        <v>44686</v>
      </c>
      <c r="H2611" s="73" t="s">
        <v>1538</v>
      </c>
      <c r="I2611" s="268" t="s">
        <v>18</v>
      </c>
      <c r="J2611" s="265">
        <v>112</v>
      </c>
      <c r="K2611" s="80">
        <v>112.01</v>
      </c>
      <c r="L2611" s="224">
        <v>45100000</v>
      </c>
      <c r="M2611" s="223"/>
      <c r="N2611" s="223"/>
      <c r="O2611" s="61"/>
      <c r="P2611" s="69" t="str">
        <f t="shared" si="167"/>
        <v>Piutang Usaha</v>
      </c>
      <c r="Q2611" s="61"/>
      <c r="V2611" s="270"/>
    </row>
    <row r="2612" spans="1:22" hidden="1" x14ac:dyDescent="0.25">
      <c r="A2612" s="60" t="str">
        <f t="shared" si="165"/>
        <v>581112</v>
      </c>
      <c r="B2612" s="60">
        <f>COUNTIF($J$7:J2612,J2612)</f>
        <v>581</v>
      </c>
      <c r="C2612" s="60" t="str">
        <f t="shared" si="166"/>
        <v>88112,06</v>
      </c>
      <c r="D2612" s="60">
        <f>COUNTIF($K$7:K2612,K2612)</f>
        <v>88</v>
      </c>
      <c r="E2612" s="61"/>
      <c r="F2612" s="71">
        <v>44641</v>
      </c>
      <c r="G2612" s="72">
        <f>F2612+45</f>
        <v>44686</v>
      </c>
      <c r="H2612" s="73" t="s">
        <v>1539</v>
      </c>
      <c r="I2612" s="268" t="s">
        <v>37</v>
      </c>
      <c r="J2612" s="265">
        <v>112</v>
      </c>
      <c r="K2612" s="80">
        <v>112.06</v>
      </c>
      <c r="L2612" s="224">
        <v>9636000</v>
      </c>
      <c r="M2612" s="223"/>
      <c r="N2612" s="223"/>
      <c r="O2612" s="61"/>
      <c r="P2612" s="69" t="str">
        <f t="shared" si="167"/>
        <v>Piutang Usaha</v>
      </c>
      <c r="Q2612" s="61"/>
    </row>
    <row r="2613" spans="1:22" hidden="1" x14ac:dyDescent="0.25">
      <c r="A2613" s="60" t="str">
        <f t="shared" si="165"/>
        <v>582112</v>
      </c>
      <c r="B2613" s="60">
        <f>COUNTIF($J$7:J2613,J2613)</f>
        <v>582</v>
      </c>
      <c r="C2613" s="60" t="str">
        <f t="shared" si="166"/>
        <v>89112,06</v>
      </c>
      <c r="D2613" s="60">
        <f>COUNTIF($K$7:K2613,K2613)</f>
        <v>89</v>
      </c>
      <c r="E2613" s="61"/>
      <c r="F2613" s="71">
        <v>44641</v>
      </c>
      <c r="G2613" s="72">
        <f>F2613+45</f>
        <v>44686</v>
      </c>
      <c r="H2613" s="73" t="s">
        <v>1540</v>
      </c>
      <c r="I2613" s="268" t="s">
        <v>37</v>
      </c>
      <c r="J2613" s="265">
        <v>112</v>
      </c>
      <c r="K2613" s="80">
        <v>112.06</v>
      </c>
      <c r="L2613" s="224">
        <v>3850000</v>
      </c>
      <c r="M2613" s="223"/>
      <c r="N2613" s="223"/>
      <c r="O2613" s="61"/>
      <c r="P2613" s="69" t="str">
        <f t="shared" si="167"/>
        <v>Piutang Usaha</v>
      </c>
      <c r="Q2613" s="61"/>
    </row>
    <row r="2614" spans="1:22" hidden="1" x14ac:dyDescent="0.25">
      <c r="A2614" s="60" t="str">
        <f t="shared" si="165"/>
        <v>583112</v>
      </c>
      <c r="B2614" s="60">
        <f>COUNTIF($J$7:J2614,J2614)</f>
        <v>583</v>
      </c>
      <c r="C2614" s="60" t="str">
        <f t="shared" si="166"/>
        <v>6112,31</v>
      </c>
      <c r="D2614" s="60">
        <f>COUNTIF($K$7:K2614,K2614)</f>
        <v>6</v>
      </c>
      <c r="E2614" s="61"/>
      <c r="F2614" s="71">
        <v>44641</v>
      </c>
      <c r="G2614" s="266" t="s">
        <v>13</v>
      </c>
      <c r="H2614" s="73" t="s">
        <v>1541</v>
      </c>
      <c r="I2614" s="268" t="s">
        <v>53</v>
      </c>
      <c r="J2614" s="265">
        <v>112</v>
      </c>
      <c r="K2614" s="80">
        <v>112.31</v>
      </c>
      <c r="L2614" s="224">
        <v>4840000</v>
      </c>
      <c r="M2614" s="223"/>
      <c r="N2614" s="223"/>
      <c r="O2614" s="61"/>
      <c r="P2614" s="69" t="str">
        <f t="shared" si="167"/>
        <v>Piutang Usaha</v>
      </c>
      <c r="Q2614" s="61"/>
    </row>
    <row r="2615" spans="1:22" hidden="1" x14ac:dyDescent="0.25">
      <c r="A2615" s="60" t="str">
        <f t="shared" si="165"/>
        <v>584112</v>
      </c>
      <c r="B2615" s="60">
        <f>COUNTIF($J$7:J2615,J2615)</f>
        <v>584</v>
      </c>
      <c r="C2615" s="60" t="str">
        <f t="shared" si="166"/>
        <v>9112,61</v>
      </c>
      <c r="D2615" s="60">
        <f>COUNTIF($K$7:K2615,K2615)</f>
        <v>9</v>
      </c>
      <c r="E2615" s="61"/>
      <c r="F2615" s="71">
        <v>44642</v>
      </c>
      <c r="G2615" s="72">
        <f>F2615+30</f>
        <v>44672</v>
      </c>
      <c r="H2615" s="73" t="s">
        <v>1542</v>
      </c>
      <c r="I2615" s="268" t="s">
        <v>58</v>
      </c>
      <c r="J2615" s="265">
        <v>112</v>
      </c>
      <c r="K2615" s="80">
        <v>112.61</v>
      </c>
      <c r="L2615" s="224">
        <v>1925000</v>
      </c>
      <c r="M2615" s="223"/>
      <c r="N2615" s="223"/>
      <c r="O2615" s="61"/>
      <c r="P2615" s="69" t="str">
        <f t="shared" si="167"/>
        <v>Piutang Usaha</v>
      </c>
      <c r="Q2615" s="61"/>
    </row>
    <row r="2616" spans="1:22" hidden="1" x14ac:dyDescent="0.25">
      <c r="A2616" s="60" t="str">
        <f t="shared" si="165"/>
        <v>585112</v>
      </c>
      <c r="B2616" s="60">
        <f>COUNTIF($J$7:J2616,J2616)</f>
        <v>585</v>
      </c>
      <c r="C2616" s="60" t="str">
        <f t="shared" si="166"/>
        <v>10112,61</v>
      </c>
      <c r="D2616" s="60">
        <f>COUNTIF($K$7:K2616,K2616)</f>
        <v>10</v>
      </c>
      <c r="E2616" s="61"/>
      <c r="F2616" s="71">
        <v>44642</v>
      </c>
      <c r="G2616" s="72">
        <f>F2616+30</f>
        <v>44672</v>
      </c>
      <c r="H2616" s="73" t="s">
        <v>1543</v>
      </c>
      <c r="I2616" s="268" t="s">
        <v>58</v>
      </c>
      <c r="J2616" s="265">
        <v>112</v>
      </c>
      <c r="K2616" s="80">
        <v>112.61</v>
      </c>
      <c r="L2616" s="224">
        <v>1925000</v>
      </c>
      <c r="M2616" s="223"/>
      <c r="N2616" s="223"/>
      <c r="O2616" s="61"/>
      <c r="P2616" s="69" t="str">
        <f t="shared" si="167"/>
        <v>Piutang Usaha</v>
      </c>
      <c r="Q2616" s="61"/>
    </row>
    <row r="2617" spans="1:22" hidden="1" x14ac:dyDescent="0.25">
      <c r="A2617" s="60" t="str">
        <f t="shared" si="165"/>
        <v>586112</v>
      </c>
      <c r="B2617" s="60">
        <f>COUNTIF($J$7:J2617,J2617)</f>
        <v>586</v>
      </c>
      <c r="C2617" s="60" t="str">
        <f t="shared" si="166"/>
        <v>66112,02</v>
      </c>
      <c r="D2617" s="60">
        <f>COUNTIF($K$7:K2617,K2617)</f>
        <v>66</v>
      </c>
      <c r="E2617" s="61"/>
      <c r="F2617" s="71">
        <v>44642</v>
      </c>
      <c r="G2617" s="72">
        <f>F2617+45</f>
        <v>44687</v>
      </c>
      <c r="H2617" s="73" t="s">
        <v>1544</v>
      </c>
      <c r="I2617" s="268" t="s">
        <v>20</v>
      </c>
      <c r="J2617" s="265">
        <v>112</v>
      </c>
      <c r="K2617" s="80">
        <v>112.02</v>
      </c>
      <c r="L2617" s="224">
        <v>17704500</v>
      </c>
      <c r="M2617" s="223"/>
      <c r="N2617" s="223"/>
      <c r="O2617" s="61"/>
      <c r="P2617" s="69" t="str">
        <f t="shared" si="167"/>
        <v>Piutang Usaha</v>
      </c>
      <c r="Q2617" s="61"/>
    </row>
    <row r="2618" spans="1:22" hidden="1" x14ac:dyDescent="0.25">
      <c r="A2618" s="60" t="str">
        <f t="shared" si="165"/>
        <v>587112</v>
      </c>
      <c r="B2618" s="60">
        <f>COUNTIF($J$7:J2618,J2618)</f>
        <v>587</v>
      </c>
      <c r="C2618" s="60" t="str">
        <f t="shared" si="166"/>
        <v>67112,02</v>
      </c>
      <c r="D2618" s="60">
        <f>COUNTIF($K$7:K2618,K2618)</f>
        <v>67</v>
      </c>
      <c r="E2618" s="61"/>
      <c r="F2618" s="71">
        <v>44642</v>
      </c>
      <c r="G2618" s="72">
        <f>F2618+45</f>
        <v>44687</v>
      </c>
      <c r="H2618" s="73" t="s">
        <v>1545</v>
      </c>
      <c r="I2618" s="268" t="s">
        <v>20</v>
      </c>
      <c r="J2618" s="265">
        <v>112</v>
      </c>
      <c r="K2618" s="80">
        <v>112.02</v>
      </c>
      <c r="L2618" s="224">
        <v>5412000</v>
      </c>
      <c r="M2618" s="223"/>
      <c r="N2618" s="223"/>
      <c r="O2618" s="61"/>
      <c r="P2618" s="69" t="str">
        <f t="shared" si="167"/>
        <v>Piutang Usaha</v>
      </c>
      <c r="Q2618" s="61"/>
    </row>
    <row r="2619" spans="1:22" hidden="1" x14ac:dyDescent="0.25">
      <c r="A2619" s="60" t="str">
        <f t="shared" si="165"/>
        <v>588112</v>
      </c>
      <c r="B2619" s="60">
        <f>COUNTIF($J$7:J2619,J2619)</f>
        <v>588</v>
      </c>
      <c r="C2619" s="60" t="str">
        <f t="shared" si="166"/>
        <v>90112,06</v>
      </c>
      <c r="D2619" s="60">
        <f>COUNTIF($K$7:K2619,K2619)</f>
        <v>90</v>
      </c>
      <c r="E2619" s="61"/>
      <c r="F2619" s="71">
        <v>44642</v>
      </c>
      <c r="G2619" s="72">
        <f>F2619+45</f>
        <v>44687</v>
      </c>
      <c r="H2619" s="73" t="s">
        <v>1546</v>
      </c>
      <c r="I2619" s="268" t="s">
        <v>37</v>
      </c>
      <c r="J2619" s="265">
        <v>112</v>
      </c>
      <c r="K2619" s="80">
        <v>112.06</v>
      </c>
      <c r="L2619" s="224">
        <v>19206000</v>
      </c>
      <c r="M2619" s="223"/>
      <c r="N2619" s="223"/>
      <c r="O2619" s="61"/>
      <c r="P2619" s="69" t="str">
        <f t="shared" si="167"/>
        <v>Piutang Usaha</v>
      </c>
      <c r="Q2619" s="61"/>
    </row>
    <row r="2620" spans="1:22" ht="28.5" hidden="1" x14ac:dyDescent="0.25">
      <c r="A2620" s="60" t="str">
        <f t="shared" si="165"/>
        <v>589112</v>
      </c>
      <c r="B2620" s="60">
        <f>COUNTIF($J$7:J2620,J2620)</f>
        <v>589</v>
      </c>
      <c r="C2620" s="60" t="str">
        <f t="shared" si="166"/>
        <v>86112,4</v>
      </c>
      <c r="D2620" s="60">
        <f>COUNTIF($K$7:K2620,K2620)</f>
        <v>86</v>
      </c>
      <c r="E2620" s="61"/>
      <c r="F2620" s="71">
        <v>44642</v>
      </c>
      <c r="G2620" s="267">
        <f>F2620+30</f>
        <v>44672</v>
      </c>
      <c r="H2620" s="73" t="s">
        <v>1547</v>
      </c>
      <c r="I2620" s="268" t="s">
        <v>34</v>
      </c>
      <c r="J2620" s="265">
        <v>112</v>
      </c>
      <c r="K2620" s="80">
        <v>112.4</v>
      </c>
      <c r="L2620" s="224">
        <v>3629983.5</v>
      </c>
      <c r="M2620" s="223"/>
      <c r="N2620" s="223"/>
      <c r="O2620" s="61"/>
      <c r="P2620" s="69" t="str">
        <f t="shared" si="167"/>
        <v>Piutang Usaha</v>
      </c>
      <c r="Q2620" s="61"/>
    </row>
    <row r="2621" spans="1:22" ht="28.5" hidden="1" x14ac:dyDescent="0.25">
      <c r="A2621" s="60" t="str">
        <f t="shared" si="165"/>
        <v>590112</v>
      </c>
      <c r="B2621" s="60">
        <f>COUNTIF($J$7:J2621,J2621)</f>
        <v>590</v>
      </c>
      <c r="C2621" s="60" t="str">
        <f t="shared" si="166"/>
        <v>33112,45</v>
      </c>
      <c r="D2621" s="60">
        <f>COUNTIF($K$7:K2621,K2621)</f>
        <v>33</v>
      </c>
      <c r="E2621" s="61"/>
      <c r="F2621" s="71">
        <v>44643</v>
      </c>
      <c r="G2621" s="72">
        <f>F2621+30</f>
        <v>44673</v>
      </c>
      <c r="H2621" s="73" t="s">
        <v>1548</v>
      </c>
      <c r="I2621" s="268" t="s">
        <v>32</v>
      </c>
      <c r="J2621" s="265">
        <v>112</v>
      </c>
      <c r="K2621" s="80">
        <v>112.45</v>
      </c>
      <c r="L2621" s="224">
        <v>4839978</v>
      </c>
      <c r="M2621" s="223"/>
      <c r="N2621" s="223"/>
      <c r="O2621" s="61"/>
      <c r="P2621" s="69" t="str">
        <f t="shared" si="167"/>
        <v>Piutang Usaha</v>
      </c>
      <c r="Q2621" s="61"/>
    </row>
    <row r="2622" spans="1:22" hidden="1" x14ac:dyDescent="0.25">
      <c r="A2622" s="60" t="str">
        <f t="shared" si="165"/>
        <v>591112</v>
      </c>
      <c r="B2622" s="60">
        <f>COUNTIF($J$7:J2622,J2622)</f>
        <v>591</v>
      </c>
      <c r="C2622" s="60" t="str">
        <f t="shared" si="166"/>
        <v>8112,23</v>
      </c>
      <c r="D2622" s="60">
        <f>COUNTIF($K$7:K2622,K2622)</f>
        <v>8</v>
      </c>
      <c r="E2622" s="61"/>
      <c r="F2622" s="71">
        <v>44643</v>
      </c>
      <c r="G2622" s="267">
        <f>F2622+30</f>
        <v>44673</v>
      </c>
      <c r="H2622" s="73" t="s">
        <v>1549</v>
      </c>
      <c r="I2622" s="268" t="s">
        <v>72</v>
      </c>
      <c r="J2622" s="265">
        <v>112</v>
      </c>
      <c r="K2622" s="80">
        <v>112.23</v>
      </c>
      <c r="L2622" s="224">
        <v>105600000</v>
      </c>
      <c r="M2622" s="223"/>
      <c r="N2622" s="223"/>
      <c r="O2622" s="61"/>
      <c r="P2622" s="69" t="str">
        <f t="shared" si="167"/>
        <v>Piutang Usaha</v>
      </c>
      <c r="Q2622" s="61"/>
    </row>
    <row r="2623" spans="1:22" ht="22.9" hidden="1" customHeight="1" x14ac:dyDescent="0.25">
      <c r="A2623" s="60" t="str">
        <f t="shared" si="165"/>
        <v>592112</v>
      </c>
      <c r="B2623" s="60">
        <f>COUNTIF($J$7:J2623,J2623)</f>
        <v>592</v>
      </c>
      <c r="C2623" s="60" t="str">
        <f t="shared" si="166"/>
        <v>16112,07</v>
      </c>
      <c r="D2623" s="60">
        <f>COUNTIF($K$7:K2623,K2623)</f>
        <v>16</v>
      </c>
      <c r="E2623" s="61"/>
      <c r="F2623" s="71">
        <v>44644</v>
      </c>
      <c r="G2623" s="72">
        <f>F2623+1</f>
        <v>44645</v>
      </c>
      <c r="H2623" s="73" t="s">
        <v>1550</v>
      </c>
      <c r="I2623" s="73" t="s">
        <v>99</v>
      </c>
      <c r="J2623" s="265">
        <v>112</v>
      </c>
      <c r="K2623" s="80">
        <v>112.07</v>
      </c>
      <c r="L2623" s="224">
        <v>4262500</v>
      </c>
      <c r="M2623" s="223"/>
      <c r="N2623" s="223"/>
      <c r="O2623" s="61"/>
      <c r="P2623" s="69" t="str">
        <f t="shared" si="167"/>
        <v>Piutang Usaha</v>
      </c>
      <c r="Q2623" s="61"/>
    </row>
    <row r="2624" spans="1:22" hidden="1" x14ac:dyDescent="0.25">
      <c r="A2624" s="60" t="str">
        <f t="shared" si="165"/>
        <v>593112</v>
      </c>
      <c r="B2624" s="60">
        <f>COUNTIF($J$7:J2624,J2624)</f>
        <v>593</v>
      </c>
      <c r="C2624" s="60" t="str">
        <f t="shared" si="166"/>
        <v>68112,02</v>
      </c>
      <c r="D2624" s="60">
        <f>COUNTIF($K$7:K2624,K2624)</f>
        <v>68</v>
      </c>
      <c r="E2624" s="61"/>
      <c r="F2624" s="71">
        <v>44644</v>
      </c>
      <c r="G2624" s="72">
        <f>F2624+45</f>
        <v>44689</v>
      </c>
      <c r="H2624" s="73" t="s">
        <v>1551</v>
      </c>
      <c r="I2624" s="268" t="s">
        <v>20</v>
      </c>
      <c r="J2624" s="265">
        <v>112</v>
      </c>
      <c r="K2624" s="80">
        <v>112.02</v>
      </c>
      <c r="L2624" s="224">
        <v>18059250</v>
      </c>
      <c r="M2624" s="223"/>
      <c r="N2624" s="223"/>
      <c r="O2624" s="61"/>
      <c r="P2624" s="69" t="str">
        <f t="shared" si="167"/>
        <v>Piutang Usaha</v>
      </c>
      <c r="Q2624" s="61"/>
    </row>
    <row r="2625" spans="1:17" hidden="1" x14ac:dyDescent="0.25">
      <c r="A2625" s="60" t="str">
        <f t="shared" si="165"/>
        <v>594112</v>
      </c>
      <c r="B2625" s="60">
        <f>COUNTIF($J$7:J2625,J2625)</f>
        <v>594</v>
      </c>
      <c r="C2625" s="60" t="str">
        <f t="shared" si="166"/>
        <v>69112,02</v>
      </c>
      <c r="D2625" s="60">
        <f>COUNTIF($K$7:K2625,K2625)</f>
        <v>69</v>
      </c>
      <c r="E2625" s="61"/>
      <c r="F2625" s="71">
        <v>44644</v>
      </c>
      <c r="G2625" s="72">
        <f>F2625+45</f>
        <v>44689</v>
      </c>
      <c r="H2625" s="73" t="s">
        <v>1552</v>
      </c>
      <c r="I2625" s="268" t="s">
        <v>20</v>
      </c>
      <c r="J2625" s="265">
        <v>112</v>
      </c>
      <c r="K2625" s="80">
        <v>112.02</v>
      </c>
      <c r="L2625" s="224">
        <v>902000</v>
      </c>
      <c r="M2625" s="223"/>
      <c r="N2625" s="223"/>
      <c r="O2625" s="61"/>
      <c r="P2625" s="69" t="str">
        <f t="shared" si="167"/>
        <v>Piutang Usaha</v>
      </c>
      <c r="Q2625" s="61"/>
    </row>
    <row r="2626" spans="1:17" ht="28.5" hidden="1" x14ac:dyDescent="0.25">
      <c r="A2626" s="60" t="str">
        <f t="shared" si="165"/>
        <v>595112</v>
      </c>
      <c r="B2626" s="60">
        <f>COUNTIF($J$7:J2626,J2626)</f>
        <v>595</v>
      </c>
      <c r="C2626" s="60" t="str">
        <f t="shared" si="166"/>
        <v>34112,45</v>
      </c>
      <c r="D2626" s="60">
        <f>COUNTIF($K$7:K2626,K2626)</f>
        <v>34</v>
      </c>
      <c r="E2626" s="61"/>
      <c r="F2626" s="71">
        <v>44644</v>
      </c>
      <c r="G2626" s="72">
        <f>F2626+30</f>
        <v>44674</v>
      </c>
      <c r="H2626" s="73" t="s">
        <v>1553</v>
      </c>
      <c r="I2626" s="268" t="s">
        <v>32</v>
      </c>
      <c r="J2626" s="265">
        <v>112</v>
      </c>
      <c r="K2626" s="80">
        <v>112.45</v>
      </c>
      <c r="L2626" s="224">
        <v>1814991.75</v>
      </c>
      <c r="M2626" s="223"/>
      <c r="N2626" s="223"/>
      <c r="O2626" s="61"/>
      <c r="P2626" s="69" t="str">
        <f t="shared" si="167"/>
        <v>Piutang Usaha</v>
      </c>
      <c r="Q2626" s="61"/>
    </row>
    <row r="2627" spans="1:17" ht="28.5" hidden="1" x14ac:dyDescent="0.25">
      <c r="A2627" s="60" t="str">
        <f t="shared" si="165"/>
        <v>596112</v>
      </c>
      <c r="B2627" s="60">
        <f>COUNTIF($J$7:J2627,J2627)</f>
        <v>596</v>
      </c>
      <c r="C2627" s="60" t="str">
        <f t="shared" si="166"/>
        <v>35112,45</v>
      </c>
      <c r="D2627" s="60">
        <f>COUNTIF($K$7:K2627,K2627)</f>
        <v>35</v>
      </c>
      <c r="E2627" s="61"/>
      <c r="F2627" s="71">
        <v>44644</v>
      </c>
      <c r="G2627" s="72">
        <f>F2627+30</f>
        <v>44674</v>
      </c>
      <c r="H2627" s="73" t="s">
        <v>1554</v>
      </c>
      <c r="I2627" s="268" t="s">
        <v>32</v>
      </c>
      <c r="J2627" s="265">
        <v>112</v>
      </c>
      <c r="K2627" s="80">
        <v>112.45</v>
      </c>
      <c r="L2627" s="224">
        <v>604997.25</v>
      </c>
      <c r="M2627" s="223"/>
      <c r="N2627" s="223"/>
      <c r="O2627" s="61"/>
      <c r="P2627" s="69" t="str">
        <f t="shared" si="167"/>
        <v>Piutang Usaha</v>
      </c>
      <c r="Q2627" s="61"/>
    </row>
    <row r="2628" spans="1:17" ht="28.5" hidden="1" x14ac:dyDescent="0.25">
      <c r="A2628" s="60" t="str">
        <f t="shared" si="165"/>
        <v>597112</v>
      </c>
      <c r="B2628" s="60">
        <f>COUNTIF($J$7:J2628,J2628)</f>
        <v>597</v>
      </c>
      <c r="C2628" s="60" t="str">
        <f t="shared" si="166"/>
        <v>36112,45</v>
      </c>
      <c r="D2628" s="60">
        <f>COUNTIF($K$7:K2628,K2628)</f>
        <v>36</v>
      </c>
      <c r="E2628" s="61"/>
      <c r="F2628" s="71">
        <v>44644</v>
      </c>
      <c r="G2628" s="72">
        <f>F2628+30</f>
        <v>44674</v>
      </c>
      <c r="H2628" s="73" t="s">
        <v>1555</v>
      </c>
      <c r="I2628" s="268" t="s">
        <v>32</v>
      </c>
      <c r="J2628" s="265">
        <v>112</v>
      </c>
      <c r="K2628" s="80">
        <v>112.45</v>
      </c>
      <c r="L2628" s="224">
        <v>7969500</v>
      </c>
      <c r="M2628" s="223"/>
      <c r="N2628" s="223"/>
      <c r="O2628" s="61"/>
      <c r="P2628" s="69" t="str">
        <f t="shared" si="167"/>
        <v>Piutang Usaha</v>
      </c>
      <c r="Q2628" s="61"/>
    </row>
    <row r="2629" spans="1:17" hidden="1" x14ac:dyDescent="0.25">
      <c r="A2629" s="60" t="str">
        <f t="shared" si="165"/>
        <v>598112</v>
      </c>
      <c r="B2629" s="60">
        <f>COUNTIF($J$7:J2629,J2629)</f>
        <v>598</v>
      </c>
      <c r="C2629" s="60" t="str">
        <f t="shared" si="166"/>
        <v>37112,43</v>
      </c>
      <c r="D2629" s="60">
        <f>COUNTIF($K$7:K2629,K2629)</f>
        <v>37</v>
      </c>
      <c r="E2629" s="61"/>
      <c r="F2629" s="71">
        <v>44644</v>
      </c>
      <c r="G2629" s="72">
        <f>F2629+30</f>
        <v>44674</v>
      </c>
      <c r="H2629" s="73" t="s">
        <v>1556</v>
      </c>
      <c r="I2629" s="268" t="s">
        <v>41</v>
      </c>
      <c r="J2629" s="265">
        <v>112</v>
      </c>
      <c r="K2629" s="80">
        <v>112.43</v>
      </c>
      <c r="L2629" s="224">
        <v>88638000</v>
      </c>
      <c r="M2629" s="223"/>
      <c r="N2629" s="223"/>
      <c r="O2629" s="61"/>
      <c r="P2629" s="69" t="str">
        <f t="shared" si="167"/>
        <v>Piutang Usaha</v>
      </c>
      <c r="Q2629" s="61"/>
    </row>
    <row r="2630" spans="1:17" hidden="1" x14ac:dyDescent="0.25">
      <c r="A2630" s="60" t="str">
        <f t="shared" si="165"/>
        <v>599112</v>
      </c>
      <c r="B2630" s="60">
        <f>COUNTIF($J$7:J2630,J2630)</f>
        <v>599</v>
      </c>
      <c r="C2630" s="60" t="str">
        <f t="shared" si="166"/>
        <v>34112,3</v>
      </c>
      <c r="D2630" s="60">
        <f>COUNTIF($K$7:K2630,K2630)</f>
        <v>34</v>
      </c>
      <c r="E2630" s="61"/>
      <c r="F2630" s="71">
        <v>44644</v>
      </c>
      <c r="G2630" s="267">
        <f>F2630+30</f>
        <v>44674</v>
      </c>
      <c r="H2630" s="73" t="s">
        <v>1557</v>
      </c>
      <c r="I2630" s="268" t="s">
        <v>48</v>
      </c>
      <c r="J2630" s="265">
        <v>112</v>
      </c>
      <c r="K2630" s="80">
        <v>112.3</v>
      </c>
      <c r="L2630" s="224">
        <v>15840000</v>
      </c>
      <c r="M2630" s="223"/>
      <c r="N2630" s="223"/>
      <c r="O2630" s="61"/>
      <c r="P2630" s="69" t="str">
        <f t="shared" si="167"/>
        <v>Piutang Usaha</v>
      </c>
      <c r="Q2630" s="61"/>
    </row>
    <row r="2631" spans="1:17" hidden="1" x14ac:dyDescent="0.25">
      <c r="A2631" s="60" t="str">
        <f t="shared" ref="A2631:A2694" si="170">B2631&amp;J2631</f>
        <v>600112</v>
      </c>
      <c r="B2631" s="60">
        <f>COUNTIF($J$7:J2631,J2631)</f>
        <v>600</v>
      </c>
      <c r="C2631" s="60" t="str">
        <f t="shared" ref="C2631:C2694" si="171">D2631&amp;K2631</f>
        <v>91112,06</v>
      </c>
      <c r="D2631" s="60">
        <f>COUNTIF($K$7:K2631,K2631)</f>
        <v>91</v>
      </c>
      <c r="E2631" s="61"/>
      <c r="F2631" s="71">
        <v>44645</v>
      </c>
      <c r="G2631" s="72">
        <f>F2631+45</f>
        <v>44690</v>
      </c>
      <c r="H2631" s="73" t="s">
        <v>1558</v>
      </c>
      <c r="I2631" s="268" t="s">
        <v>37</v>
      </c>
      <c r="J2631" s="265">
        <v>112</v>
      </c>
      <c r="K2631" s="80">
        <v>112.06</v>
      </c>
      <c r="L2631" s="224">
        <v>12391500</v>
      </c>
      <c r="M2631" s="223"/>
      <c r="N2631" s="223"/>
      <c r="O2631" s="61"/>
      <c r="P2631" s="69" t="str">
        <f t="shared" ref="P2631:P2694" si="172">IF(J2631=0,"-",+VLOOKUP(J2631,DAF_AKUN,2,FALSE))</f>
        <v>Piutang Usaha</v>
      </c>
      <c r="Q2631" s="61"/>
    </row>
    <row r="2632" spans="1:17" ht="28.5" hidden="1" x14ac:dyDescent="0.25">
      <c r="A2632" s="60" t="str">
        <f t="shared" si="170"/>
        <v>601112</v>
      </c>
      <c r="B2632" s="60">
        <f>COUNTIF($J$7:J2632,J2632)</f>
        <v>601</v>
      </c>
      <c r="C2632" s="60" t="str">
        <f t="shared" si="171"/>
        <v>87112,4</v>
      </c>
      <c r="D2632" s="60">
        <f>COUNTIF($K$7:K2632,K2632)</f>
        <v>87</v>
      </c>
      <c r="E2632" s="61"/>
      <c r="F2632" s="71">
        <v>44645</v>
      </c>
      <c r="G2632" s="267">
        <f>F2632+30</f>
        <v>44675</v>
      </c>
      <c r="H2632" s="73" t="s">
        <v>1559</v>
      </c>
      <c r="I2632" s="268" t="s">
        <v>34</v>
      </c>
      <c r="J2632" s="265">
        <v>112</v>
      </c>
      <c r="K2632" s="80">
        <v>112.4</v>
      </c>
      <c r="L2632" s="224">
        <v>1814991.75</v>
      </c>
      <c r="M2632" s="223"/>
      <c r="N2632" s="223"/>
      <c r="O2632" s="61"/>
      <c r="P2632" s="69" t="str">
        <f t="shared" si="172"/>
        <v>Piutang Usaha</v>
      </c>
      <c r="Q2632" s="61"/>
    </row>
    <row r="2633" spans="1:17" hidden="1" x14ac:dyDescent="0.25">
      <c r="A2633" s="60" t="str">
        <f t="shared" si="170"/>
        <v>602112</v>
      </c>
      <c r="B2633" s="60">
        <f>COUNTIF($J$7:J2633,J2633)</f>
        <v>602</v>
      </c>
      <c r="C2633" s="60" t="str">
        <f t="shared" si="171"/>
        <v>102112,01</v>
      </c>
      <c r="D2633" s="60">
        <f>COUNTIF($K$7:K2633,K2633)</f>
        <v>102</v>
      </c>
      <c r="E2633" s="61"/>
      <c r="F2633" s="71">
        <v>44648</v>
      </c>
      <c r="G2633" s="72">
        <f>F2633+45</f>
        <v>44693</v>
      </c>
      <c r="H2633" s="73" t="s">
        <v>1560</v>
      </c>
      <c r="I2633" s="268" t="s">
        <v>18</v>
      </c>
      <c r="J2633" s="265">
        <v>112</v>
      </c>
      <c r="K2633" s="80">
        <v>112.01</v>
      </c>
      <c r="L2633" s="224">
        <v>27266250</v>
      </c>
      <c r="M2633" s="223"/>
      <c r="N2633" s="223"/>
      <c r="O2633" s="61"/>
      <c r="P2633" s="69" t="str">
        <f t="shared" si="172"/>
        <v>Piutang Usaha</v>
      </c>
      <c r="Q2633" s="61"/>
    </row>
    <row r="2634" spans="1:17" ht="28.5" hidden="1" x14ac:dyDescent="0.25">
      <c r="A2634" s="60" t="str">
        <f t="shared" si="170"/>
        <v>603112</v>
      </c>
      <c r="B2634" s="60">
        <f>COUNTIF($J$7:J2634,J2634)</f>
        <v>603</v>
      </c>
      <c r="C2634" s="60" t="str">
        <f t="shared" si="171"/>
        <v>88112,4</v>
      </c>
      <c r="D2634" s="60">
        <f>COUNTIF($K$7:K2634,K2634)</f>
        <v>88</v>
      </c>
      <c r="E2634" s="61"/>
      <c r="F2634" s="71">
        <v>44648</v>
      </c>
      <c r="G2634" s="267">
        <f>F2634+30</f>
        <v>44678</v>
      </c>
      <c r="H2634" s="73" t="s">
        <v>1561</v>
      </c>
      <c r="I2634" s="268" t="s">
        <v>34</v>
      </c>
      <c r="J2634" s="265">
        <v>112</v>
      </c>
      <c r="K2634" s="80">
        <v>112.4</v>
      </c>
      <c r="L2634" s="224">
        <v>1814991.75</v>
      </c>
      <c r="M2634" s="223"/>
      <c r="N2634" s="223"/>
      <c r="O2634" s="61"/>
      <c r="P2634" s="69" t="str">
        <f t="shared" si="172"/>
        <v>Piutang Usaha</v>
      </c>
      <c r="Q2634" s="61"/>
    </row>
    <row r="2635" spans="1:17" hidden="1" x14ac:dyDescent="0.25">
      <c r="A2635" s="60" t="str">
        <f t="shared" si="170"/>
        <v>604112</v>
      </c>
      <c r="B2635" s="60">
        <f>COUNTIF($J$7:J2635,J2635)</f>
        <v>604</v>
      </c>
      <c r="C2635" s="60" t="str">
        <f t="shared" si="171"/>
        <v>103112,01</v>
      </c>
      <c r="D2635" s="60">
        <f>COUNTIF($K$7:K2635,K2635)</f>
        <v>103</v>
      </c>
      <c r="E2635" s="61"/>
      <c r="F2635" s="71">
        <v>44649</v>
      </c>
      <c r="G2635" s="72">
        <f t="shared" ref="G2635:G2636" si="173">F2635+45</f>
        <v>44694</v>
      </c>
      <c r="H2635" s="73" t="s">
        <v>1562</v>
      </c>
      <c r="I2635" s="268" t="s">
        <v>18</v>
      </c>
      <c r="J2635" s="265">
        <v>112</v>
      </c>
      <c r="K2635" s="80">
        <v>112.01</v>
      </c>
      <c r="L2635" s="224">
        <v>18587250</v>
      </c>
      <c r="M2635" s="223"/>
      <c r="N2635" s="223"/>
      <c r="O2635" s="61"/>
      <c r="P2635" s="69" t="str">
        <f t="shared" si="172"/>
        <v>Piutang Usaha</v>
      </c>
      <c r="Q2635" s="61"/>
    </row>
    <row r="2636" spans="1:17" hidden="1" x14ac:dyDescent="0.25">
      <c r="A2636" s="60" t="str">
        <f t="shared" si="170"/>
        <v>605112</v>
      </c>
      <c r="B2636" s="60">
        <f>COUNTIF($J$7:J2636,J2636)</f>
        <v>605</v>
      </c>
      <c r="C2636" s="60" t="str">
        <f t="shared" si="171"/>
        <v>104112,01</v>
      </c>
      <c r="D2636" s="60">
        <f>COUNTIF($K$7:K2636,K2636)</f>
        <v>104</v>
      </c>
      <c r="E2636" s="61"/>
      <c r="F2636" s="71">
        <v>44649</v>
      </c>
      <c r="G2636" s="72">
        <f t="shared" si="173"/>
        <v>44694</v>
      </c>
      <c r="H2636" s="73" t="s">
        <v>1563</v>
      </c>
      <c r="I2636" s="268" t="s">
        <v>18</v>
      </c>
      <c r="J2636" s="265">
        <v>112</v>
      </c>
      <c r="K2636" s="80">
        <v>112.01</v>
      </c>
      <c r="L2636" s="224">
        <v>21689250</v>
      </c>
      <c r="M2636" s="223"/>
      <c r="N2636" s="223"/>
      <c r="O2636" s="61"/>
      <c r="P2636" s="69" t="str">
        <f t="shared" si="172"/>
        <v>Piutang Usaha</v>
      </c>
      <c r="Q2636" s="61"/>
    </row>
    <row r="2637" spans="1:17" hidden="1" x14ac:dyDescent="0.25">
      <c r="A2637" s="60" t="str">
        <f t="shared" si="170"/>
        <v>606112</v>
      </c>
      <c r="B2637" s="60">
        <f>COUNTIF($J$7:J2637,J2637)</f>
        <v>606</v>
      </c>
      <c r="C2637" s="60" t="str">
        <f t="shared" si="171"/>
        <v>92112,06</v>
      </c>
      <c r="D2637" s="60">
        <f>COUNTIF($K$7:K2637,K2637)</f>
        <v>92</v>
      </c>
      <c r="E2637" s="61"/>
      <c r="F2637" s="71">
        <v>44649</v>
      </c>
      <c r="G2637" s="267">
        <f>F2637+45</f>
        <v>44694</v>
      </c>
      <c r="H2637" s="73" t="s">
        <v>1564</v>
      </c>
      <c r="I2637" s="268" t="s">
        <v>37</v>
      </c>
      <c r="J2637" s="265">
        <v>112</v>
      </c>
      <c r="K2637" s="80">
        <v>112.06</v>
      </c>
      <c r="L2637" s="224">
        <v>17622000</v>
      </c>
      <c r="M2637" s="223"/>
      <c r="N2637" s="223"/>
      <c r="O2637" s="61"/>
      <c r="P2637" s="69" t="str">
        <f t="shared" si="172"/>
        <v>Piutang Usaha</v>
      </c>
      <c r="Q2637" s="61"/>
    </row>
    <row r="2638" spans="1:17" hidden="1" x14ac:dyDescent="0.25">
      <c r="A2638" s="60" t="str">
        <f t="shared" si="170"/>
        <v>607112</v>
      </c>
      <c r="B2638" s="60">
        <f>COUNTIF($J$7:J2638,J2638)</f>
        <v>607</v>
      </c>
      <c r="C2638" s="60" t="str">
        <f t="shared" si="171"/>
        <v>93112,06</v>
      </c>
      <c r="D2638" s="60">
        <f>COUNTIF($K$7:K2638,K2638)</f>
        <v>93</v>
      </c>
      <c r="E2638" s="61"/>
      <c r="F2638" s="71">
        <v>44649</v>
      </c>
      <c r="G2638" s="267">
        <f t="shared" ref="G2638" si="174">F2638+45</f>
        <v>44694</v>
      </c>
      <c r="H2638" s="73" t="s">
        <v>1565</v>
      </c>
      <c r="I2638" s="268" t="s">
        <v>37</v>
      </c>
      <c r="J2638" s="265">
        <v>112</v>
      </c>
      <c r="K2638" s="80">
        <v>112.06</v>
      </c>
      <c r="L2638" s="224">
        <v>8662500</v>
      </c>
      <c r="M2638" s="223"/>
      <c r="N2638" s="223"/>
      <c r="O2638" s="61"/>
      <c r="P2638" s="69" t="str">
        <f t="shared" si="172"/>
        <v>Piutang Usaha</v>
      </c>
      <c r="Q2638" s="61"/>
    </row>
    <row r="2639" spans="1:17" hidden="1" x14ac:dyDescent="0.25">
      <c r="A2639" s="60" t="str">
        <f t="shared" si="170"/>
        <v>608112</v>
      </c>
      <c r="B2639" s="60">
        <f>COUNTIF($J$7:J2639,J2639)</f>
        <v>608</v>
      </c>
      <c r="C2639" s="60" t="str">
        <f t="shared" si="171"/>
        <v>15112,04</v>
      </c>
      <c r="D2639" s="60">
        <f>COUNTIF($K$7:K2639,K2639)</f>
        <v>15</v>
      </c>
      <c r="E2639" s="61"/>
      <c r="F2639" s="71">
        <v>44649</v>
      </c>
      <c r="G2639" s="267">
        <f>F2639+30</f>
        <v>44679</v>
      </c>
      <c r="H2639" s="73" t="s">
        <v>1566</v>
      </c>
      <c r="I2639" s="268" t="s">
        <v>26</v>
      </c>
      <c r="J2639" s="265">
        <v>112</v>
      </c>
      <c r="K2639" s="80">
        <v>112.04</v>
      </c>
      <c r="L2639" s="224">
        <v>10807500</v>
      </c>
      <c r="M2639" s="223"/>
      <c r="N2639" s="223"/>
      <c r="O2639" s="61"/>
      <c r="P2639" s="69" t="str">
        <f t="shared" si="172"/>
        <v>Piutang Usaha</v>
      </c>
      <c r="Q2639" s="61"/>
    </row>
    <row r="2640" spans="1:17" ht="28.5" hidden="1" x14ac:dyDescent="0.25">
      <c r="A2640" s="60" t="str">
        <f t="shared" si="170"/>
        <v>609112</v>
      </c>
      <c r="B2640" s="60">
        <f>COUNTIF($J$7:J2640,J2640)</f>
        <v>609</v>
      </c>
      <c r="C2640" s="60" t="str">
        <f t="shared" si="171"/>
        <v>37112,45</v>
      </c>
      <c r="D2640" s="60">
        <f>COUNTIF($K$7:K2640,K2640)</f>
        <v>37</v>
      </c>
      <c r="E2640" s="61"/>
      <c r="F2640" s="71">
        <v>44650</v>
      </c>
      <c r="G2640" s="267">
        <f>F2640+30</f>
        <v>44680</v>
      </c>
      <c r="H2640" s="73" t="s">
        <v>1567</v>
      </c>
      <c r="I2640" s="268" t="s">
        <v>32</v>
      </c>
      <c r="J2640" s="265">
        <v>112</v>
      </c>
      <c r="K2640" s="80">
        <v>112.45</v>
      </c>
      <c r="L2640" s="224">
        <v>5566000</v>
      </c>
      <c r="M2640" s="223"/>
      <c r="N2640" s="223"/>
      <c r="O2640" s="61"/>
      <c r="P2640" s="69" t="str">
        <f t="shared" si="172"/>
        <v>Piutang Usaha</v>
      </c>
      <c r="Q2640" s="61"/>
    </row>
    <row r="2641" spans="1:17" hidden="1" x14ac:dyDescent="0.25">
      <c r="A2641" s="60" t="str">
        <f t="shared" si="170"/>
        <v>610112</v>
      </c>
      <c r="B2641" s="60">
        <f>COUNTIF($J$7:J2641,J2641)</f>
        <v>610</v>
      </c>
      <c r="C2641" s="60" t="str">
        <f t="shared" si="171"/>
        <v>2112,71</v>
      </c>
      <c r="D2641" s="60">
        <f>COUNTIF($K$7:K2641,K2641)</f>
        <v>2</v>
      </c>
      <c r="E2641" s="61"/>
      <c r="F2641" s="71">
        <v>44650</v>
      </c>
      <c r="G2641" s="267">
        <f>F2641+30</f>
        <v>44680</v>
      </c>
      <c r="H2641" s="73" t="s">
        <v>1568</v>
      </c>
      <c r="I2641" s="268" t="s">
        <v>831</v>
      </c>
      <c r="J2641" s="265">
        <v>112</v>
      </c>
      <c r="K2641" s="80">
        <v>112.71</v>
      </c>
      <c r="L2641" s="224">
        <v>1815000</v>
      </c>
      <c r="M2641" s="223"/>
      <c r="N2641" s="223"/>
      <c r="O2641" s="61"/>
      <c r="P2641" s="69" t="str">
        <f t="shared" si="172"/>
        <v>Piutang Usaha</v>
      </c>
      <c r="Q2641" s="61"/>
    </row>
    <row r="2642" spans="1:17" ht="28.5" hidden="1" x14ac:dyDescent="0.25">
      <c r="A2642" s="60" t="str">
        <f t="shared" si="170"/>
        <v>611112</v>
      </c>
      <c r="B2642" s="60">
        <f>COUNTIF($J$7:J2642,J2642)</f>
        <v>611</v>
      </c>
      <c r="C2642" s="60" t="str">
        <f t="shared" si="171"/>
        <v>89112,4</v>
      </c>
      <c r="D2642" s="60">
        <f>COUNTIF($K$7:K2642,K2642)</f>
        <v>89</v>
      </c>
      <c r="E2642" s="61"/>
      <c r="F2642" s="71">
        <v>44649</v>
      </c>
      <c r="G2642" s="267">
        <f>F2642+30</f>
        <v>44679</v>
      </c>
      <c r="H2642" s="73" t="s">
        <v>1569</v>
      </c>
      <c r="I2642" s="268" t="s">
        <v>34</v>
      </c>
      <c r="J2642" s="265">
        <v>112</v>
      </c>
      <c r="K2642" s="80">
        <v>112.4</v>
      </c>
      <c r="L2642" s="224">
        <v>4234980.75</v>
      </c>
      <c r="M2642" s="223"/>
      <c r="N2642" s="223"/>
      <c r="O2642" s="61"/>
      <c r="P2642" s="69" t="str">
        <f t="shared" si="172"/>
        <v>Piutang Usaha</v>
      </c>
      <c r="Q2642" s="61"/>
    </row>
    <row r="2643" spans="1:17" hidden="1" x14ac:dyDescent="0.25">
      <c r="A2643" s="60" t="str">
        <f t="shared" si="170"/>
        <v>612112</v>
      </c>
      <c r="B2643" s="60">
        <f>COUNTIF($J$7:J2643,J2643)</f>
        <v>612</v>
      </c>
      <c r="C2643" s="60" t="str">
        <f t="shared" si="171"/>
        <v>2112,69</v>
      </c>
      <c r="D2643" s="60">
        <f>COUNTIF($K$7:K2643,K2643)</f>
        <v>2</v>
      </c>
      <c r="E2643" s="61"/>
      <c r="F2643" s="71">
        <v>44650</v>
      </c>
      <c r="G2643" s="266" t="s">
        <v>13</v>
      </c>
      <c r="H2643" s="73" t="s">
        <v>1570</v>
      </c>
      <c r="I2643" s="268" t="s">
        <v>1571</v>
      </c>
      <c r="J2643" s="265">
        <v>112</v>
      </c>
      <c r="K2643" s="80">
        <v>112.69</v>
      </c>
      <c r="L2643" s="269">
        <v>1980000</v>
      </c>
      <c r="M2643" s="223"/>
      <c r="N2643" s="223"/>
      <c r="O2643" s="61"/>
      <c r="P2643" s="69" t="str">
        <f t="shared" si="172"/>
        <v>Piutang Usaha</v>
      </c>
      <c r="Q2643" s="61"/>
    </row>
    <row r="2644" spans="1:17" ht="28.5" hidden="1" x14ac:dyDescent="0.25">
      <c r="A2644" s="60" t="str">
        <f t="shared" si="170"/>
        <v>613112</v>
      </c>
      <c r="B2644" s="60">
        <f>COUNTIF($J$7:J2644,J2644)</f>
        <v>613</v>
      </c>
      <c r="C2644" s="60" t="str">
        <f t="shared" si="171"/>
        <v>7112,64</v>
      </c>
      <c r="D2644" s="60">
        <f>COUNTIF($K$7:K2644,K2644)</f>
        <v>7</v>
      </c>
      <c r="E2644" s="61"/>
      <c r="F2644" s="71">
        <v>44650</v>
      </c>
      <c r="G2644" s="267">
        <f>F2644+30</f>
        <v>44680</v>
      </c>
      <c r="H2644" s="73" t="s">
        <v>1572</v>
      </c>
      <c r="I2644" s="268" t="s">
        <v>28</v>
      </c>
      <c r="J2644" s="265">
        <v>112</v>
      </c>
      <c r="K2644" s="80">
        <v>112.64</v>
      </c>
      <c r="L2644" s="269">
        <v>1980000</v>
      </c>
      <c r="M2644" s="223"/>
      <c r="N2644" s="223"/>
      <c r="O2644" s="61"/>
      <c r="P2644" s="69" t="str">
        <f t="shared" si="172"/>
        <v>Piutang Usaha</v>
      </c>
      <c r="Q2644" s="61"/>
    </row>
    <row r="2645" spans="1:17" hidden="1" x14ac:dyDescent="0.25">
      <c r="A2645" s="60" t="str">
        <f t="shared" si="170"/>
        <v>614112</v>
      </c>
      <c r="B2645" s="60">
        <f>COUNTIF($J$7:J2645,J2645)</f>
        <v>614</v>
      </c>
      <c r="C2645" s="60" t="str">
        <f t="shared" si="171"/>
        <v>105112,01</v>
      </c>
      <c r="D2645" s="60">
        <f>COUNTIF($K$7:K2645,K2645)</f>
        <v>105</v>
      </c>
      <c r="E2645" s="61"/>
      <c r="F2645" s="71">
        <v>44650</v>
      </c>
      <c r="G2645" s="72">
        <f>F2645+45</f>
        <v>44695</v>
      </c>
      <c r="H2645" s="73" t="s">
        <v>1573</v>
      </c>
      <c r="I2645" s="268" t="s">
        <v>18</v>
      </c>
      <c r="J2645" s="265">
        <v>112</v>
      </c>
      <c r="K2645" s="80">
        <v>112.01</v>
      </c>
      <c r="L2645" s="269">
        <v>16747500</v>
      </c>
      <c r="M2645" s="223"/>
      <c r="N2645" s="223"/>
      <c r="O2645" s="61"/>
      <c r="P2645" s="69" t="str">
        <f t="shared" si="172"/>
        <v>Piutang Usaha</v>
      </c>
      <c r="Q2645" s="61"/>
    </row>
    <row r="2646" spans="1:17" hidden="1" x14ac:dyDescent="0.25">
      <c r="A2646" s="60" t="str">
        <f t="shared" si="170"/>
        <v>615112</v>
      </c>
      <c r="B2646" s="60">
        <f>COUNTIF($J$7:J2646,J2646)</f>
        <v>615</v>
      </c>
      <c r="C2646" s="60" t="str">
        <f t="shared" si="171"/>
        <v>11112,61</v>
      </c>
      <c r="D2646" s="60">
        <f>COUNTIF($K$7:K2646,K2646)</f>
        <v>11</v>
      </c>
      <c r="E2646" s="61"/>
      <c r="F2646" s="71">
        <v>44651</v>
      </c>
      <c r="G2646" s="267">
        <f>F2646+30</f>
        <v>44681</v>
      </c>
      <c r="H2646" s="73" t="s">
        <v>1574</v>
      </c>
      <c r="I2646" s="268" t="s">
        <v>58</v>
      </c>
      <c r="J2646" s="265">
        <v>112</v>
      </c>
      <c r="K2646" s="80">
        <v>112.61</v>
      </c>
      <c r="L2646" s="269">
        <v>1925000</v>
      </c>
      <c r="M2646" s="223"/>
      <c r="N2646" s="223"/>
      <c r="O2646" s="61"/>
      <c r="P2646" s="69" t="str">
        <f t="shared" si="172"/>
        <v>Piutang Usaha</v>
      </c>
      <c r="Q2646" s="61"/>
    </row>
    <row r="2647" spans="1:17" hidden="1" x14ac:dyDescent="0.25">
      <c r="A2647" s="60" t="str">
        <f t="shared" si="170"/>
        <v>616112</v>
      </c>
      <c r="B2647" s="60">
        <f>COUNTIF($J$7:J2647,J2647)</f>
        <v>616</v>
      </c>
      <c r="C2647" s="60" t="str">
        <f t="shared" si="171"/>
        <v>12112,61</v>
      </c>
      <c r="D2647" s="60">
        <f>COUNTIF($K$7:K2647,K2647)</f>
        <v>12</v>
      </c>
      <c r="E2647" s="61"/>
      <c r="F2647" s="71">
        <v>44651</v>
      </c>
      <c r="G2647" s="267">
        <f>F2647+30</f>
        <v>44681</v>
      </c>
      <c r="H2647" s="73" t="s">
        <v>1575</v>
      </c>
      <c r="I2647" s="268" t="s">
        <v>58</v>
      </c>
      <c r="J2647" s="265">
        <v>112</v>
      </c>
      <c r="K2647" s="80">
        <v>112.61</v>
      </c>
      <c r="L2647" s="269">
        <v>1925000</v>
      </c>
      <c r="M2647" s="223"/>
      <c r="N2647" s="223"/>
      <c r="O2647" s="61"/>
      <c r="P2647" s="69" t="str">
        <f t="shared" si="172"/>
        <v>Piutang Usaha</v>
      </c>
      <c r="Q2647" s="61"/>
    </row>
    <row r="2648" spans="1:17" hidden="1" x14ac:dyDescent="0.25">
      <c r="A2648" s="60" t="str">
        <f t="shared" si="170"/>
        <v>617112</v>
      </c>
      <c r="B2648" s="60">
        <f>COUNTIF($J$7:J2648,J2648)</f>
        <v>617</v>
      </c>
      <c r="C2648" s="60" t="str">
        <f t="shared" si="171"/>
        <v>94112,06</v>
      </c>
      <c r="D2648" s="60">
        <f>COUNTIF($K$7:K2648,K2648)</f>
        <v>94</v>
      </c>
      <c r="E2648" s="61"/>
      <c r="F2648" s="71">
        <v>44651</v>
      </c>
      <c r="G2648" s="267">
        <f>F2648+45</f>
        <v>44696</v>
      </c>
      <c r="H2648" s="73" t="s">
        <v>1576</v>
      </c>
      <c r="I2648" s="268" t="s">
        <v>37</v>
      </c>
      <c r="J2648" s="265">
        <v>112</v>
      </c>
      <c r="K2648" s="80">
        <v>112.06</v>
      </c>
      <c r="L2648" s="269">
        <v>22137500</v>
      </c>
      <c r="M2648" s="223"/>
      <c r="N2648" s="223"/>
      <c r="O2648" s="61"/>
      <c r="P2648" s="69" t="str">
        <f t="shared" si="172"/>
        <v>Piutang Usaha</v>
      </c>
      <c r="Q2648" s="61"/>
    </row>
    <row r="2649" spans="1:17" ht="28.5" hidden="1" x14ac:dyDescent="0.25">
      <c r="A2649" s="60" t="str">
        <f t="shared" si="170"/>
        <v>618112</v>
      </c>
      <c r="B2649" s="60">
        <f>COUNTIF($J$7:J2649,J2649)</f>
        <v>618</v>
      </c>
      <c r="C2649" s="60" t="str">
        <f t="shared" si="171"/>
        <v>8112,64</v>
      </c>
      <c r="D2649" s="60">
        <f>COUNTIF($K$7:K2649,K2649)</f>
        <v>8</v>
      </c>
      <c r="E2649" s="61"/>
      <c r="F2649" s="71">
        <v>44651</v>
      </c>
      <c r="G2649" s="267">
        <f>F2649+30</f>
        <v>44681</v>
      </c>
      <c r="H2649" s="73" t="s">
        <v>1577</v>
      </c>
      <c r="I2649" s="268" t="s">
        <v>28</v>
      </c>
      <c r="J2649" s="265">
        <v>112</v>
      </c>
      <c r="K2649" s="80">
        <v>112.64</v>
      </c>
      <c r="L2649" s="269">
        <v>12540000</v>
      </c>
      <c r="M2649" s="223"/>
      <c r="N2649" s="223"/>
      <c r="O2649" s="61"/>
      <c r="P2649" s="69" t="str">
        <f t="shared" si="172"/>
        <v>Piutang Usaha</v>
      </c>
      <c r="Q2649" s="61"/>
    </row>
    <row r="2650" spans="1:17" hidden="1" x14ac:dyDescent="0.25">
      <c r="A2650" s="60" t="str">
        <f t="shared" si="170"/>
        <v>619112</v>
      </c>
      <c r="B2650" s="60">
        <f>COUNTIF($J$7:J2650,J2650)</f>
        <v>619</v>
      </c>
      <c r="C2650" s="60" t="str">
        <f t="shared" si="171"/>
        <v>1112,21</v>
      </c>
      <c r="D2650" s="60">
        <f>COUNTIF($K$7:K2650,K2650)</f>
        <v>1</v>
      </c>
      <c r="E2650" s="61"/>
      <c r="F2650" s="271">
        <v>44650</v>
      </c>
      <c r="G2650" s="272">
        <f>F2650+60</f>
        <v>44710</v>
      </c>
      <c r="H2650" s="273" t="s">
        <v>1578</v>
      </c>
      <c r="I2650" s="274" t="s">
        <v>1579</v>
      </c>
      <c r="J2650" s="265">
        <v>112</v>
      </c>
      <c r="K2650" s="80">
        <v>112.21</v>
      </c>
      <c r="L2650" s="269">
        <v>272250000</v>
      </c>
      <c r="M2650" s="223"/>
      <c r="N2650" s="223"/>
      <c r="O2650" s="61"/>
      <c r="P2650" s="69" t="str">
        <f t="shared" si="172"/>
        <v>Piutang Usaha</v>
      </c>
      <c r="Q2650" s="61"/>
    </row>
    <row r="2651" spans="1:17" ht="15.75" hidden="1" x14ac:dyDescent="0.25">
      <c r="A2651" s="60" t="str">
        <f t="shared" si="170"/>
        <v>620112</v>
      </c>
      <c r="B2651" s="60">
        <f>COUNTIF($J$7:J2651,J2651)</f>
        <v>620</v>
      </c>
      <c r="C2651" s="60" t="str">
        <f t="shared" si="171"/>
        <v>3112,08</v>
      </c>
      <c r="D2651" s="60">
        <f>COUNTIF($K$7:K2651,K2651)</f>
        <v>3</v>
      </c>
      <c r="E2651" s="61"/>
      <c r="F2651" s="271">
        <v>44651</v>
      </c>
      <c r="G2651" s="272"/>
      <c r="H2651" s="273" t="s">
        <v>1580</v>
      </c>
      <c r="I2651" s="274" t="s">
        <v>1581</v>
      </c>
      <c r="J2651" s="265">
        <v>112</v>
      </c>
      <c r="K2651" s="275">
        <v>112.08</v>
      </c>
      <c r="L2651" s="269">
        <v>2887500</v>
      </c>
      <c r="M2651" s="223"/>
      <c r="N2651" s="223"/>
      <c r="O2651" s="61"/>
      <c r="P2651" s="69" t="str">
        <f t="shared" si="172"/>
        <v>Piutang Usaha</v>
      </c>
      <c r="Q2651" s="61"/>
    </row>
    <row r="2652" spans="1:17" hidden="1" x14ac:dyDescent="0.25">
      <c r="A2652" s="60" t="str">
        <f t="shared" si="170"/>
        <v>370211,01</v>
      </c>
      <c r="B2652" s="60">
        <f>COUNTIF($J$7:J2652,J2652)</f>
        <v>370</v>
      </c>
      <c r="C2652" s="60" t="str">
        <f t="shared" si="171"/>
        <v>0</v>
      </c>
      <c r="D2652" s="60">
        <f>COUNTIF($K$7:K2652,K2652)</f>
        <v>0</v>
      </c>
      <c r="E2652" s="61"/>
      <c r="F2652" s="71">
        <v>44621</v>
      </c>
      <c r="G2652" s="266"/>
      <c r="H2652" s="73" t="s">
        <v>1460</v>
      </c>
      <c r="I2652" s="73" t="s">
        <v>44</v>
      </c>
      <c r="J2652" s="67">
        <v>211.01</v>
      </c>
      <c r="K2652" s="65"/>
      <c r="L2652" s="224"/>
      <c r="M2652" s="223">
        <v>610909.09091100004</v>
      </c>
      <c r="N2652" s="223"/>
      <c r="O2652" s="61"/>
      <c r="P2652" s="69" t="str">
        <f t="shared" si="172"/>
        <v>Hutang Pajak PPN</v>
      </c>
      <c r="Q2652" s="61"/>
    </row>
    <row r="2653" spans="1:17" hidden="1" x14ac:dyDescent="0.25">
      <c r="A2653" s="60" t="str">
        <f t="shared" si="170"/>
        <v>371211,01</v>
      </c>
      <c r="B2653" s="60">
        <f>COUNTIF($J$7:J2653,J2653)</f>
        <v>371</v>
      </c>
      <c r="C2653" s="60" t="str">
        <f t="shared" si="171"/>
        <v>0</v>
      </c>
      <c r="D2653" s="60">
        <f>COUNTIF($K$7:K2653,K2653)</f>
        <v>0</v>
      </c>
      <c r="E2653" s="61"/>
      <c r="F2653" s="71">
        <v>44621</v>
      </c>
      <c r="G2653" s="266"/>
      <c r="H2653" s="73" t="s">
        <v>1461</v>
      </c>
      <c r="I2653" s="73" t="s">
        <v>18</v>
      </c>
      <c r="J2653" s="67">
        <v>211.01</v>
      </c>
      <c r="K2653" s="65"/>
      <c r="L2653" s="224"/>
      <c r="M2653" s="223">
        <v>4100000</v>
      </c>
      <c r="N2653" s="223"/>
      <c r="O2653" s="61"/>
      <c r="P2653" s="69" t="str">
        <f t="shared" si="172"/>
        <v>Hutang Pajak PPN</v>
      </c>
      <c r="Q2653" s="61"/>
    </row>
    <row r="2654" spans="1:17" hidden="1" x14ac:dyDescent="0.25">
      <c r="A2654" s="60" t="str">
        <f t="shared" si="170"/>
        <v>372211,01</v>
      </c>
      <c r="B2654" s="60">
        <f>COUNTIF($J$7:J2654,J2654)</f>
        <v>372</v>
      </c>
      <c r="C2654" s="60" t="str">
        <f t="shared" si="171"/>
        <v>0</v>
      </c>
      <c r="D2654" s="60">
        <f>COUNTIF($K$7:K2654,K2654)</f>
        <v>0</v>
      </c>
      <c r="E2654" s="61"/>
      <c r="F2654" s="71">
        <v>44621</v>
      </c>
      <c r="G2654" s="266"/>
      <c r="H2654" s="73" t="s">
        <v>1462</v>
      </c>
      <c r="I2654" s="73" t="s">
        <v>18</v>
      </c>
      <c r="J2654" s="67">
        <v>211.01</v>
      </c>
      <c r="K2654" s="65"/>
      <c r="L2654" s="224"/>
      <c r="M2654" s="223">
        <v>1674750</v>
      </c>
      <c r="N2654" s="223"/>
      <c r="O2654" s="61"/>
      <c r="P2654" s="69" t="str">
        <f t="shared" si="172"/>
        <v>Hutang Pajak PPN</v>
      </c>
      <c r="Q2654" s="61"/>
    </row>
    <row r="2655" spans="1:17" hidden="1" x14ac:dyDescent="0.25">
      <c r="A2655" s="60" t="str">
        <f t="shared" si="170"/>
        <v>373211,01</v>
      </c>
      <c r="B2655" s="60">
        <f>COUNTIF($J$7:J2655,J2655)</f>
        <v>373</v>
      </c>
      <c r="C2655" s="60" t="str">
        <f t="shared" si="171"/>
        <v>0</v>
      </c>
      <c r="D2655" s="60">
        <f>COUNTIF($K$7:K2655,K2655)</f>
        <v>0</v>
      </c>
      <c r="E2655" s="61"/>
      <c r="F2655" s="71">
        <v>44621</v>
      </c>
      <c r="G2655" s="266"/>
      <c r="H2655" s="73" t="s">
        <v>1463</v>
      </c>
      <c r="I2655" s="73" t="s">
        <v>18</v>
      </c>
      <c r="J2655" s="67">
        <v>211.01</v>
      </c>
      <c r="K2655" s="65"/>
      <c r="L2655" s="224"/>
      <c r="M2655" s="223">
        <v>274500</v>
      </c>
      <c r="N2655" s="223"/>
      <c r="O2655" s="61"/>
      <c r="P2655" s="69" t="str">
        <f t="shared" si="172"/>
        <v>Hutang Pajak PPN</v>
      </c>
      <c r="Q2655" s="61"/>
    </row>
    <row r="2656" spans="1:17" hidden="1" x14ac:dyDescent="0.25">
      <c r="A2656" s="60" t="str">
        <f t="shared" si="170"/>
        <v>374211,01</v>
      </c>
      <c r="B2656" s="60">
        <f>COUNTIF($J$7:J2656,J2656)</f>
        <v>374</v>
      </c>
      <c r="C2656" s="60" t="str">
        <f t="shared" si="171"/>
        <v>0</v>
      </c>
      <c r="D2656" s="60">
        <f>COUNTIF($K$7:K2656,K2656)</f>
        <v>0</v>
      </c>
      <c r="E2656" s="61"/>
      <c r="F2656" s="71">
        <v>44621</v>
      </c>
      <c r="G2656" s="266"/>
      <c r="H2656" s="73" t="s">
        <v>1464</v>
      </c>
      <c r="I2656" s="73" t="s">
        <v>20</v>
      </c>
      <c r="J2656" s="67">
        <v>211.01</v>
      </c>
      <c r="K2656" s="65"/>
      <c r="L2656" s="224"/>
      <c r="M2656" s="223">
        <v>354000</v>
      </c>
      <c r="N2656" s="223"/>
      <c r="O2656" s="61"/>
      <c r="P2656" s="69" t="str">
        <f t="shared" si="172"/>
        <v>Hutang Pajak PPN</v>
      </c>
      <c r="Q2656" s="61"/>
    </row>
    <row r="2657" spans="1:17" hidden="1" x14ac:dyDescent="0.25">
      <c r="A2657" s="60" t="str">
        <f t="shared" si="170"/>
        <v>375211,01</v>
      </c>
      <c r="B2657" s="60">
        <f>COUNTIF($J$7:J2657,J2657)</f>
        <v>375</v>
      </c>
      <c r="C2657" s="60" t="str">
        <f t="shared" si="171"/>
        <v>0</v>
      </c>
      <c r="D2657" s="60">
        <f>COUNTIF($K$7:K2657,K2657)</f>
        <v>0</v>
      </c>
      <c r="E2657" s="61"/>
      <c r="F2657" s="71">
        <v>44621</v>
      </c>
      <c r="G2657" s="266"/>
      <c r="H2657" s="73" t="s">
        <v>1465</v>
      </c>
      <c r="I2657" s="73" t="s">
        <v>20</v>
      </c>
      <c r="J2657" s="67">
        <v>211.01</v>
      </c>
      <c r="K2657" s="65"/>
      <c r="L2657" s="224"/>
      <c r="M2657" s="223">
        <v>246000</v>
      </c>
      <c r="N2657" s="223"/>
      <c r="O2657" s="61"/>
      <c r="P2657" s="69" t="str">
        <f t="shared" si="172"/>
        <v>Hutang Pajak PPN</v>
      </c>
      <c r="Q2657" s="61"/>
    </row>
    <row r="2658" spans="1:17" hidden="1" x14ac:dyDescent="0.25">
      <c r="A2658" s="60" t="str">
        <f t="shared" si="170"/>
        <v>376211,01</v>
      </c>
      <c r="B2658" s="60">
        <f>COUNTIF($J$7:J2658,J2658)</f>
        <v>376</v>
      </c>
      <c r="C2658" s="60" t="str">
        <f t="shared" si="171"/>
        <v>0</v>
      </c>
      <c r="D2658" s="60">
        <f>COUNTIF($K$7:K2658,K2658)</f>
        <v>0</v>
      </c>
      <c r="E2658" s="61"/>
      <c r="F2658" s="71">
        <v>44621</v>
      </c>
      <c r="G2658" s="266"/>
      <c r="H2658" s="73" t="s">
        <v>1466</v>
      </c>
      <c r="I2658" s="73" t="s">
        <v>37</v>
      </c>
      <c r="J2658" s="67">
        <v>211.01</v>
      </c>
      <c r="K2658" s="65"/>
      <c r="L2658" s="224"/>
      <c r="M2658" s="223">
        <v>1575000</v>
      </c>
      <c r="N2658" s="223"/>
      <c r="O2658" s="61"/>
      <c r="P2658" s="69" t="str">
        <f t="shared" si="172"/>
        <v>Hutang Pajak PPN</v>
      </c>
      <c r="Q2658" s="61"/>
    </row>
    <row r="2659" spans="1:17" hidden="1" x14ac:dyDescent="0.25">
      <c r="A2659" s="60" t="str">
        <f t="shared" si="170"/>
        <v>377211,01</v>
      </c>
      <c r="B2659" s="60">
        <f>COUNTIF($J$7:J2659,J2659)</f>
        <v>377</v>
      </c>
      <c r="C2659" s="60" t="str">
        <f t="shared" si="171"/>
        <v>0</v>
      </c>
      <c r="D2659" s="60">
        <f>COUNTIF($K$7:K2659,K2659)</f>
        <v>0</v>
      </c>
      <c r="E2659" s="61"/>
      <c r="F2659" s="71">
        <v>44621</v>
      </c>
      <c r="G2659" s="266"/>
      <c r="H2659" s="73" t="s">
        <v>1467</v>
      </c>
      <c r="I2659" s="73" t="s">
        <v>122</v>
      </c>
      <c r="J2659" s="67">
        <v>211.01</v>
      </c>
      <c r="K2659" s="65"/>
      <c r="L2659" s="224"/>
      <c r="M2659" s="223">
        <v>584000</v>
      </c>
      <c r="N2659" s="223"/>
      <c r="O2659" s="61"/>
      <c r="P2659" s="69" t="str">
        <f t="shared" si="172"/>
        <v>Hutang Pajak PPN</v>
      </c>
      <c r="Q2659" s="61"/>
    </row>
    <row r="2660" spans="1:17" hidden="1" x14ac:dyDescent="0.25">
      <c r="A2660" s="60" t="str">
        <f t="shared" si="170"/>
        <v>378211,01</v>
      </c>
      <c r="B2660" s="60">
        <f>COUNTIF($J$7:J2660,J2660)</f>
        <v>378</v>
      </c>
      <c r="C2660" s="60" t="str">
        <f t="shared" si="171"/>
        <v>0</v>
      </c>
      <c r="D2660" s="60">
        <f>COUNTIF($K$7:K2660,K2660)</f>
        <v>0</v>
      </c>
      <c r="E2660" s="61"/>
      <c r="F2660" s="71">
        <v>44622</v>
      </c>
      <c r="G2660" s="266"/>
      <c r="H2660" s="73" t="s">
        <v>1468</v>
      </c>
      <c r="I2660" s="73" t="s">
        <v>20</v>
      </c>
      <c r="J2660" s="67">
        <v>211.01</v>
      </c>
      <c r="K2660" s="65"/>
      <c r="L2660" s="224"/>
      <c r="M2660" s="223">
        <v>1400250</v>
      </c>
      <c r="N2660" s="223"/>
      <c r="O2660" s="61"/>
      <c r="P2660" s="69" t="str">
        <f t="shared" si="172"/>
        <v>Hutang Pajak PPN</v>
      </c>
      <c r="Q2660" s="61"/>
    </row>
    <row r="2661" spans="1:17" hidden="1" x14ac:dyDescent="0.25">
      <c r="A2661" s="60" t="str">
        <f t="shared" si="170"/>
        <v>379211,01</v>
      </c>
      <c r="B2661" s="60">
        <f>COUNTIF($J$7:J2661,J2661)</f>
        <v>379</v>
      </c>
      <c r="C2661" s="60" t="str">
        <f t="shared" si="171"/>
        <v>0</v>
      </c>
      <c r="D2661" s="60">
        <f>COUNTIF($K$7:K2661,K2661)</f>
        <v>0</v>
      </c>
      <c r="E2661" s="61"/>
      <c r="F2661" s="71">
        <v>44622</v>
      </c>
      <c r="G2661" s="266"/>
      <c r="H2661" s="73" t="s">
        <v>1469</v>
      </c>
      <c r="I2661" s="73" t="s">
        <v>37</v>
      </c>
      <c r="J2661" s="67">
        <v>211.01</v>
      </c>
      <c r="K2661" s="65"/>
      <c r="L2661" s="224"/>
      <c r="M2661" s="223">
        <v>875000</v>
      </c>
      <c r="N2661" s="223"/>
      <c r="O2661" s="61"/>
      <c r="P2661" s="69" t="str">
        <f t="shared" si="172"/>
        <v>Hutang Pajak PPN</v>
      </c>
      <c r="Q2661" s="61"/>
    </row>
    <row r="2662" spans="1:17" hidden="1" x14ac:dyDescent="0.25">
      <c r="A2662" s="60" t="str">
        <f t="shared" si="170"/>
        <v>380211,01</v>
      </c>
      <c r="B2662" s="60">
        <f>COUNTIF($J$7:J2662,J2662)</f>
        <v>380</v>
      </c>
      <c r="C2662" s="60" t="str">
        <f t="shared" si="171"/>
        <v>0</v>
      </c>
      <c r="D2662" s="60">
        <f>COUNTIF($K$7:K2662,K2662)</f>
        <v>0</v>
      </c>
      <c r="E2662" s="61"/>
      <c r="F2662" s="71">
        <v>44622</v>
      </c>
      <c r="G2662" s="266"/>
      <c r="H2662" s="73" t="s">
        <v>1470</v>
      </c>
      <c r="I2662" s="73" t="s">
        <v>37</v>
      </c>
      <c r="J2662" s="67">
        <v>211.01</v>
      </c>
      <c r="K2662" s="65"/>
      <c r="L2662" s="224"/>
      <c r="M2662" s="223">
        <v>945000</v>
      </c>
      <c r="N2662" s="223"/>
      <c r="O2662" s="61"/>
      <c r="P2662" s="69" t="str">
        <f t="shared" si="172"/>
        <v>Hutang Pajak PPN</v>
      </c>
      <c r="Q2662" s="61"/>
    </row>
    <row r="2663" spans="1:17" ht="30" hidden="1" x14ac:dyDescent="0.25">
      <c r="A2663" s="60" t="str">
        <f t="shared" si="170"/>
        <v>381211,01</v>
      </c>
      <c r="B2663" s="60">
        <f>COUNTIF($J$7:J2663,J2663)</f>
        <v>381</v>
      </c>
      <c r="C2663" s="60" t="str">
        <f t="shared" si="171"/>
        <v>0</v>
      </c>
      <c r="D2663" s="60">
        <f>COUNTIF($K$7:K2663,K2663)</f>
        <v>0</v>
      </c>
      <c r="E2663" s="61"/>
      <c r="F2663" s="71">
        <v>44622</v>
      </c>
      <c r="G2663" s="266"/>
      <c r="H2663" s="73" t="s">
        <v>1471</v>
      </c>
      <c r="I2663" s="73" t="s">
        <v>34</v>
      </c>
      <c r="J2663" s="67">
        <v>211.01</v>
      </c>
      <c r="K2663" s="65"/>
      <c r="L2663" s="224"/>
      <c r="M2663" s="223">
        <v>164999.25</v>
      </c>
      <c r="N2663" s="223"/>
      <c r="O2663" s="61"/>
      <c r="P2663" s="69" t="str">
        <f t="shared" si="172"/>
        <v>Hutang Pajak PPN</v>
      </c>
      <c r="Q2663" s="61"/>
    </row>
    <row r="2664" spans="1:17" hidden="1" x14ac:dyDescent="0.25">
      <c r="A2664" s="60" t="str">
        <f t="shared" si="170"/>
        <v>382211,01</v>
      </c>
      <c r="B2664" s="60">
        <f>COUNTIF($J$7:J2664,J2664)</f>
        <v>382</v>
      </c>
      <c r="C2664" s="60" t="str">
        <f t="shared" si="171"/>
        <v>0</v>
      </c>
      <c r="D2664" s="60">
        <f>COUNTIF($K$7:K2664,K2664)</f>
        <v>0</v>
      </c>
      <c r="E2664" s="61"/>
      <c r="F2664" s="71">
        <v>44622</v>
      </c>
      <c r="G2664" s="266"/>
      <c r="H2664" s="73" t="s">
        <v>1472</v>
      </c>
      <c r="I2664" s="73" t="s">
        <v>1473</v>
      </c>
      <c r="J2664" s="67">
        <v>211.01</v>
      </c>
      <c r="K2664" s="65"/>
      <c r="L2664" s="224"/>
      <c r="M2664" s="223">
        <v>567000</v>
      </c>
      <c r="N2664" s="223"/>
      <c r="O2664" s="61"/>
      <c r="P2664" s="69" t="str">
        <f t="shared" si="172"/>
        <v>Hutang Pajak PPN</v>
      </c>
      <c r="Q2664" s="61"/>
    </row>
    <row r="2665" spans="1:17" hidden="1" x14ac:dyDescent="0.25">
      <c r="A2665" s="60" t="str">
        <f t="shared" si="170"/>
        <v>383211,01</v>
      </c>
      <c r="B2665" s="60">
        <f>COUNTIF($J$7:J2665,J2665)</f>
        <v>383</v>
      </c>
      <c r="C2665" s="60" t="str">
        <f t="shared" si="171"/>
        <v>0</v>
      </c>
      <c r="D2665" s="60">
        <f>COUNTIF($K$7:K2665,K2665)</f>
        <v>0</v>
      </c>
      <c r="E2665" s="61"/>
      <c r="F2665" s="71">
        <v>44622</v>
      </c>
      <c r="G2665" s="266"/>
      <c r="H2665" s="73" t="s">
        <v>1474</v>
      </c>
      <c r="I2665" s="73" t="s">
        <v>48</v>
      </c>
      <c r="J2665" s="67">
        <v>211.01</v>
      </c>
      <c r="K2665" s="65"/>
      <c r="L2665" s="224"/>
      <c r="M2665" s="223">
        <v>1560000</v>
      </c>
      <c r="N2665" s="223"/>
      <c r="O2665" s="61"/>
      <c r="P2665" s="69" t="str">
        <f t="shared" si="172"/>
        <v>Hutang Pajak PPN</v>
      </c>
      <c r="Q2665" s="61"/>
    </row>
    <row r="2666" spans="1:17" hidden="1" x14ac:dyDescent="0.25">
      <c r="A2666" s="60" t="str">
        <f t="shared" si="170"/>
        <v>384211,01</v>
      </c>
      <c r="B2666" s="60">
        <f>COUNTIF($J$7:J2666,J2666)</f>
        <v>384</v>
      </c>
      <c r="C2666" s="60" t="str">
        <f t="shared" si="171"/>
        <v>0</v>
      </c>
      <c r="D2666" s="60">
        <f>COUNTIF($K$7:K2666,K2666)</f>
        <v>0</v>
      </c>
      <c r="E2666" s="61"/>
      <c r="F2666" s="71">
        <v>44622</v>
      </c>
      <c r="G2666" s="266"/>
      <c r="H2666" s="73" t="s">
        <v>1475</v>
      </c>
      <c r="I2666" s="73" t="s">
        <v>48</v>
      </c>
      <c r="J2666" s="67">
        <v>211.01</v>
      </c>
      <c r="K2666" s="65"/>
      <c r="L2666" s="224"/>
      <c r="M2666" s="223">
        <v>975000</v>
      </c>
      <c r="N2666" s="223"/>
      <c r="O2666" s="61"/>
      <c r="P2666" s="69" t="str">
        <f t="shared" si="172"/>
        <v>Hutang Pajak PPN</v>
      </c>
      <c r="Q2666" s="61"/>
    </row>
    <row r="2667" spans="1:17" ht="30" hidden="1" x14ac:dyDescent="0.25">
      <c r="A2667" s="60" t="str">
        <f t="shared" si="170"/>
        <v>385211,01</v>
      </c>
      <c r="B2667" s="60">
        <f>COUNTIF($J$7:J2667,J2667)</f>
        <v>385</v>
      </c>
      <c r="C2667" s="60" t="str">
        <f t="shared" si="171"/>
        <v>0</v>
      </c>
      <c r="D2667" s="60">
        <f>COUNTIF($K$7:K2667,K2667)</f>
        <v>0</v>
      </c>
      <c r="E2667" s="61"/>
      <c r="F2667" s="71">
        <v>44622</v>
      </c>
      <c r="G2667" s="266"/>
      <c r="H2667" s="73" t="s">
        <v>1476</v>
      </c>
      <c r="I2667" s="73" t="s">
        <v>28</v>
      </c>
      <c r="J2667" s="67">
        <v>211.01</v>
      </c>
      <c r="K2667" s="65"/>
      <c r="L2667" s="224"/>
      <c r="M2667" s="223">
        <v>1020000</v>
      </c>
      <c r="N2667" s="223"/>
      <c r="O2667" s="61"/>
      <c r="P2667" s="69" t="str">
        <f t="shared" si="172"/>
        <v>Hutang Pajak PPN</v>
      </c>
      <c r="Q2667" s="61"/>
    </row>
    <row r="2668" spans="1:17" hidden="1" x14ac:dyDescent="0.25">
      <c r="A2668" s="60" t="str">
        <f t="shared" si="170"/>
        <v>386211,01</v>
      </c>
      <c r="B2668" s="60">
        <f>COUNTIF($J$7:J2668,J2668)</f>
        <v>386</v>
      </c>
      <c r="C2668" s="60" t="str">
        <f t="shared" si="171"/>
        <v>0</v>
      </c>
      <c r="D2668" s="60">
        <f>COUNTIF($K$7:K2668,K2668)</f>
        <v>0</v>
      </c>
      <c r="E2668" s="61"/>
      <c r="F2668" s="71">
        <v>44624</v>
      </c>
      <c r="G2668" s="266"/>
      <c r="H2668" s="73" t="s">
        <v>1478</v>
      </c>
      <c r="I2668" s="73" t="s">
        <v>32</v>
      </c>
      <c r="J2668" s="67">
        <v>211.01</v>
      </c>
      <c r="K2668" s="65"/>
      <c r="L2668" s="224"/>
      <c r="M2668" s="223">
        <v>274998.75</v>
      </c>
      <c r="N2668" s="223"/>
      <c r="O2668" s="61"/>
      <c r="P2668" s="69" t="str">
        <f t="shared" si="172"/>
        <v>Hutang Pajak PPN</v>
      </c>
      <c r="Q2668" s="61"/>
    </row>
    <row r="2669" spans="1:17" hidden="1" x14ac:dyDescent="0.25">
      <c r="A2669" s="60" t="str">
        <f t="shared" si="170"/>
        <v>387211,01</v>
      </c>
      <c r="B2669" s="60">
        <f>COUNTIF($J$7:J2669,J2669)</f>
        <v>387</v>
      </c>
      <c r="C2669" s="60" t="str">
        <f t="shared" si="171"/>
        <v>0</v>
      </c>
      <c r="D2669" s="60">
        <f>COUNTIF($K$7:K2669,K2669)</f>
        <v>0</v>
      </c>
      <c r="E2669" s="61"/>
      <c r="F2669" s="71">
        <v>44624</v>
      </c>
      <c r="G2669" s="266"/>
      <c r="H2669" s="73" t="s">
        <v>1479</v>
      </c>
      <c r="I2669" s="73" t="s">
        <v>32</v>
      </c>
      <c r="J2669" s="67">
        <v>211.01</v>
      </c>
      <c r="K2669" s="65"/>
      <c r="L2669" s="224"/>
      <c r="M2669" s="223">
        <v>329998.5</v>
      </c>
      <c r="N2669" s="223"/>
      <c r="O2669" s="61"/>
      <c r="P2669" s="69" t="str">
        <f t="shared" si="172"/>
        <v>Hutang Pajak PPN</v>
      </c>
      <c r="Q2669" s="61"/>
    </row>
    <row r="2670" spans="1:17" hidden="1" x14ac:dyDescent="0.25">
      <c r="A2670" s="60" t="str">
        <f t="shared" si="170"/>
        <v>388211,01</v>
      </c>
      <c r="B2670" s="60">
        <f>COUNTIF($J$7:J2670,J2670)</f>
        <v>388</v>
      </c>
      <c r="C2670" s="60" t="str">
        <f t="shared" si="171"/>
        <v>0</v>
      </c>
      <c r="D2670" s="60">
        <f>COUNTIF($K$7:K2670,K2670)</f>
        <v>0</v>
      </c>
      <c r="E2670" s="61"/>
      <c r="F2670" s="71">
        <v>44624</v>
      </c>
      <c r="G2670" s="266"/>
      <c r="H2670" s="73" t="s">
        <v>1480</v>
      </c>
      <c r="I2670" s="73" t="s">
        <v>62</v>
      </c>
      <c r="J2670" s="67">
        <v>211.01</v>
      </c>
      <c r="K2670" s="65"/>
      <c r="L2670" s="224"/>
      <c r="M2670" s="223">
        <v>959999.99997000012</v>
      </c>
      <c r="N2670" s="223"/>
      <c r="O2670" s="61"/>
      <c r="P2670" s="69" t="str">
        <f t="shared" si="172"/>
        <v>Hutang Pajak PPN</v>
      </c>
      <c r="Q2670" s="61"/>
    </row>
    <row r="2671" spans="1:17" hidden="1" x14ac:dyDescent="0.25">
      <c r="A2671" s="60" t="str">
        <f t="shared" si="170"/>
        <v>389211,01</v>
      </c>
      <c r="B2671" s="60">
        <f>COUNTIF($J$7:J2671,J2671)</f>
        <v>389</v>
      </c>
      <c r="C2671" s="60" t="str">
        <f t="shared" si="171"/>
        <v>0</v>
      </c>
      <c r="D2671" s="60">
        <f>COUNTIF($K$7:K2671,K2671)</f>
        <v>0</v>
      </c>
      <c r="E2671" s="61"/>
      <c r="F2671" s="71">
        <v>44624</v>
      </c>
      <c r="G2671" s="266"/>
      <c r="H2671" s="73" t="s">
        <v>1481</v>
      </c>
      <c r="I2671" s="73" t="s">
        <v>53</v>
      </c>
      <c r="J2671" s="67">
        <v>211.01</v>
      </c>
      <c r="K2671" s="65"/>
      <c r="L2671" s="224"/>
      <c r="M2671" s="223">
        <v>440000</v>
      </c>
      <c r="N2671" s="223"/>
      <c r="O2671" s="61"/>
      <c r="P2671" s="69" t="str">
        <f t="shared" si="172"/>
        <v>Hutang Pajak PPN</v>
      </c>
      <c r="Q2671" s="61"/>
    </row>
    <row r="2672" spans="1:17" ht="30" hidden="1" x14ac:dyDescent="0.25">
      <c r="A2672" s="60" t="str">
        <f t="shared" si="170"/>
        <v>390211,01</v>
      </c>
      <c r="B2672" s="60">
        <f>COUNTIF($J$7:J2672,J2672)</f>
        <v>390</v>
      </c>
      <c r="C2672" s="60" t="str">
        <f t="shared" si="171"/>
        <v>0</v>
      </c>
      <c r="D2672" s="60">
        <f>COUNTIF($K$7:K2672,K2672)</f>
        <v>0</v>
      </c>
      <c r="E2672" s="61"/>
      <c r="F2672" s="71">
        <v>44624</v>
      </c>
      <c r="G2672" s="266"/>
      <c r="H2672" s="73" t="s">
        <v>1482</v>
      </c>
      <c r="I2672" s="73" t="s">
        <v>34</v>
      </c>
      <c r="J2672" s="67">
        <v>211.01</v>
      </c>
      <c r="K2672" s="65"/>
      <c r="L2672" s="224"/>
      <c r="M2672" s="223">
        <v>384998.25</v>
      </c>
      <c r="N2672" s="223"/>
      <c r="O2672" s="61"/>
      <c r="P2672" s="69" t="str">
        <f t="shared" si="172"/>
        <v>Hutang Pajak PPN</v>
      </c>
      <c r="Q2672" s="61"/>
    </row>
    <row r="2673" spans="1:17" ht="30" hidden="1" x14ac:dyDescent="0.25">
      <c r="A2673" s="60" t="str">
        <f t="shared" si="170"/>
        <v>391211,01</v>
      </c>
      <c r="B2673" s="60">
        <f>COUNTIF($J$7:J2673,J2673)</f>
        <v>391</v>
      </c>
      <c r="C2673" s="60" t="str">
        <f t="shared" si="171"/>
        <v>0</v>
      </c>
      <c r="D2673" s="60">
        <f>COUNTIF($K$7:K2673,K2673)</f>
        <v>0</v>
      </c>
      <c r="E2673" s="61"/>
      <c r="F2673" s="71">
        <v>44624</v>
      </c>
      <c r="G2673" s="266"/>
      <c r="H2673" s="73" t="s">
        <v>1483</v>
      </c>
      <c r="I2673" s="73" t="s">
        <v>34</v>
      </c>
      <c r="J2673" s="67">
        <v>211.01</v>
      </c>
      <c r="K2673" s="65"/>
      <c r="L2673" s="224"/>
      <c r="M2673" s="223">
        <v>54999.75</v>
      </c>
      <c r="N2673" s="223"/>
      <c r="O2673" s="61"/>
      <c r="P2673" s="69" t="str">
        <f t="shared" si="172"/>
        <v>Hutang Pajak PPN</v>
      </c>
      <c r="Q2673" s="61"/>
    </row>
    <row r="2674" spans="1:17" hidden="1" x14ac:dyDescent="0.25">
      <c r="A2674" s="60" t="str">
        <f t="shared" si="170"/>
        <v>392211,01</v>
      </c>
      <c r="B2674" s="60">
        <f>COUNTIF($J$7:J2674,J2674)</f>
        <v>392</v>
      </c>
      <c r="C2674" s="60" t="str">
        <f t="shared" si="171"/>
        <v>0</v>
      </c>
      <c r="D2674" s="60">
        <f>COUNTIF($K$7:K2674,K2674)</f>
        <v>0</v>
      </c>
      <c r="E2674" s="61"/>
      <c r="F2674" s="71">
        <v>44627</v>
      </c>
      <c r="G2674" s="266"/>
      <c r="H2674" s="73" t="s">
        <v>1484</v>
      </c>
      <c r="I2674" s="73" t="s">
        <v>18</v>
      </c>
      <c r="J2674" s="67">
        <v>211.01</v>
      </c>
      <c r="K2674" s="65"/>
      <c r="L2674" s="224"/>
      <c r="M2674" s="223">
        <v>1971750</v>
      </c>
      <c r="N2674" s="223"/>
      <c r="O2674" s="61"/>
      <c r="P2674" s="69" t="str">
        <f t="shared" si="172"/>
        <v>Hutang Pajak PPN</v>
      </c>
      <c r="Q2674" s="61"/>
    </row>
    <row r="2675" spans="1:17" hidden="1" x14ac:dyDescent="0.25">
      <c r="A2675" s="60" t="str">
        <f t="shared" si="170"/>
        <v>393211,01</v>
      </c>
      <c r="B2675" s="60">
        <f>COUNTIF($J$7:J2675,J2675)</f>
        <v>393</v>
      </c>
      <c r="C2675" s="60" t="str">
        <f t="shared" si="171"/>
        <v>0</v>
      </c>
      <c r="D2675" s="60">
        <f>COUNTIF($K$7:K2675,K2675)</f>
        <v>0</v>
      </c>
      <c r="E2675" s="61"/>
      <c r="F2675" s="71">
        <v>44627</v>
      </c>
      <c r="G2675" s="266"/>
      <c r="H2675" s="73" t="s">
        <v>1485</v>
      </c>
      <c r="I2675" s="73" t="s">
        <v>18</v>
      </c>
      <c r="J2675" s="67">
        <v>211.01</v>
      </c>
      <c r="K2675" s="65"/>
      <c r="L2675" s="224"/>
      <c r="M2675" s="223">
        <v>2043750</v>
      </c>
      <c r="N2675" s="223"/>
      <c r="O2675" s="61"/>
      <c r="P2675" s="69" t="str">
        <f t="shared" si="172"/>
        <v>Hutang Pajak PPN</v>
      </c>
      <c r="Q2675" s="61"/>
    </row>
    <row r="2676" spans="1:17" hidden="1" x14ac:dyDescent="0.25">
      <c r="A2676" s="60" t="str">
        <f t="shared" si="170"/>
        <v>394211,01</v>
      </c>
      <c r="B2676" s="60">
        <f>COUNTIF($J$7:J2676,J2676)</f>
        <v>394</v>
      </c>
      <c r="C2676" s="60" t="str">
        <f t="shared" si="171"/>
        <v>0</v>
      </c>
      <c r="D2676" s="60">
        <f>COUNTIF($K$7:K2676,K2676)</f>
        <v>0</v>
      </c>
      <c r="E2676" s="61"/>
      <c r="F2676" s="71">
        <v>44627</v>
      </c>
      <c r="G2676" s="266"/>
      <c r="H2676" s="73" t="s">
        <v>1486</v>
      </c>
      <c r="I2676" s="73" t="s">
        <v>32</v>
      </c>
      <c r="J2676" s="67">
        <v>211.01</v>
      </c>
      <c r="K2676" s="65"/>
      <c r="L2676" s="224"/>
      <c r="M2676" s="223">
        <v>439998</v>
      </c>
      <c r="N2676" s="223"/>
      <c r="O2676" s="61"/>
      <c r="P2676" s="69" t="str">
        <f t="shared" si="172"/>
        <v>Hutang Pajak PPN</v>
      </c>
      <c r="Q2676" s="61"/>
    </row>
    <row r="2677" spans="1:17" hidden="1" x14ac:dyDescent="0.25">
      <c r="A2677" s="60" t="str">
        <f t="shared" si="170"/>
        <v>395211,01</v>
      </c>
      <c r="B2677" s="60">
        <f>COUNTIF($J$7:J2677,J2677)</f>
        <v>395</v>
      </c>
      <c r="C2677" s="60" t="str">
        <f t="shared" si="171"/>
        <v>0</v>
      </c>
      <c r="D2677" s="60">
        <f>COUNTIF($K$7:K2677,K2677)</f>
        <v>0</v>
      </c>
      <c r="E2677" s="61"/>
      <c r="F2677" s="71">
        <v>44627</v>
      </c>
      <c r="G2677" s="266"/>
      <c r="H2677" s="73" t="s">
        <v>1487</v>
      </c>
      <c r="I2677" s="73" t="s">
        <v>41</v>
      </c>
      <c r="J2677" s="67">
        <v>211.01</v>
      </c>
      <c r="K2677" s="65"/>
      <c r="L2677" s="224"/>
      <c r="M2677" s="223">
        <v>5712000</v>
      </c>
      <c r="N2677" s="223"/>
      <c r="O2677" s="61"/>
      <c r="P2677" s="69" t="str">
        <f t="shared" si="172"/>
        <v>Hutang Pajak PPN</v>
      </c>
      <c r="Q2677" s="61"/>
    </row>
    <row r="2678" spans="1:17" ht="30" hidden="1" x14ac:dyDescent="0.25">
      <c r="A2678" s="60" t="str">
        <f t="shared" si="170"/>
        <v>396211,01</v>
      </c>
      <c r="B2678" s="60">
        <f>COUNTIF($J$7:J2678,J2678)</f>
        <v>396</v>
      </c>
      <c r="C2678" s="60" t="str">
        <f t="shared" si="171"/>
        <v>0</v>
      </c>
      <c r="D2678" s="60">
        <f>COUNTIF($K$7:K2678,K2678)</f>
        <v>0</v>
      </c>
      <c r="E2678" s="61"/>
      <c r="F2678" s="71">
        <v>44627</v>
      </c>
      <c r="G2678" s="266"/>
      <c r="H2678" s="73" t="s">
        <v>1488</v>
      </c>
      <c r="I2678" s="73" t="s">
        <v>34</v>
      </c>
      <c r="J2678" s="67">
        <v>211.01</v>
      </c>
      <c r="K2678" s="65"/>
      <c r="L2678" s="224"/>
      <c r="M2678" s="223">
        <v>164999.25</v>
      </c>
      <c r="N2678" s="223"/>
      <c r="O2678" s="61"/>
      <c r="P2678" s="69" t="str">
        <f t="shared" si="172"/>
        <v>Hutang Pajak PPN</v>
      </c>
      <c r="Q2678" s="61"/>
    </row>
    <row r="2679" spans="1:17" hidden="1" x14ac:dyDescent="0.25">
      <c r="A2679" s="60" t="str">
        <f t="shared" si="170"/>
        <v>397211,01</v>
      </c>
      <c r="B2679" s="60">
        <f>COUNTIF($J$7:J2679,J2679)</f>
        <v>397</v>
      </c>
      <c r="C2679" s="60" t="str">
        <f t="shared" si="171"/>
        <v>0</v>
      </c>
      <c r="D2679" s="60">
        <f>COUNTIF($K$7:K2679,K2679)</f>
        <v>0</v>
      </c>
      <c r="E2679" s="61"/>
      <c r="F2679" s="71">
        <v>44627</v>
      </c>
      <c r="G2679" s="266"/>
      <c r="H2679" s="73" t="s">
        <v>1489</v>
      </c>
      <c r="I2679" s="73" t="s">
        <v>48</v>
      </c>
      <c r="J2679" s="67">
        <v>211.01</v>
      </c>
      <c r="K2679" s="65"/>
      <c r="L2679" s="224"/>
      <c r="M2679" s="223">
        <v>390000</v>
      </c>
      <c r="N2679" s="223"/>
      <c r="O2679" s="61"/>
      <c r="P2679" s="69" t="str">
        <f t="shared" si="172"/>
        <v>Hutang Pajak PPN</v>
      </c>
      <c r="Q2679" s="61"/>
    </row>
    <row r="2680" spans="1:17" hidden="1" x14ac:dyDescent="0.25">
      <c r="A2680" s="60" t="str">
        <f t="shared" si="170"/>
        <v>398211,01</v>
      </c>
      <c r="B2680" s="60">
        <f>COUNTIF($J$7:J2680,J2680)</f>
        <v>398</v>
      </c>
      <c r="C2680" s="60" t="str">
        <f t="shared" si="171"/>
        <v>0</v>
      </c>
      <c r="D2680" s="60">
        <f>COUNTIF($K$7:K2680,K2680)</f>
        <v>0</v>
      </c>
      <c r="E2680" s="61"/>
      <c r="F2680" s="71">
        <v>44627</v>
      </c>
      <c r="G2680" s="266"/>
      <c r="H2680" s="73" t="s">
        <v>1490</v>
      </c>
      <c r="I2680" s="73" t="s">
        <v>48</v>
      </c>
      <c r="J2680" s="67">
        <v>211.01</v>
      </c>
      <c r="K2680" s="65"/>
      <c r="L2680" s="224"/>
      <c r="M2680" s="223">
        <v>390000</v>
      </c>
      <c r="N2680" s="223"/>
      <c r="O2680" s="61"/>
      <c r="P2680" s="69" t="str">
        <f t="shared" si="172"/>
        <v>Hutang Pajak PPN</v>
      </c>
      <c r="Q2680" s="61"/>
    </row>
    <row r="2681" spans="1:17" hidden="1" x14ac:dyDescent="0.25">
      <c r="A2681" s="60" t="str">
        <f t="shared" si="170"/>
        <v>399211,01</v>
      </c>
      <c r="B2681" s="60">
        <f>COUNTIF($J$7:J2681,J2681)</f>
        <v>399</v>
      </c>
      <c r="C2681" s="60" t="str">
        <f t="shared" si="171"/>
        <v>0</v>
      </c>
      <c r="D2681" s="60">
        <f>COUNTIF($K$7:K2681,K2681)</f>
        <v>0</v>
      </c>
      <c r="E2681" s="61"/>
      <c r="F2681" s="71">
        <v>44628</v>
      </c>
      <c r="G2681" s="266"/>
      <c r="H2681" s="73" t="s">
        <v>1491</v>
      </c>
      <c r="I2681" s="73" t="s">
        <v>20</v>
      </c>
      <c r="J2681" s="67">
        <v>211.01</v>
      </c>
      <c r="K2681" s="65"/>
      <c r="L2681" s="224"/>
      <c r="M2681" s="223">
        <v>1786500</v>
      </c>
      <c r="N2681" s="223"/>
      <c r="O2681" s="61"/>
      <c r="P2681" s="69" t="str">
        <f t="shared" si="172"/>
        <v>Hutang Pajak PPN</v>
      </c>
      <c r="Q2681" s="61"/>
    </row>
    <row r="2682" spans="1:17" hidden="1" x14ac:dyDescent="0.25">
      <c r="A2682" s="60" t="str">
        <f t="shared" si="170"/>
        <v>400211,01</v>
      </c>
      <c r="B2682" s="60">
        <f>COUNTIF($J$7:J2682,J2682)</f>
        <v>400</v>
      </c>
      <c r="C2682" s="60" t="str">
        <f t="shared" si="171"/>
        <v>0</v>
      </c>
      <c r="D2682" s="60">
        <f>COUNTIF($K$7:K2682,K2682)</f>
        <v>0</v>
      </c>
      <c r="E2682" s="61"/>
      <c r="F2682" s="71">
        <v>44628</v>
      </c>
      <c r="G2682" s="266"/>
      <c r="H2682" s="73" t="s">
        <v>1492</v>
      </c>
      <c r="I2682" s="73" t="s">
        <v>20</v>
      </c>
      <c r="J2682" s="67">
        <v>211.01</v>
      </c>
      <c r="K2682" s="65"/>
      <c r="L2682" s="224"/>
      <c r="M2682" s="223">
        <v>164000</v>
      </c>
      <c r="N2682" s="223"/>
      <c r="O2682" s="61"/>
      <c r="P2682" s="69" t="str">
        <f t="shared" si="172"/>
        <v>Hutang Pajak PPN</v>
      </c>
      <c r="Q2682" s="61"/>
    </row>
    <row r="2683" spans="1:17" hidden="1" x14ac:dyDescent="0.25">
      <c r="A2683" s="60" t="str">
        <f t="shared" si="170"/>
        <v>401211,01</v>
      </c>
      <c r="B2683" s="60">
        <f>COUNTIF($J$7:J2683,J2683)</f>
        <v>401</v>
      </c>
      <c r="C2683" s="60" t="str">
        <f t="shared" si="171"/>
        <v>0</v>
      </c>
      <c r="D2683" s="60">
        <f>COUNTIF($K$7:K2683,K2683)</f>
        <v>0</v>
      </c>
      <c r="E2683" s="61"/>
      <c r="F2683" s="71">
        <v>44628</v>
      </c>
      <c r="G2683" s="266"/>
      <c r="H2683" s="73" t="s">
        <v>1493</v>
      </c>
      <c r="I2683" s="73" t="s">
        <v>26</v>
      </c>
      <c r="J2683" s="67">
        <v>211.01</v>
      </c>
      <c r="K2683" s="65"/>
      <c r="L2683" s="224"/>
      <c r="M2683" s="223">
        <v>85000</v>
      </c>
      <c r="N2683" s="223"/>
      <c r="O2683" s="61"/>
      <c r="P2683" s="69" t="str">
        <f t="shared" si="172"/>
        <v>Hutang Pajak PPN</v>
      </c>
      <c r="Q2683" s="61"/>
    </row>
    <row r="2684" spans="1:17" hidden="1" x14ac:dyDescent="0.25">
      <c r="A2684" s="60" t="str">
        <f t="shared" si="170"/>
        <v>402211,01</v>
      </c>
      <c r="B2684" s="60">
        <f>COUNTIF($J$7:J2684,J2684)</f>
        <v>402</v>
      </c>
      <c r="C2684" s="60" t="str">
        <f t="shared" si="171"/>
        <v>0</v>
      </c>
      <c r="D2684" s="60">
        <f>COUNTIF($K$7:K2684,K2684)</f>
        <v>0</v>
      </c>
      <c r="E2684" s="61"/>
      <c r="F2684" s="71">
        <v>44628</v>
      </c>
      <c r="G2684" s="266"/>
      <c r="H2684" s="73" t="s">
        <v>1494</v>
      </c>
      <c r="I2684" s="73" t="s">
        <v>37</v>
      </c>
      <c r="J2684" s="67">
        <v>211.01</v>
      </c>
      <c r="K2684" s="65"/>
      <c r="L2684" s="224"/>
      <c r="M2684" s="223">
        <v>2365500</v>
      </c>
      <c r="N2684" s="223"/>
      <c r="O2684" s="61"/>
      <c r="P2684" s="69" t="str">
        <f t="shared" si="172"/>
        <v>Hutang Pajak PPN</v>
      </c>
      <c r="Q2684" s="61"/>
    </row>
    <row r="2685" spans="1:17" hidden="1" x14ac:dyDescent="0.25">
      <c r="A2685" s="60" t="str">
        <f t="shared" si="170"/>
        <v>403211,01</v>
      </c>
      <c r="B2685" s="60">
        <f>COUNTIF($J$7:J2685,J2685)</f>
        <v>403</v>
      </c>
      <c r="C2685" s="60" t="str">
        <f t="shared" si="171"/>
        <v>0</v>
      </c>
      <c r="D2685" s="60">
        <f>COUNTIF($K$7:K2685,K2685)</f>
        <v>0</v>
      </c>
      <c r="E2685" s="61"/>
      <c r="F2685" s="71">
        <v>44628</v>
      </c>
      <c r="G2685" s="266"/>
      <c r="H2685" s="73" t="s">
        <v>1495</v>
      </c>
      <c r="I2685" s="73" t="s">
        <v>915</v>
      </c>
      <c r="J2685" s="67">
        <v>211.01</v>
      </c>
      <c r="K2685" s="65"/>
      <c r="L2685" s="224"/>
      <c r="M2685" s="223">
        <v>816000</v>
      </c>
      <c r="N2685" s="223"/>
      <c r="O2685" s="61"/>
      <c r="P2685" s="69" t="str">
        <f t="shared" si="172"/>
        <v>Hutang Pajak PPN</v>
      </c>
      <c r="Q2685" s="61"/>
    </row>
    <row r="2686" spans="1:17" hidden="1" x14ac:dyDescent="0.25">
      <c r="A2686" s="60" t="str">
        <f t="shared" si="170"/>
        <v>404211,01</v>
      </c>
      <c r="B2686" s="60">
        <f>COUNTIF($J$7:J2686,J2686)</f>
        <v>404</v>
      </c>
      <c r="C2686" s="60" t="str">
        <f t="shared" si="171"/>
        <v>0</v>
      </c>
      <c r="D2686" s="60">
        <f>COUNTIF($K$7:K2686,K2686)</f>
        <v>0</v>
      </c>
      <c r="E2686" s="61"/>
      <c r="F2686" s="71">
        <v>44628</v>
      </c>
      <c r="G2686" s="266"/>
      <c r="H2686" s="73" t="s">
        <v>1496</v>
      </c>
      <c r="I2686" s="73" t="s">
        <v>124</v>
      </c>
      <c r="J2686" s="67">
        <v>211.01</v>
      </c>
      <c r="K2686" s="65"/>
      <c r="L2686" s="224"/>
      <c r="M2686" s="223">
        <v>1296000</v>
      </c>
      <c r="N2686" s="223"/>
      <c r="O2686" s="61"/>
      <c r="P2686" s="69" t="str">
        <f t="shared" si="172"/>
        <v>Hutang Pajak PPN</v>
      </c>
      <c r="Q2686" s="61"/>
    </row>
    <row r="2687" spans="1:17" hidden="1" x14ac:dyDescent="0.25">
      <c r="A2687" s="60" t="str">
        <f t="shared" si="170"/>
        <v>405211,01</v>
      </c>
      <c r="B2687" s="60">
        <f>COUNTIF($J$7:J2687,J2687)</f>
        <v>405</v>
      </c>
      <c r="C2687" s="60" t="str">
        <f t="shared" si="171"/>
        <v>0</v>
      </c>
      <c r="D2687" s="60">
        <f>COUNTIF($K$7:K2687,K2687)</f>
        <v>0</v>
      </c>
      <c r="E2687" s="61"/>
      <c r="F2687" s="71">
        <v>44629</v>
      </c>
      <c r="G2687" s="266"/>
      <c r="H2687" s="73" t="s">
        <v>1497</v>
      </c>
      <c r="I2687" s="73" t="s">
        <v>32</v>
      </c>
      <c r="J2687" s="67">
        <v>211.01</v>
      </c>
      <c r="K2687" s="65"/>
      <c r="L2687" s="224"/>
      <c r="M2687" s="223">
        <v>164999.25</v>
      </c>
      <c r="N2687" s="223"/>
      <c r="O2687" s="61"/>
      <c r="P2687" s="69" t="str">
        <f t="shared" si="172"/>
        <v>Hutang Pajak PPN</v>
      </c>
      <c r="Q2687" s="61"/>
    </row>
    <row r="2688" spans="1:17" hidden="1" x14ac:dyDescent="0.25">
      <c r="A2688" s="60" t="str">
        <f t="shared" si="170"/>
        <v>406211,01</v>
      </c>
      <c r="B2688" s="60">
        <f>COUNTIF($J$7:J2688,J2688)</f>
        <v>406</v>
      </c>
      <c r="C2688" s="60" t="str">
        <f t="shared" si="171"/>
        <v>0</v>
      </c>
      <c r="D2688" s="60">
        <f>COUNTIF($K$7:K2688,K2688)</f>
        <v>0</v>
      </c>
      <c r="E2688" s="61"/>
      <c r="F2688" s="71">
        <v>44629</v>
      </c>
      <c r="G2688" s="266"/>
      <c r="H2688" s="73" t="s">
        <v>1498</v>
      </c>
      <c r="I2688" s="73" t="s">
        <v>32</v>
      </c>
      <c r="J2688" s="67">
        <v>211.01</v>
      </c>
      <c r="K2688" s="65"/>
      <c r="L2688" s="224"/>
      <c r="M2688" s="223">
        <v>1161500</v>
      </c>
      <c r="N2688" s="223"/>
      <c r="O2688" s="61"/>
      <c r="P2688" s="69" t="str">
        <f t="shared" si="172"/>
        <v>Hutang Pajak PPN</v>
      </c>
      <c r="Q2688" s="61"/>
    </row>
    <row r="2689" spans="1:17" hidden="1" x14ac:dyDescent="0.25">
      <c r="A2689" s="60" t="str">
        <f t="shared" si="170"/>
        <v>407211,01</v>
      </c>
      <c r="B2689" s="60">
        <f>COUNTIF($J$7:J2689,J2689)</f>
        <v>407</v>
      </c>
      <c r="C2689" s="60" t="str">
        <f t="shared" si="171"/>
        <v>0</v>
      </c>
      <c r="D2689" s="60">
        <f>COUNTIF($K$7:K2689,K2689)</f>
        <v>0</v>
      </c>
      <c r="E2689" s="61"/>
      <c r="F2689" s="71">
        <v>44629</v>
      </c>
      <c r="G2689" s="229"/>
      <c r="H2689" s="73" t="s">
        <v>1499</v>
      </c>
      <c r="I2689" s="268" t="s">
        <v>18</v>
      </c>
      <c r="J2689" s="67">
        <v>211.01</v>
      </c>
      <c r="K2689" s="65"/>
      <c r="L2689" s="224"/>
      <c r="M2689" s="276">
        <v>14068500</v>
      </c>
      <c r="N2689" s="276"/>
      <c r="O2689" s="61"/>
      <c r="P2689" s="69" t="str">
        <f t="shared" si="172"/>
        <v>Hutang Pajak PPN</v>
      </c>
      <c r="Q2689" s="61"/>
    </row>
    <row r="2690" spans="1:17" hidden="1" x14ac:dyDescent="0.25">
      <c r="A2690" s="60" t="str">
        <f t="shared" si="170"/>
        <v>408211,01</v>
      </c>
      <c r="B2690" s="60">
        <f>COUNTIF($J$7:J2690,J2690)</f>
        <v>408</v>
      </c>
      <c r="C2690" s="60" t="str">
        <f t="shared" si="171"/>
        <v>0</v>
      </c>
      <c r="D2690" s="60">
        <f>COUNTIF($K$7:K2690,K2690)</f>
        <v>0</v>
      </c>
      <c r="E2690" s="61"/>
      <c r="F2690" s="71">
        <v>44629</v>
      </c>
      <c r="G2690" s="229"/>
      <c r="H2690" s="73" t="s">
        <v>1500</v>
      </c>
      <c r="I2690" s="268" t="s">
        <v>20</v>
      </c>
      <c r="J2690" s="67">
        <v>211.01</v>
      </c>
      <c r="K2690" s="65"/>
      <c r="L2690" s="224"/>
      <c r="M2690" s="276">
        <v>1464750</v>
      </c>
      <c r="N2690" s="276"/>
      <c r="O2690" s="61"/>
      <c r="P2690" s="69" t="str">
        <f t="shared" si="172"/>
        <v>Hutang Pajak PPN</v>
      </c>
      <c r="Q2690" s="61"/>
    </row>
    <row r="2691" spans="1:17" ht="28.5" hidden="1" x14ac:dyDescent="0.25">
      <c r="A2691" s="60" t="str">
        <f t="shared" si="170"/>
        <v>409211,01</v>
      </c>
      <c r="B2691" s="60">
        <f>COUNTIF($J$7:J2691,J2691)</f>
        <v>409</v>
      </c>
      <c r="C2691" s="60" t="str">
        <f t="shared" si="171"/>
        <v>0</v>
      </c>
      <c r="D2691" s="60">
        <f>COUNTIF($K$7:K2691,K2691)</f>
        <v>0</v>
      </c>
      <c r="E2691" s="61"/>
      <c r="F2691" s="71">
        <v>44629</v>
      </c>
      <c r="G2691" s="229"/>
      <c r="H2691" s="73" t="s">
        <v>1501</v>
      </c>
      <c r="I2691" s="268" t="s">
        <v>34</v>
      </c>
      <c r="J2691" s="67">
        <v>211.01</v>
      </c>
      <c r="K2691" s="65"/>
      <c r="L2691" s="224"/>
      <c r="M2691" s="276">
        <v>109999.5</v>
      </c>
      <c r="N2691" s="276"/>
      <c r="O2691" s="61"/>
      <c r="P2691" s="69" t="str">
        <f t="shared" si="172"/>
        <v>Hutang Pajak PPN</v>
      </c>
      <c r="Q2691" s="61"/>
    </row>
    <row r="2692" spans="1:17" hidden="1" x14ac:dyDescent="0.25">
      <c r="A2692" s="60" t="str">
        <f t="shared" si="170"/>
        <v>410211,01</v>
      </c>
      <c r="B2692" s="60">
        <f>COUNTIF($J$7:J2692,J2692)</f>
        <v>410</v>
      </c>
      <c r="C2692" s="60" t="str">
        <f t="shared" si="171"/>
        <v>0</v>
      </c>
      <c r="D2692" s="60">
        <f>COUNTIF($K$7:K2692,K2692)</f>
        <v>0</v>
      </c>
      <c r="E2692" s="61"/>
      <c r="F2692" s="239">
        <v>44630</v>
      </c>
      <c r="G2692" s="266">
        <f>F2692+45</f>
        <v>44675</v>
      </c>
      <c r="H2692" s="73" t="s">
        <v>1502</v>
      </c>
      <c r="I2692" s="73" t="s">
        <v>99</v>
      </c>
      <c r="J2692" s="67">
        <v>211.01</v>
      </c>
      <c r="K2692" s="65"/>
      <c r="L2692" s="224"/>
      <c r="M2692" s="223">
        <v>387500</v>
      </c>
      <c r="N2692" s="223"/>
      <c r="O2692" s="61"/>
      <c r="P2692" s="69" t="str">
        <f t="shared" si="172"/>
        <v>Hutang Pajak PPN</v>
      </c>
      <c r="Q2692" s="61"/>
    </row>
    <row r="2693" spans="1:17" hidden="1" x14ac:dyDescent="0.25">
      <c r="A2693" s="60" t="str">
        <f t="shared" si="170"/>
        <v>411211,01</v>
      </c>
      <c r="B2693" s="60">
        <f>COUNTIF($J$7:J2693,J2693)</f>
        <v>411</v>
      </c>
      <c r="C2693" s="60" t="str">
        <f t="shared" si="171"/>
        <v>0</v>
      </c>
      <c r="D2693" s="60">
        <f>COUNTIF($K$7:K2693,K2693)</f>
        <v>0</v>
      </c>
      <c r="E2693" s="61"/>
      <c r="F2693" s="71">
        <v>44630</v>
      </c>
      <c r="G2693" s="266"/>
      <c r="H2693" s="73" t="s">
        <v>1503</v>
      </c>
      <c r="I2693" s="73" t="s">
        <v>41</v>
      </c>
      <c r="J2693" s="67">
        <v>211.01</v>
      </c>
      <c r="K2693" s="65"/>
      <c r="L2693" s="224"/>
      <c r="M2693" s="223">
        <v>4335000</v>
      </c>
      <c r="N2693" s="223"/>
      <c r="O2693" s="61"/>
      <c r="P2693" s="69" t="str">
        <f t="shared" si="172"/>
        <v>Hutang Pajak PPN</v>
      </c>
      <c r="Q2693" s="61"/>
    </row>
    <row r="2694" spans="1:17" hidden="1" x14ac:dyDescent="0.25">
      <c r="A2694" s="60" t="str">
        <f t="shared" si="170"/>
        <v>412211,01</v>
      </c>
      <c r="B2694" s="60">
        <f>COUNTIF($J$7:J2694,J2694)</f>
        <v>412</v>
      </c>
      <c r="C2694" s="60" t="str">
        <f t="shared" si="171"/>
        <v>0</v>
      </c>
      <c r="D2694" s="60">
        <f>COUNTIF($K$7:K2694,K2694)</f>
        <v>0</v>
      </c>
      <c r="E2694" s="61"/>
      <c r="F2694" s="71">
        <v>44630</v>
      </c>
      <c r="G2694" s="266"/>
      <c r="H2694" s="73" t="s">
        <v>1504</v>
      </c>
      <c r="I2694" s="73" t="s">
        <v>41</v>
      </c>
      <c r="J2694" s="67">
        <v>211.01</v>
      </c>
      <c r="K2694" s="65"/>
      <c r="L2694" s="224"/>
      <c r="M2694" s="223">
        <v>315000</v>
      </c>
      <c r="N2694" s="223"/>
      <c r="O2694" s="61"/>
      <c r="P2694" s="69" t="str">
        <f t="shared" si="172"/>
        <v>Hutang Pajak PPN</v>
      </c>
      <c r="Q2694" s="61"/>
    </row>
    <row r="2695" spans="1:17" hidden="1" x14ac:dyDescent="0.25">
      <c r="A2695" s="60" t="str">
        <f t="shared" ref="A2695:A2758" si="175">B2695&amp;J2695</f>
        <v>413211,01</v>
      </c>
      <c r="B2695" s="60">
        <f>COUNTIF($J$7:J2695,J2695)</f>
        <v>413</v>
      </c>
      <c r="C2695" s="60" t="str">
        <f t="shared" ref="C2695:C2758" si="176">D2695&amp;K2695</f>
        <v>0</v>
      </c>
      <c r="D2695" s="60">
        <f>COUNTIF($K$7:K2695,K2695)</f>
        <v>0</v>
      </c>
      <c r="E2695" s="61"/>
      <c r="F2695" s="71">
        <v>44630</v>
      </c>
      <c r="G2695" s="229"/>
      <c r="H2695" s="73" t="s">
        <v>1505</v>
      </c>
      <c r="I2695" s="268" t="s">
        <v>18</v>
      </c>
      <c r="J2695" s="67">
        <v>211.01</v>
      </c>
      <c r="K2695" s="65"/>
      <c r="L2695" s="224"/>
      <c r="M2695" s="276">
        <v>1522500</v>
      </c>
      <c r="N2695" s="276"/>
      <c r="O2695" s="61"/>
      <c r="P2695" s="69" t="str">
        <f t="shared" ref="P2695:P2758" si="177">IF(J2695=0,"-",+VLOOKUP(J2695,DAF_AKUN,2,FALSE))</f>
        <v>Hutang Pajak PPN</v>
      </c>
      <c r="Q2695" s="61"/>
    </row>
    <row r="2696" spans="1:17" hidden="1" x14ac:dyDescent="0.25">
      <c r="A2696" s="60" t="str">
        <f t="shared" si="175"/>
        <v>414211,01</v>
      </c>
      <c r="B2696" s="60">
        <f>COUNTIF($J$7:J2696,J2696)</f>
        <v>414</v>
      </c>
      <c r="C2696" s="60" t="str">
        <f t="shared" si="176"/>
        <v>0</v>
      </c>
      <c r="D2696" s="60">
        <f>COUNTIF($K$7:K2696,K2696)</f>
        <v>0</v>
      </c>
      <c r="E2696" s="61"/>
      <c r="F2696" s="71">
        <v>44630</v>
      </c>
      <c r="G2696" s="229"/>
      <c r="H2696" s="73" t="s">
        <v>1506</v>
      </c>
      <c r="I2696" s="268" t="s">
        <v>20</v>
      </c>
      <c r="J2696" s="67">
        <v>211.01</v>
      </c>
      <c r="K2696" s="65"/>
      <c r="L2696" s="224"/>
      <c r="M2696" s="276">
        <v>358500</v>
      </c>
      <c r="N2696" s="276"/>
      <c r="O2696" s="61"/>
      <c r="P2696" s="69" t="str">
        <f t="shared" si="177"/>
        <v>Hutang Pajak PPN</v>
      </c>
      <c r="Q2696" s="61"/>
    </row>
    <row r="2697" spans="1:17" hidden="1" x14ac:dyDescent="0.25">
      <c r="A2697" s="60" t="str">
        <f t="shared" si="175"/>
        <v>415211,01</v>
      </c>
      <c r="B2697" s="60">
        <f>COUNTIF($J$7:J2697,J2697)</f>
        <v>415</v>
      </c>
      <c r="C2697" s="60" t="str">
        <f t="shared" si="176"/>
        <v>0</v>
      </c>
      <c r="D2697" s="60">
        <f>COUNTIF($K$7:K2697,K2697)</f>
        <v>0</v>
      </c>
      <c r="E2697" s="61"/>
      <c r="F2697" s="71">
        <v>44630</v>
      </c>
      <c r="G2697" s="229"/>
      <c r="H2697" s="73" t="s">
        <v>1507</v>
      </c>
      <c r="I2697" s="268" t="s">
        <v>20</v>
      </c>
      <c r="J2697" s="67">
        <v>211.01</v>
      </c>
      <c r="K2697" s="65"/>
      <c r="L2697" s="224"/>
      <c r="M2697" s="276">
        <v>304500</v>
      </c>
      <c r="N2697" s="276"/>
      <c r="O2697" s="61"/>
      <c r="P2697" s="69" t="str">
        <f t="shared" si="177"/>
        <v>Hutang Pajak PPN</v>
      </c>
      <c r="Q2697" s="61"/>
    </row>
    <row r="2698" spans="1:17" hidden="1" x14ac:dyDescent="0.25">
      <c r="A2698" s="60" t="str">
        <f t="shared" si="175"/>
        <v>416211,01</v>
      </c>
      <c r="B2698" s="60">
        <f>COUNTIF($J$7:J2698,J2698)</f>
        <v>416</v>
      </c>
      <c r="C2698" s="60" t="str">
        <f t="shared" si="176"/>
        <v>0</v>
      </c>
      <c r="D2698" s="60">
        <f>COUNTIF($K$7:K2698,K2698)</f>
        <v>0</v>
      </c>
      <c r="E2698" s="61"/>
      <c r="F2698" s="71">
        <v>44630</v>
      </c>
      <c r="G2698" s="229"/>
      <c r="H2698" s="73" t="s">
        <v>1508</v>
      </c>
      <c r="I2698" s="268" t="s">
        <v>20</v>
      </c>
      <c r="J2698" s="67">
        <v>211.01</v>
      </c>
      <c r="K2698" s="65"/>
      <c r="L2698" s="224"/>
      <c r="M2698" s="276">
        <v>358500</v>
      </c>
      <c r="N2698" s="276"/>
      <c r="O2698" s="61"/>
      <c r="P2698" s="69" t="str">
        <f t="shared" si="177"/>
        <v>Hutang Pajak PPN</v>
      </c>
      <c r="Q2698" s="61"/>
    </row>
    <row r="2699" spans="1:17" hidden="1" x14ac:dyDescent="0.25">
      <c r="A2699" s="60" t="str">
        <f t="shared" si="175"/>
        <v>417211,01</v>
      </c>
      <c r="B2699" s="60">
        <f>COUNTIF($J$7:J2699,J2699)</f>
        <v>417</v>
      </c>
      <c r="C2699" s="60" t="str">
        <f t="shared" si="176"/>
        <v>0</v>
      </c>
      <c r="D2699" s="60">
        <f>COUNTIF($K$7:K2699,K2699)</f>
        <v>0</v>
      </c>
      <c r="E2699" s="61"/>
      <c r="F2699" s="71">
        <v>44630</v>
      </c>
      <c r="G2699" s="229"/>
      <c r="H2699" s="73" t="s">
        <v>1509</v>
      </c>
      <c r="I2699" s="268" t="s">
        <v>20</v>
      </c>
      <c r="J2699" s="67">
        <v>211.01</v>
      </c>
      <c r="K2699" s="65"/>
      <c r="L2699" s="224"/>
      <c r="M2699" s="276">
        <v>1971750</v>
      </c>
      <c r="N2699" s="276"/>
      <c r="O2699" s="61"/>
      <c r="P2699" s="69" t="str">
        <f t="shared" si="177"/>
        <v>Hutang Pajak PPN</v>
      </c>
      <c r="Q2699" s="61"/>
    </row>
    <row r="2700" spans="1:17" hidden="1" x14ac:dyDescent="0.25">
      <c r="A2700" s="60" t="str">
        <f t="shared" si="175"/>
        <v>418211,01</v>
      </c>
      <c r="B2700" s="60">
        <f>COUNTIF($J$7:J2700,J2700)</f>
        <v>418</v>
      </c>
      <c r="C2700" s="60" t="str">
        <f t="shared" si="176"/>
        <v>0</v>
      </c>
      <c r="D2700" s="60">
        <f>COUNTIF($K$7:K2700,K2700)</f>
        <v>0</v>
      </c>
      <c r="E2700" s="61"/>
      <c r="F2700" s="71">
        <v>44630</v>
      </c>
      <c r="G2700" s="229"/>
      <c r="H2700" s="73" t="s">
        <v>1510</v>
      </c>
      <c r="I2700" s="268" t="s">
        <v>20</v>
      </c>
      <c r="J2700" s="67">
        <v>211.01</v>
      </c>
      <c r="K2700" s="65"/>
      <c r="L2700" s="224"/>
      <c r="M2700" s="276">
        <v>179250</v>
      </c>
      <c r="N2700" s="276"/>
      <c r="O2700" s="61"/>
      <c r="P2700" s="69" t="str">
        <f t="shared" si="177"/>
        <v>Hutang Pajak PPN</v>
      </c>
      <c r="Q2700" s="61"/>
    </row>
    <row r="2701" spans="1:17" hidden="1" x14ac:dyDescent="0.25">
      <c r="A2701" s="60" t="str">
        <f t="shared" si="175"/>
        <v>419211,01</v>
      </c>
      <c r="B2701" s="60">
        <f>COUNTIF($J$7:J2701,J2701)</f>
        <v>419</v>
      </c>
      <c r="C2701" s="60" t="str">
        <f t="shared" si="176"/>
        <v>0</v>
      </c>
      <c r="D2701" s="60">
        <f>COUNTIF($K$7:K2701,K2701)</f>
        <v>0</v>
      </c>
      <c r="E2701" s="61"/>
      <c r="F2701" s="71">
        <v>44630</v>
      </c>
      <c r="G2701" s="229"/>
      <c r="H2701" s="73" t="s">
        <v>1511</v>
      </c>
      <c r="I2701" s="268" t="s">
        <v>37</v>
      </c>
      <c r="J2701" s="67">
        <v>211.01</v>
      </c>
      <c r="K2701" s="65"/>
      <c r="L2701" s="224"/>
      <c r="M2701" s="276">
        <v>1050000</v>
      </c>
      <c r="N2701" s="276"/>
      <c r="O2701" s="61"/>
      <c r="P2701" s="69" t="str">
        <f t="shared" si="177"/>
        <v>Hutang Pajak PPN</v>
      </c>
      <c r="Q2701" s="61"/>
    </row>
    <row r="2702" spans="1:17" hidden="1" x14ac:dyDescent="0.25">
      <c r="A2702" s="60" t="str">
        <f t="shared" si="175"/>
        <v>420211,01</v>
      </c>
      <c r="B2702" s="60">
        <f>COUNTIF($J$7:J2702,J2702)</f>
        <v>420</v>
      </c>
      <c r="C2702" s="60" t="str">
        <f t="shared" si="176"/>
        <v>0</v>
      </c>
      <c r="D2702" s="60">
        <f>COUNTIF($K$7:K2702,K2702)</f>
        <v>0</v>
      </c>
      <c r="E2702" s="61"/>
      <c r="F2702" s="71">
        <v>44631</v>
      </c>
      <c r="G2702" s="229"/>
      <c r="H2702" s="73" t="s">
        <v>1512</v>
      </c>
      <c r="I2702" s="268" t="s">
        <v>18</v>
      </c>
      <c r="J2702" s="67">
        <v>211.01</v>
      </c>
      <c r="K2702" s="65"/>
      <c r="L2702" s="224"/>
      <c r="M2702" s="276">
        <v>1372500</v>
      </c>
      <c r="N2702" s="276"/>
      <c r="O2702" s="61"/>
      <c r="P2702" s="69" t="str">
        <f t="shared" si="177"/>
        <v>Hutang Pajak PPN</v>
      </c>
      <c r="Q2702" s="61"/>
    </row>
    <row r="2703" spans="1:17" hidden="1" x14ac:dyDescent="0.25">
      <c r="A2703" s="60" t="str">
        <f t="shared" si="175"/>
        <v>421211,01</v>
      </c>
      <c r="B2703" s="60">
        <f>COUNTIF($J$7:J2703,J2703)</f>
        <v>421</v>
      </c>
      <c r="C2703" s="60" t="str">
        <f t="shared" si="176"/>
        <v>0</v>
      </c>
      <c r="D2703" s="60">
        <f>COUNTIF($K$7:K2703,K2703)</f>
        <v>0</v>
      </c>
      <c r="E2703" s="61"/>
      <c r="F2703" s="71">
        <v>44631</v>
      </c>
      <c r="G2703" s="229"/>
      <c r="H2703" s="73" t="s">
        <v>1513</v>
      </c>
      <c r="I2703" s="268" t="s">
        <v>18</v>
      </c>
      <c r="J2703" s="67">
        <v>211.01</v>
      </c>
      <c r="K2703" s="65"/>
      <c r="L2703" s="224"/>
      <c r="M2703" s="276">
        <v>1754250</v>
      </c>
      <c r="N2703" s="276"/>
      <c r="O2703" s="61"/>
      <c r="P2703" s="69" t="str">
        <f t="shared" si="177"/>
        <v>Hutang Pajak PPN</v>
      </c>
      <c r="Q2703" s="61"/>
    </row>
    <row r="2704" spans="1:17" ht="28.5" hidden="1" x14ac:dyDescent="0.25">
      <c r="A2704" s="60" t="str">
        <f t="shared" si="175"/>
        <v>422211,01</v>
      </c>
      <c r="B2704" s="60">
        <f>COUNTIF($J$7:J2704,J2704)</f>
        <v>422</v>
      </c>
      <c r="C2704" s="60" t="str">
        <f t="shared" si="176"/>
        <v>0</v>
      </c>
      <c r="D2704" s="60">
        <f>COUNTIF($K$7:K2704,K2704)</f>
        <v>0</v>
      </c>
      <c r="E2704" s="61"/>
      <c r="F2704" s="71">
        <v>44631</v>
      </c>
      <c r="G2704" s="229"/>
      <c r="H2704" s="73" t="s">
        <v>1514</v>
      </c>
      <c r="I2704" s="268" t="s">
        <v>34</v>
      </c>
      <c r="J2704" s="67">
        <v>211.01</v>
      </c>
      <c r="K2704" s="65"/>
      <c r="L2704" s="224"/>
      <c r="M2704" s="276">
        <v>164999.25</v>
      </c>
      <c r="N2704" s="276"/>
      <c r="O2704" s="61"/>
      <c r="P2704" s="69" t="str">
        <f t="shared" si="177"/>
        <v>Hutang Pajak PPN</v>
      </c>
      <c r="Q2704" s="61"/>
    </row>
    <row r="2705" spans="1:17" hidden="1" x14ac:dyDescent="0.25">
      <c r="A2705" s="60" t="str">
        <f t="shared" si="175"/>
        <v>423211,01</v>
      </c>
      <c r="B2705" s="60">
        <f>COUNTIF($J$7:J2705,J2705)</f>
        <v>423</v>
      </c>
      <c r="C2705" s="60" t="str">
        <f t="shared" si="176"/>
        <v>0</v>
      </c>
      <c r="D2705" s="60">
        <f>COUNTIF($K$7:K2705,K2705)</f>
        <v>0</v>
      </c>
      <c r="E2705" s="61"/>
      <c r="F2705" s="71">
        <v>44634</v>
      </c>
      <c r="G2705" s="229"/>
      <c r="H2705" s="73" t="s">
        <v>1515</v>
      </c>
      <c r="I2705" s="268" t="s">
        <v>44</v>
      </c>
      <c r="J2705" s="67">
        <v>211.01</v>
      </c>
      <c r="K2705" s="65"/>
      <c r="L2705" s="224"/>
      <c r="M2705" s="276">
        <v>800000</v>
      </c>
      <c r="N2705" s="276"/>
      <c r="O2705" s="61"/>
      <c r="P2705" s="69" t="str">
        <f t="shared" si="177"/>
        <v>Hutang Pajak PPN</v>
      </c>
      <c r="Q2705" s="61"/>
    </row>
    <row r="2706" spans="1:17" hidden="1" x14ac:dyDescent="0.25">
      <c r="A2706" s="60" t="str">
        <f t="shared" si="175"/>
        <v>424211,01</v>
      </c>
      <c r="B2706" s="60">
        <f>COUNTIF($J$7:J2706,J2706)</f>
        <v>424</v>
      </c>
      <c r="C2706" s="60" t="str">
        <f t="shared" si="176"/>
        <v>0</v>
      </c>
      <c r="D2706" s="60">
        <f>COUNTIF($K$7:K2706,K2706)</f>
        <v>0</v>
      </c>
      <c r="E2706" s="61"/>
      <c r="F2706" s="71">
        <v>44634</v>
      </c>
      <c r="G2706" s="229"/>
      <c r="H2706" s="73" t="s">
        <v>1516</v>
      </c>
      <c r="I2706" s="268" t="s">
        <v>20</v>
      </c>
      <c r="J2706" s="67">
        <v>211.01</v>
      </c>
      <c r="K2706" s="65"/>
      <c r="L2706" s="224"/>
      <c r="M2706" s="276">
        <v>885000</v>
      </c>
      <c r="N2706" s="276"/>
      <c r="O2706" s="61"/>
      <c r="P2706" s="69" t="str">
        <f t="shared" si="177"/>
        <v>Hutang Pajak PPN</v>
      </c>
      <c r="Q2706" s="61"/>
    </row>
    <row r="2707" spans="1:17" ht="28.5" hidden="1" x14ac:dyDescent="0.25">
      <c r="A2707" s="60" t="str">
        <f t="shared" si="175"/>
        <v>425211,01</v>
      </c>
      <c r="B2707" s="60">
        <f>COUNTIF($J$7:J2707,J2707)</f>
        <v>425</v>
      </c>
      <c r="C2707" s="60" t="str">
        <f t="shared" si="176"/>
        <v>0</v>
      </c>
      <c r="D2707" s="60">
        <f>COUNTIF($K$7:K2707,K2707)</f>
        <v>0</v>
      </c>
      <c r="E2707" s="61"/>
      <c r="F2707" s="71">
        <v>44634</v>
      </c>
      <c r="G2707" s="229"/>
      <c r="H2707" s="73" t="s">
        <v>1517</v>
      </c>
      <c r="I2707" s="268" t="s">
        <v>32</v>
      </c>
      <c r="J2707" s="67">
        <v>211.01</v>
      </c>
      <c r="K2707" s="65"/>
      <c r="L2707" s="224"/>
      <c r="M2707" s="276">
        <v>384998.25</v>
      </c>
      <c r="N2707" s="276"/>
      <c r="O2707" s="61"/>
      <c r="P2707" s="69" t="str">
        <f t="shared" si="177"/>
        <v>Hutang Pajak PPN</v>
      </c>
      <c r="Q2707" s="61"/>
    </row>
    <row r="2708" spans="1:17" ht="28.5" hidden="1" x14ac:dyDescent="0.25">
      <c r="A2708" s="60" t="str">
        <f t="shared" si="175"/>
        <v>426211,01</v>
      </c>
      <c r="B2708" s="60">
        <f>COUNTIF($J$7:J2708,J2708)</f>
        <v>426</v>
      </c>
      <c r="C2708" s="60" t="str">
        <f t="shared" si="176"/>
        <v>0</v>
      </c>
      <c r="D2708" s="60">
        <f>COUNTIF($K$7:K2708,K2708)</f>
        <v>0</v>
      </c>
      <c r="E2708" s="61"/>
      <c r="F2708" s="71">
        <v>44634</v>
      </c>
      <c r="G2708" s="229"/>
      <c r="H2708" s="73" t="s">
        <v>1518</v>
      </c>
      <c r="I2708" s="268" t="s">
        <v>32</v>
      </c>
      <c r="J2708" s="67">
        <v>211.01</v>
      </c>
      <c r="K2708" s="65"/>
      <c r="L2708" s="224"/>
      <c r="M2708" s="276">
        <v>1035000</v>
      </c>
      <c r="N2708" s="276"/>
      <c r="O2708" s="61"/>
      <c r="P2708" s="69" t="str">
        <f t="shared" si="177"/>
        <v>Hutang Pajak PPN</v>
      </c>
      <c r="Q2708" s="61"/>
    </row>
    <row r="2709" spans="1:17" ht="28.5" hidden="1" x14ac:dyDescent="0.25">
      <c r="A2709" s="60" t="str">
        <f t="shared" si="175"/>
        <v>427211,01</v>
      </c>
      <c r="B2709" s="60">
        <f>COUNTIF($J$7:J2709,J2709)</f>
        <v>427</v>
      </c>
      <c r="C2709" s="60" t="str">
        <f t="shared" si="176"/>
        <v>0</v>
      </c>
      <c r="D2709" s="60">
        <f>COUNTIF($K$7:K2709,K2709)</f>
        <v>0</v>
      </c>
      <c r="E2709" s="61"/>
      <c r="F2709" s="71">
        <v>44634</v>
      </c>
      <c r="G2709" s="229"/>
      <c r="H2709" s="73" t="s">
        <v>1519</v>
      </c>
      <c r="I2709" s="268" t="s">
        <v>32</v>
      </c>
      <c r="J2709" s="67">
        <v>211.01</v>
      </c>
      <c r="K2709" s="65"/>
      <c r="L2709" s="224"/>
      <c r="M2709" s="276">
        <v>54999.75</v>
      </c>
      <c r="N2709" s="276"/>
      <c r="O2709" s="61"/>
      <c r="P2709" s="69" t="str">
        <f t="shared" si="177"/>
        <v>Hutang Pajak PPN</v>
      </c>
      <c r="Q2709" s="61"/>
    </row>
    <row r="2710" spans="1:17" hidden="1" x14ac:dyDescent="0.25">
      <c r="A2710" s="60" t="str">
        <f t="shared" si="175"/>
        <v>428211,01</v>
      </c>
      <c r="B2710" s="60">
        <f>COUNTIF($J$7:J2710,J2710)</f>
        <v>428</v>
      </c>
      <c r="C2710" s="60" t="str">
        <f t="shared" si="176"/>
        <v>0</v>
      </c>
      <c r="D2710" s="60">
        <f>COUNTIF($K$7:K2710,K2710)</f>
        <v>0</v>
      </c>
      <c r="E2710" s="61"/>
      <c r="F2710" s="71">
        <v>44634</v>
      </c>
      <c r="G2710" s="229"/>
      <c r="H2710" s="73" t="s">
        <v>1520</v>
      </c>
      <c r="I2710" s="268" t="s">
        <v>41</v>
      </c>
      <c r="J2710" s="67">
        <v>211.01</v>
      </c>
      <c r="K2710" s="65"/>
      <c r="L2710" s="224"/>
      <c r="M2710" s="276">
        <v>750000</v>
      </c>
      <c r="N2710" s="276"/>
      <c r="O2710" s="61"/>
      <c r="P2710" s="69" t="str">
        <f t="shared" si="177"/>
        <v>Hutang Pajak PPN</v>
      </c>
      <c r="Q2710" s="61"/>
    </row>
    <row r="2711" spans="1:17" hidden="1" x14ac:dyDescent="0.25">
      <c r="A2711" s="60" t="str">
        <f t="shared" si="175"/>
        <v>429211,01</v>
      </c>
      <c r="B2711" s="60">
        <f>COUNTIF($J$7:J2711,J2711)</f>
        <v>429</v>
      </c>
      <c r="C2711" s="60" t="str">
        <f t="shared" si="176"/>
        <v>0</v>
      </c>
      <c r="D2711" s="60">
        <f>COUNTIF($K$7:K2711,K2711)</f>
        <v>0</v>
      </c>
      <c r="E2711" s="61"/>
      <c r="F2711" s="71">
        <v>44634</v>
      </c>
      <c r="G2711" s="229"/>
      <c r="H2711" s="73" t="s">
        <v>1521</v>
      </c>
      <c r="I2711" s="268" t="s">
        <v>37</v>
      </c>
      <c r="J2711" s="67">
        <v>211.01</v>
      </c>
      <c r="K2711" s="65"/>
      <c r="L2711" s="224"/>
      <c r="M2711" s="276">
        <v>1746000</v>
      </c>
      <c r="N2711" s="276"/>
      <c r="O2711" s="61"/>
      <c r="P2711" s="69" t="str">
        <f t="shared" si="177"/>
        <v>Hutang Pajak PPN</v>
      </c>
      <c r="Q2711" s="61"/>
    </row>
    <row r="2712" spans="1:17" ht="28.5" hidden="1" x14ac:dyDescent="0.25">
      <c r="A2712" s="60" t="str">
        <f t="shared" si="175"/>
        <v>430211,01</v>
      </c>
      <c r="B2712" s="60">
        <f>COUNTIF($J$7:J2712,J2712)</f>
        <v>430</v>
      </c>
      <c r="C2712" s="60" t="str">
        <f t="shared" si="176"/>
        <v>0</v>
      </c>
      <c r="D2712" s="60">
        <f>COUNTIF($K$7:K2712,K2712)</f>
        <v>0</v>
      </c>
      <c r="E2712" s="61"/>
      <c r="F2712" s="71">
        <v>44634</v>
      </c>
      <c r="G2712" s="229"/>
      <c r="H2712" s="73" t="s">
        <v>1522</v>
      </c>
      <c r="I2712" s="268" t="s">
        <v>34</v>
      </c>
      <c r="J2712" s="67">
        <v>211.01</v>
      </c>
      <c r="K2712" s="65"/>
      <c r="L2712" s="224"/>
      <c r="M2712" s="276">
        <v>329998.5</v>
      </c>
      <c r="N2712" s="276"/>
      <c r="O2712" s="61"/>
      <c r="P2712" s="69" t="str">
        <f t="shared" si="177"/>
        <v>Hutang Pajak PPN</v>
      </c>
      <c r="Q2712" s="61"/>
    </row>
    <row r="2713" spans="1:17" hidden="1" x14ac:dyDescent="0.25">
      <c r="A2713" s="60" t="str">
        <f t="shared" si="175"/>
        <v>431211,01</v>
      </c>
      <c r="B2713" s="60">
        <f>COUNTIF($J$7:J2713,J2713)</f>
        <v>431</v>
      </c>
      <c r="C2713" s="60" t="str">
        <f t="shared" si="176"/>
        <v>0</v>
      </c>
      <c r="D2713" s="60">
        <f>COUNTIF($K$7:K2713,K2713)</f>
        <v>0</v>
      </c>
      <c r="E2713" s="61"/>
      <c r="F2713" s="71">
        <v>44635</v>
      </c>
      <c r="G2713" s="229"/>
      <c r="H2713" s="73" t="s">
        <v>1523</v>
      </c>
      <c r="I2713" s="268" t="s">
        <v>37</v>
      </c>
      <c r="J2713" s="67">
        <v>211.01</v>
      </c>
      <c r="K2713" s="65"/>
      <c r="L2713" s="224"/>
      <c r="M2713" s="276">
        <v>787500</v>
      </c>
      <c r="N2713" s="276"/>
      <c r="O2713" s="61"/>
      <c r="P2713" s="69" t="str">
        <f t="shared" si="177"/>
        <v>Hutang Pajak PPN</v>
      </c>
      <c r="Q2713" s="61"/>
    </row>
    <row r="2714" spans="1:17" hidden="1" x14ac:dyDescent="0.25">
      <c r="A2714" s="60" t="str">
        <f t="shared" si="175"/>
        <v>432211,01</v>
      </c>
      <c r="B2714" s="60">
        <f>COUNTIF($J$7:J2714,J2714)</f>
        <v>432</v>
      </c>
      <c r="C2714" s="60" t="str">
        <f t="shared" si="176"/>
        <v>0</v>
      </c>
      <c r="D2714" s="60">
        <f>COUNTIF($K$7:K2714,K2714)</f>
        <v>0</v>
      </c>
      <c r="E2714" s="61"/>
      <c r="F2714" s="71">
        <v>44635</v>
      </c>
      <c r="G2714" s="229"/>
      <c r="H2714" s="73" t="s">
        <v>1524</v>
      </c>
      <c r="I2714" s="268" t="s">
        <v>37</v>
      </c>
      <c r="J2714" s="67">
        <v>211.01</v>
      </c>
      <c r="K2714" s="65"/>
      <c r="L2714" s="224"/>
      <c r="M2714" s="276">
        <v>1708500</v>
      </c>
      <c r="N2714" s="276"/>
      <c r="O2714" s="61"/>
      <c r="P2714" s="69" t="str">
        <f t="shared" si="177"/>
        <v>Hutang Pajak PPN</v>
      </c>
      <c r="Q2714" s="61"/>
    </row>
    <row r="2715" spans="1:17" hidden="1" x14ac:dyDescent="0.25">
      <c r="A2715" s="60" t="str">
        <f t="shared" si="175"/>
        <v>433211,01</v>
      </c>
      <c r="B2715" s="60">
        <f>COUNTIF($J$7:J2715,J2715)</f>
        <v>433</v>
      </c>
      <c r="C2715" s="60" t="str">
        <f t="shared" si="176"/>
        <v>0</v>
      </c>
      <c r="D2715" s="60">
        <f>COUNTIF($K$7:K2715,K2715)</f>
        <v>0</v>
      </c>
      <c r="E2715" s="61"/>
      <c r="F2715" s="71">
        <v>44637</v>
      </c>
      <c r="G2715" s="229"/>
      <c r="H2715" s="73" t="s">
        <v>1525</v>
      </c>
      <c r="I2715" s="268" t="s">
        <v>863</v>
      </c>
      <c r="J2715" s="67">
        <v>211.01</v>
      </c>
      <c r="K2715" s="65"/>
      <c r="L2715" s="224"/>
      <c r="M2715" s="276">
        <v>14643000</v>
      </c>
      <c r="N2715" s="276"/>
      <c r="O2715" s="61"/>
      <c r="P2715" s="69" t="str">
        <f t="shared" si="177"/>
        <v>Hutang Pajak PPN</v>
      </c>
      <c r="Q2715" s="61"/>
    </row>
    <row r="2716" spans="1:17" ht="28.5" hidden="1" x14ac:dyDescent="0.25">
      <c r="A2716" s="60" t="str">
        <f t="shared" si="175"/>
        <v>434211,01</v>
      </c>
      <c r="B2716" s="60">
        <f>COUNTIF($J$7:J2716,J2716)</f>
        <v>434</v>
      </c>
      <c r="C2716" s="60" t="str">
        <f t="shared" si="176"/>
        <v>0</v>
      </c>
      <c r="D2716" s="60">
        <f>COUNTIF($K$7:K2716,K2716)</f>
        <v>0</v>
      </c>
      <c r="E2716" s="61"/>
      <c r="F2716" s="71">
        <v>44637</v>
      </c>
      <c r="G2716" s="229"/>
      <c r="H2716" s="73" t="s">
        <v>1526</v>
      </c>
      <c r="I2716" s="268" t="s">
        <v>34</v>
      </c>
      <c r="J2716" s="67">
        <v>211.01</v>
      </c>
      <c r="K2716" s="65"/>
      <c r="L2716" s="224"/>
      <c r="M2716" s="276">
        <v>164999.25</v>
      </c>
      <c r="N2716" s="276"/>
      <c r="O2716" s="61"/>
      <c r="P2716" s="69" t="str">
        <f t="shared" si="177"/>
        <v>Hutang Pajak PPN</v>
      </c>
      <c r="Q2716" s="61"/>
    </row>
    <row r="2717" spans="1:17" hidden="1" x14ac:dyDescent="0.25">
      <c r="A2717" s="60" t="str">
        <f t="shared" si="175"/>
        <v>435211,01</v>
      </c>
      <c r="B2717" s="60">
        <f>COUNTIF($J$7:J2717,J2717)</f>
        <v>435</v>
      </c>
      <c r="C2717" s="60" t="str">
        <f t="shared" si="176"/>
        <v>0</v>
      </c>
      <c r="D2717" s="60">
        <f>COUNTIF($K$7:K2717,K2717)</f>
        <v>0</v>
      </c>
      <c r="E2717" s="61"/>
      <c r="F2717" s="71">
        <v>44637</v>
      </c>
      <c r="G2717" s="229"/>
      <c r="H2717" s="73" t="s">
        <v>1527</v>
      </c>
      <c r="I2717" s="268" t="s">
        <v>1473</v>
      </c>
      <c r="J2717" s="67">
        <v>211.01</v>
      </c>
      <c r="K2717" s="65"/>
      <c r="L2717" s="224"/>
      <c r="M2717" s="276">
        <v>2448000</v>
      </c>
      <c r="N2717" s="276"/>
      <c r="O2717" s="61"/>
      <c r="P2717" s="69" t="str">
        <f t="shared" si="177"/>
        <v>Hutang Pajak PPN</v>
      </c>
      <c r="Q2717" s="61"/>
    </row>
    <row r="2718" spans="1:17" ht="28.5" hidden="1" x14ac:dyDescent="0.25">
      <c r="A2718" s="60" t="str">
        <f t="shared" si="175"/>
        <v>436211,01</v>
      </c>
      <c r="B2718" s="60">
        <f>COUNTIF($J$7:J2718,J2718)</f>
        <v>436</v>
      </c>
      <c r="C2718" s="60" t="str">
        <f t="shared" si="176"/>
        <v>0</v>
      </c>
      <c r="D2718" s="60">
        <f>COUNTIF($K$7:K2718,K2718)</f>
        <v>0</v>
      </c>
      <c r="E2718" s="61"/>
      <c r="F2718" s="71">
        <v>44637</v>
      </c>
      <c r="G2718" s="229"/>
      <c r="H2718" s="73" t="s">
        <v>1528</v>
      </c>
      <c r="I2718" s="268" t="s">
        <v>1529</v>
      </c>
      <c r="J2718" s="67">
        <v>211.01</v>
      </c>
      <c r="K2718" s="65"/>
      <c r="L2718" s="224"/>
      <c r="M2718" s="276">
        <v>186932</v>
      </c>
      <c r="N2718" s="276"/>
      <c r="O2718" s="61"/>
      <c r="P2718" s="69" t="str">
        <f t="shared" si="177"/>
        <v>Hutang Pajak PPN</v>
      </c>
      <c r="Q2718" s="61"/>
    </row>
    <row r="2719" spans="1:17" hidden="1" x14ac:dyDescent="0.25">
      <c r="A2719" s="60" t="str">
        <f t="shared" si="175"/>
        <v>437211,01</v>
      </c>
      <c r="B2719" s="60">
        <f>COUNTIF($J$7:J2719,J2719)</f>
        <v>437</v>
      </c>
      <c r="C2719" s="60" t="str">
        <f t="shared" si="176"/>
        <v>0</v>
      </c>
      <c r="D2719" s="60">
        <f>COUNTIF($K$7:K2719,K2719)</f>
        <v>0</v>
      </c>
      <c r="E2719" s="61"/>
      <c r="F2719" s="71">
        <v>44637</v>
      </c>
      <c r="G2719" s="229"/>
      <c r="H2719" s="73" t="s">
        <v>1530</v>
      </c>
      <c r="I2719" s="268" t="s">
        <v>1531</v>
      </c>
      <c r="J2719" s="67">
        <v>211.01</v>
      </c>
      <c r="K2719" s="65"/>
      <c r="L2719" s="224"/>
      <c r="M2719" s="276">
        <v>182500</v>
      </c>
      <c r="N2719" s="276"/>
      <c r="O2719" s="61"/>
      <c r="P2719" s="69" t="str">
        <f t="shared" si="177"/>
        <v>Hutang Pajak PPN</v>
      </c>
      <c r="Q2719" s="61"/>
    </row>
    <row r="2720" spans="1:17" hidden="1" x14ac:dyDescent="0.25">
      <c r="A2720" s="60" t="str">
        <f t="shared" si="175"/>
        <v>438211,01</v>
      </c>
      <c r="B2720" s="60">
        <f>COUNTIF($J$7:J2720,J2720)</f>
        <v>438</v>
      </c>
      <c r="C2720" s="60" t="str">
        <f t="shared" si="176"/>
        <v>0</v>
      </c>
      <c r="D2720" s="60">
        <f>COUNTIF($K$7:K2720,K2720)</f>
        <v>0</v>
      </c>
      <c r="E2720" s="61"/>
      <c r="F2720" s="71">
        <v>44638</v>
      </c>
      <c r="G2720" s="229"/>
      <c r="H2720" s="73" t="s">
        <v>1532</v>
      </c>
      <c r="I2720" s="268" t="s">
        <v>20</v>
      </c>
      <c r="J2720" s="67">
        <v>211.01</v>
      </c>
      <c r="K2720" s="65"/>
      <c r="L2720" s="224"/>
      <c r="M2720" s="276">
        <v>2269500</v>
      </c>
      <c r="N2720" s="276"/>
      <c r="O2720" s="61"/>
      <c r="P2720" s="69" t="str">
        <f t="shared" si="177"/>
        <v>Hutang Pajak PPN</v>
      </c>
      <c r="Q2720" s="61"/>
    </row>
    <row r="2721" spans="1:17" ht="28.5" hidden="1" x14ac:dyDescent="0.25">
      <c r="A2721" s="60" t="str">
        <f t="shared" si="175"/>
        <v>439211,01</v>
      </c>
      <c r="B2721" s="60">
        <f>COUNTIF($J$7:J2721,J2721)</f>
        <v>439</v>
      </c>
      <c r="C2721" s="60" t="str">
        <f t="shared" si="176"/>
        <v>0</v>
      </c>
      <c r="D2721" s="60">
        <f>COUNTIF($K$7:K2721,K2721)</f>
        <v>0</v>
      </c>
      <c r="E2721" s="61"/>
      <c r="F2721" s="71">
        <v>44638</v>
      </c>
      <c r="G2721" s="229"/>
      <c r="H2721" s="73" t="s">
        <v>1533</v>
      </c>
      <c r="I2721" s="268" t="s">
        <v>34</v>
      </c>
      <c r="J2721" s="67">
        <v>211.01</v>
      </c>
      <c r="K2721" s="65"/>
      <c r="L2721" s="224"/>
      <c r="M2721" s="276">
        <v>329998.5</v>
      </c>
      <c r="N2721" s="276"/>
      <c r="O2721" s="61"/>
      <c r="P2721" s="69" t="str">
        <f t="shared" si="177"/>
        <v>Hutang Pajak PPN</v>
      </c>
      <c r="Q2721" s="61"/>
    </row>
    <row r="2722" spans="1:17" ht="28.5" hidden="1" x14ac:dyDescent="0.25">
      <c r="A2722" s="60" t="str">
        <f t="shared" si="175"/>
        <v>440211,01</v>
      </c>
      <c r="B2722" s="60">
        <f>COUNTIF($J$7:J2722,J2722)</f>
        <v>440</v>
      </c>
      <c r="C2722" s="60" t="str">
        <f t="shared" si="176"/>
        <v>0</v>
      </c>
      <c r="D2722" s="60">
        <f>COUNTIF($K$7:K2722,K2722)</f>
        <v>0</v>
      </c>
      <c r="E2722" s="61"/>
      <c r="F2722" s="71">
        <v>44638</v>
      </c>
      <c r="G2722" s="229"/>
      <c r="H2722" s="73" t="s">
        <v>1534</v>
      </c>
      <c r="I2722" s="268" t="s">
        <v>34</v>
      </c>
      <c r="J2722" s="67">
        <v>211.01</v>
      </c>
      <c r="K2722" s="65"/>
      <c r="L2722" s="224"/>
      <c r="M2722" s="276">
        <v>164999.25</v>
      </c>
      <c r="N2722" s="276"/>
      <c r="O2722" s="61"/>
      <c r="P2722" s="69" t="str">
        <f t="shared" si="177"/>
        <v>Hutang Pajak PPN</v>
      </c>
      <c r="Q2722" s="61"/>
    </row>
    <row r="2723" spans="1:17" hidden="1" x14ac:dyDescent="0.25">
      <c r="A2723" s="60" t="str">
        <f t="shared" si="175"/>
        <v>441211,01</v>
      </c>
      <c r="B2723" s="60">
        <f>COUNTIF($J$7:J2723,J2723)</f>
        <v>441</v>
      </c>
      <c r="C2723" s="60" t="str">
        <f t="shared" si="176"/>
        <v>0</v>
      </c>
      <c r="D2723" s="60">
        <f>COUNTIF($K$7:K2723,K2723)</f>
        <v>0</v>
      </c>
      <c r="E2723" s="61"/>
      <c r="F2723" s="71">
        <v>44641</v>
      </c>
      <c r="G2723" s="229"/>
      <c r="H2723" s="73" t="s">
        <v>1535</v>
      </c>
      <c r="I2723" s="268" t="s">
        <v>44</v>
      </c>
      <c r="J2723" s="67">
        <v>211.01</v>
      </c>
      <c r="K2723" s="65"/>
      <c r="L2723" s="224"/>
      <c r="M2723" s="276">
        <v>1200000</v>
      </c>
      <c r="N2723" s="276"/>
      <c r="O2723" s="61"/>
      <c r="P2723" s="69" t="str">
        <f t="shared" si="177"/>
        <v>Hutang Pajak PPN</v>
      </c>
      <c r="Q2723" s="61"/>
    </row>
    <row r="2724" spans="1:17" hidden="1" x14ac:dyDescent="0.25">
      <c r="A2724" s="60" t="str">
        <f t="shared" si="175"/>
        <v>442211,01</v>
      </c>
      <c r="B2724" s="60">
        <f>COUNTIF($J$7:J2724,J2724)</f>
        <v>442</v>
      </c>
      <c r="C2724" s="60" t="str">
        <f t="shared" si="176"/>
        <v>0</v>
      </c>
      <c r="D2724" s="60">
        <f>COUNTIF($K$7:K2724,K2724)</f>
        <v>0</v>
      </c>
      <c r="E2724" s="61"/>
      <c r="F2724" s="71">
        <v>44641</v>
      </c>
      <c r="G2724" s="229"/>
      <c r="H2724" s="73" t="s">
        <v>1536</v>
      </c>
      <c r="I2724" s="268" t="s">
        <v>44</v>
      </c>
      <c r="J2724" s="67">
        <v>211.01</v>
      </c>
      <c r="K2724" s="65"/>
      <c r="L2724" s="224"/>
      <c r="M2724" s="276">
        <v>800000</v>
      </c>
      <c r="N2724" s="276"/>
      <c r="O2724" s="61"/>
      <c r="P2724" s="69" t="str">
        <f t="shared" si="177"/>
        <v>Hutang Pajak PPN</v>
      </c>
      <c r="Q2724" s="61"/>
    </row>
    <row r="2725" spans="1:17" hidden="1" x14ac:dyDescent="0.25">
      <c r="A2725" s="60" t="str">
        <f t="shared" si="175"/>
        <v>443211,01</v>
      </c>
      <c r="B2725" s="60">
        <f>COUNTIF($J$7:J2725,J2725)</f>
        <v>443</v>
      </c>
      <c r="C2725" s="60" t="str">
        <f t="shared" si="176"/>
        <v>0</v>
      </c>
      <c r="D2725" s="60">
        <f>COUNTIF($K$7:K2725,K2725)</f>
        <v>0</v>
      </c>
      <c r="E2725" s="61"/>
      <c r="F2725" s="71">
        <v>44641</v>
      </c>
      <c r="G2725" s="229"/>
      <c r="H2725" s="73" t="s">
        <v>1537</v>
      </c>
      <c r="I2725" s="268" t="s">
        <v>18</v>
      </c>
      <c r="J2725" s="67">
        <v>211.01</v>
      </c>
      <c r="K2725" s="65"/>
      <c r="L2725" s="224"/>
      <c r="M2725" s="276">
        <v>2108250</v>
      </c>
      <c r="N2725" s="276"/>
      <c r="O2725" s="61"/>
      <c r="P2725" s="69" t="str">
        <f t="shared" si="177"/>
        <v>Hutang Pajak PPN</v>
      </c>
      <c r="Q2725" s="61"/>
    </row>
    <row r="2726" spans="1:17" hidden="1" x14ac:dyDescent="0.25">
      <c r="A2726" s="60" t="str">
        <f t="shared" si="175"/>
        <v>444211,01</v>
      </c>
      <c r="B2726" s="60">
        <f>COUNTIF($J$7:J2726,J2726)</f>
        <v>444</v>
      </c>
      <c r="C2726" s="60" t="str">
        <f t="shared" si="176"/>
        <v>0</v>
      </c>
      <c r="D2726" s="60">
        <f>COUNTIF($K$7:K2726,K2726)</f>
        <v>0</v>
      </c>
      <c r="E2726" s="61"/>
      <c r="F2726" s="71">
        <v>44641</v>
      </c>
      <c r="G2726" s="229"/>
      <c r="H2726" s="73" t="s">
        <v>1538</v>
      </c>
      <c r="I2726" s="268" t="s">
        <v>18</v>
      </c>
      <c r="J2726" s="67">
        <v>211.01</v>
      </c>
      <c r="K2726" s="65"/>
      <c r="L2726" s="224"/>
      <c r="M2726" s="276">
        <v>4100000</v>
      </c>
      <c r="N2726" s="276"/>
      <c r="O2726" s="61"/>
      <c r="P2726" s="69" t="str">
        <f t="shared" si="177"/>
        <v>Hutang Pajak PPN</v>
      </c>
      <c r="Q2726" s="61"/>
    </row>
    <row r="2727" spans="1:17" hidden="1" x14ac:dyDescent="0.25">
      <c r="A2727" s="60" t="str">
        <f t="shared" si="175"/>
        <v>445211,01</v>
      </c>
      <c r="B2727" s="60">
        <f>COUNTIF($J$7:J2727,J2727)</f>
        <v>445</v>
      </c>
      <c r="C2727" s="60" t="str">
        <f t="shared" si="176"/>
        <v>0</v>
      </c>
      <c r="D2727" s="60">
        <f>COUNTIF($K$7:K2727,K2727)</f>
        <v>0</v>
      </c>
      <c r="E2727" s="61"/>
      <c r="F2727" s="71">
        <v>44641</v>
      </c>
      <c r="G2727" s="229"/>
      <c r="H2727" s="73" t="s">
        <v>1539</v>
      </c>
      <c r="I2727" s="268" t="s">
        <v>37</v>
      </c>
      <c r="J2727" s="67">
        <v>211.01</v>
      </c>
      <c r="K2727" s="65"/>
      <c r="L2727" s="224"/>
      <c r="M2727" s="276">
        <v>876000</v>
      </c>
      <c r="N2727" s="276"/>
      <c r="O2727" s="61"/>
      <c r="P2727" s="69" t="str">
        <f t="shared" si="177"/>
        <v>Hutang Pajak PPN</v>
      </c>
      <c r="Q2727" s="61"/>
    </row>
    <row r="2728" spans="1:17" hidden="1" x14ac:dyDescent="0.25">
      <c r="A2728" s="60" t="str">
        <f t="shared" si="175"/>
        <v>446211,01</v>
      </c>
      <c r="B2728" s="60">
        <f>COUNTIF($J$7:J2728,J2728)</f>
        <v>446</v>
      </c>
      <c r="C2728" s="60" t="str">
        <f t="shared" si="176"/>
        <v>0</v>
      </c>
      <c r="D2728" s="60">
        <f>COUNTIF($K$7:K2728,K2728)</f>
        <v>0</v>
      </c>
      <c r="E2728" s="61"/>
      <c r="F2728" s="71">
        <v>44641</v>
      </c>
      <c r="G2728" s="229"/>
      <c r="H2728" s="73" t="s">
        <v>1540</v>
      </c>
      <c r="I2728" s="268" t="s">
        <v>37</v>
      </c>
      <c r="J2728" s="67">
        <v>211.01</v>
      </c>
      <c r="K2728" s="65"/>
      <c r="L2728" s="224"/>
      <c r="M2728" s="276">
        <v>350000</v>
      </c>
      <c r="N2728" s="276"/>
      <c r="O2728" s="61"/>
      <c r="P2728" s="69" t="str">
        <f t="shared" si="177"/>
        <v>Hutang Pajak PPN</v>
      </c>
      <c r="Q2728" s="61"/>
    </row>
    <row r="2729" spans="1:17" hidden="1" x14ac:dyDescent="0.25">
      <c r="A2729" s="60" t="str">
        <f t="shared" si="175"/>
        <v>447211,01</v>
      </c>
      <c r="B2729" s="60">
        <f>COUNTIF($J$7:J2729,J2729)</f>
        <v>447</v>
      </c>
      <c r="C2729" s="60" t="str">
        <f t="shared" si="176"/>
        <v>0</v>
      </c>
      <c r="D2729" s="60">
        <f>COUNTIF($K$7:K2729,K2729)</f>
        <v>0</v>
      </c>
      <c r="E2729" s="61"/>
      <c r="F2729" s="71">
        <v>44641</v>
      </c>
      <c r="G2729" s="229"/>
      <c r="H2729" s="73" t="s">
        <v>1541</v>
      </c>
      <c r="I2729" s="268" t="s">
        <v>53</v>
      </c>
      <c r="J2729" s="67">
        <v>211.01</v>
      </c>
      <c r="K2729" s="65"/>
      <c r="L2729" s="224"/>
      <c r="M2729" s="276">
        <v>440000</v>
      </c>
      <c r="N2729" s="276"/>
      <c r="O2729" s="61"/>
      <c r="P2729" s="69" t="str">
        <f t="shared" si="177"/>
        <v>Hutang Pajak PPN</v>
      </c>
      <c r="Q2729" s="61"/>
    </row>
    <row r="2730" spans="1:17" hidden="1" x14ac:dyDescent="0.25">
      <c r="A2730" s="60" t="str">
        <f t="shared" si="175"/>
        <v>448211,01</v>
      </c>
      <c r="B2730" s="60">
        <f>COUNTIF($J$7:J2730,J2730)</f>
        <v>448</v>
      </c>
      <c r="C2730" s="60" t="str">
        <f t="shared" si="176"/>
        <v>0</v>
      </c>
      <c r="D2730" s="60">
        <f>COUNTIF($K$7:K2730,K2730)</f>
        <v>0</v>
      </c>
      <c r="E2730" s="61"/>
      <c r="F2730" s="71">
        <v>44642</v>
      </c>
      <c r="G2730" s="229"/>
      <c r="H2730" s="73" t="s">
        <v>1542</v>
      </c>
      <c r="I2730" s="268" t="s">
        <v>58</v>
      </c>
      <c r="J2730" s="67">
        <v>211.01</v>
      </c>
      <c r="K2730" s="65"/>
      <c r="L2730" s="224"/>
      <c r="M2730" s="276">
        <v>175000</v>
      </c>
      <c r="N2730" s="276"/>
      <c r="O2730" s="61"/>
      <c r="P2730" s="69" t="str">
        <f t="shared" si="177"/>
        <v>Hutang Pajak PPN</v>
      </c>
      <c r="Q2730" s="61"/>
    </row>
    <row r="2731" spans="1:17" hidden="1" x14ac:dyDescent="0.25">
      <c r="A2731" s="60" t="str">
        <f t="shared" si="175"/>
        <v>449211,01</v>
      </c>
      <c r="B2731" s="60">
        <f>COUNTIF($J$7:J2731,J2731)</f>
        <v>449</v>
      </c>
      <c r="C2731" s="60" t="str">
        <f t="shared" si="176"/>
        <v>0</v>
      </c>
      <c r="D2731" s="60">
        <f>COUNTIF($K$7:K2731,K2731)</f>
        <v>0</v>
      </c>
      <c r="E2731" s="61"/>
      <c r="F2731" s="71">
        <v>44642</v>
      </c>
      <c r="G2731" s="229"/>
      <c r="H2731" s="73" t="s">
        <v>1543</v>
      </c>
      <c r="I2731" s="268" t="s">
        <v>58</v>
      </c>
      <c r="J2731" s="67">
        <v>211.01</v>
      </c>
      <c r="K2731" s="65"/>
      <c r="L2731" s="224"/>
      <c r="M2731" s="276">
        <v>175000</v>
      </c>
      <c r="N2731" s="276"/>
      <c r="O2731" s="61"/>
      <c r="P2731" s="69" t="str">
        <f t="shared" si="177"/>
        <v>Hutang Pajak PPN</v>
      </c>
      <c r="Q2731" s="61"/>
    </row>
    <row r="2732" spans="1:17" hidden="1" x14ac:dyDescent="0.25">
      <c r="A2732" s="60" t="str">
        <f t="shared" si="175"/>
        <v>450211,01</v>
      </c>
      <c r="B2732" s="60">
        <f>COUNTIF($J$7:J2732,J2732)</f>
        <v>450</v>
      </c>
      <c r="C2732" s="60" t="str">
        <f t="shared" si="176"/>
        <v>0</v>
      </c>
      <c r="D2732" s="60">
        <f>COUNTIF($K$7:K2732,K2732)</f>
        <v>0</v>
      </c>
      <c r="E2732" s="61"/>
      <c r="F2732" s="71">
        <v>44642</v>
      </c>
      <c r="G2732" s="229"/>
      <c r="H2732" s="73" t="s">
        <v>1544</v>
      </c>
      <c r="I2732" s="268" t="s">
        <v>20</v>
      </c>
      <c r="J2732" s="67">
        <v>211.01</v>
      </c>
      <c r="K2732" s="65"/>
      <c r="L2732" s="224"/>
      <c r="M2732" s="276">
        <v>1609500</v>
      </c>
      <c r="N2732" s="276"/>
      <c r="O2732" s="61"/>
      <c r="P2732" s="69" t="str">
        <f t="shared" si="177"/>
        <v>Hutang Pajak PPN</v>
      </c>
      <c r="Q2732" s="61"/>
    </row>
    <row r="2733" spans="1:17" hidden="1" x14ac:dyDescent="0.25">
      <c r="A2733" s="60" t="str">
        <f t="shared" si="175"/>
        <v>451211,01</v>
      </c>
      <c r="B2733" s="60">
        <f>COUNTIF($J$7:J2733,J2733)</f>
        <v>451</v>
      </c>
      <c r="C2733" s="60" t="str">
        <f t="shared" si="176"/>
        <v>0</v>
      </c>
      <c r="D2733" s="60">
        <f>COUNTIF($K$7:K2733,K2733)</f>
        <v>0</v>
      </c>
      <c r="E2733" s="61"/>
      <c r="F2733" s="71">
        <v>44642</v>
      </c>
      <c r="G2733" s="229"/>
      <c r="H2733" s="73" t="s">
        <v>1545</v>
      </c>
      <c r="I2733" s="268" t="s">
        <v>20</v>
      </c>
      <c r="J2733" s="67">
        <v>211.01</v>
      </c>
      <c r="K2733" s="65"/>
      <c r="L2733" s="224"/>
      <c r="M2733" s="276">
        <v>492000</v>
      </c>
      <c r="N2733" s="276"/>
      <c r="O2733" s="61"/>
      <c r="P2733" s="69" t="str">
        <f t="shared" si="177"/>
        <v>Hutang Pajak PPN</v>
      </c>
      <c r="Q2733" s="61"/>
    </row>
    <row r="2734" spans="1:17" hidden="1" x14ac:dyDescent="0.25">
      <c r="A2734" s="60" t="str">
        <f t="shared" si="175"/>
        <v>452211,01</v>
      </c>
      <c r="B2734" s="60">
        <f>COUNTIF($J$7:J2734,J2734)</f>
        <v>452</v>
      </c>
      <c r="C2734" s="60" t="str">
        <f t="shared" si="176"/>
        <v>0</v>
      </c>
      <c r="D2734" s="60">
        <f>COUNTIF($K$7:K2734,K2734)</f>
        <v>0</v>
      </c>
      <c r="E2734" s="61"/>
      <c r="F2734" s="71">
        <v>44642</v>
      </c>
      <c r="G2734" s="229"/>
      <c r="H2734" s="73" t="s">
        <v>1546</v>
      </c>
      <c r="I2734" s="268" t="s">
        <v>37</v>
      </c>
      <c r="J2734" s="67">
        <v>211.01</v>
      </c>
      <c r="K2734" s="65"/>
      <c r="L2734" s="224"/>
      <c r="M2734" s="276">
        <v>1746000</v>
      </c>
      <c r="N2734" s="276"/>
      <c r="O2734" s="61"/>
      <c r="P2734" s="69" t="str">
        <f t="shared" si="177"/>
        <v>Hutang Pajak PPN</v>
      </c>
      <c r="Q2734" s="61"/>
    </row>
    <row r="2735" spans="1:17" ht="28.5" hidden="1" x14ac:dyDescent="0.25">
      <c r="A2735" s="60" t="str">
        <f t="shared" si="175"/>
        <v>453211,01</v>
      </c>
      <c r="B2735" s="60">
        <f>COUNTIF($J$7:J2735,J2735)</f>
        <v>453</v>
      </c>
      <c r="C2735" s="60" t="str">
        <f t="shared" si="176"/>
        <v>0</v>
      </c>
      <c r="D2735" s="60">
        <f>COUNTIF($K$7:K2735,K2735)</f>
        <v>0</v>
      </c>
      <c r="E2735" s="61"/>
      <c r="F2735" s="71">
        <v>44642</v>
      </c>
      <c r="G2735" s="229"/>
      <c r="H2735" s="73" t="s">
        <v>1547</v>
      </c>
      <c r="I2735" s="268" t="s">
        <v>34</v>
      </c>
      <c r="J2735" s="67">
        <v>211.01</v>
      </c>
      <c r="K2735" s="65"/>
      <c r="L2735" s="224"/>
      <c r="M2735" s="276">
        <v>329998.5</v>
      </c>
      <c r="N2735" s="276"/>
      <c r="O2735" s="61"/>
      <c r="P2735" s="69" t="str">
        <f t="shared" si="177"/>
        <v>Hutang Pajak PPN</v>
      </c>
      <c r="Q2735" s="61"/>
    </row>
    <row r="2736" spans="1:17" ht="28.5" hidden="1" x14ac:dyDescent="0.25">
      <c r="A2736" s="60" t="str">
        <f t="shared" si="175"/>
        <v>454211,01</v>
      </c>
      <c r="B2736" s="60">
        <f>COUNTIF($J$7:J2736,J2736)</f>
        <v>454</v>
      </c>
      <c r="C2736" s="60" t="str">
        <f t="shared" si="176"/>
        <v>0</v>
      </c>
      <c r="D2736" s="60">
        <f>COUNTIF($K$7:K2736,K2736)</f>
        <v>0</v>
      </c>
      <c r="E2736" s="61"/>
      <c r="F2736" s="71">
        <v>44643</v>
      </c>
      <c r="G2736" s="229"/>
      <c r="H2736" s="73" t="s">
        <v>1548</v>
      </c>
      <c r="I2736" s="268" t="s">
        <v>32</v>
      </c>
      <c r="J2736" s="67">
        <v>211.01</v>
      </c>
      <c r="K2736" s="65"/>
      <c r="L2736" s="224"/>
      <c r="M2736" s="276">
        <v>439998</v>
      </c>
      <c r="N2736" s="276"/>
      <c r="O2736" s="61"/>
      <c r="P2736" s="69" t="str">
        <f t="shared" si="177"/>
        <v>Hutang Pajak PPN</v>
      </c>
      <c r="Q2736" s="61"/>
    </row>
    <row r="2737" spans="1:17" hidden="1" x14ac:dyDescent="0.25">
      <c r="A2737" s="60" t="str">
        <f t="shared" si="175"/>
        <v>455211,01</v>
      </c>
      <c r="B2737" s="60">
        <f>COUNTIF($J$7:J2737,J2737)</f>
        <v>455</v>
      </c>
      <c r="C2737" s="60" t="str">
        <f t="shared" si="176"/>
        <v>0</v>
      </c>
      <c r="D2737" s="60">
        <f>COUNTIF($K$7:K2737,K2737)</f>
        <v>0</v>
      </c>
      <c r="E2737" s="61"/>
      <c r="F2737" s="71">
        <v>44643</v>
      </c>
      <c r="G2737" s="229"/>
      <c r="H2737" s="73" t="s">
        <v>1549</v>
      </c>
      <c r="I2737" s="268" t="s">
        <v>72</v>
      </c>
      <c r="J2737" s="67">
        <v>211.01</v>
      </c>
      <c r="K2737" s="65"/>
      <c r="L2737" s="224"/>
      <c r="M2737" s="276">
        <v>9600000</v>
      </c>
      <c r="N2737" s="276"/>
      <c r="O2737" s="61"/>
      <c r="P2737" s="69" t="str">
        <f t="shared" si="177"/>
        <v>Hutang Pajak PPN</v>
      </c>
      <c r="Q2737" s="61"/>
    </row>
    <row r="2738" spans="1:17" hidden="1" x14ac:dyDescent="0.25">
      <c r="A2738" s="60" t="str">
        <f t="shared" si="175"/>
        <v>456211,01</v>
      </c>
      <c r="B2738" s="60">
        <f>COUNTIF($J$7:J2738,J2738)</f>
        <v>456</v>
      </c>
      <c r="C2738" s="60" t="str">
        <f t="shared" si="176"/>
        <v>0</v>
      </c>
      <c r="D2738" s="60">
        <f>COUNTIF($K$7:K2738,K2738)</f>
        <v>0</v>
      </c>
      <c r="E2738" s="61"/>
      <c r="F2738" s="71">
        <v>44644</v>
      </c>
      <c r="G2738" s="72"/>
      <c r="H2738" s="73" t="s">
        <v>1550</v>
      </c>
      <c r="I2738" s="73" t="s">
        <v>99</v>
      </c>
      <c r="J2738" s="67">
        <v>211.01</v>
      </c>
      <c r="K2738" s="65"/>
      <c r="L2738" s="224"/>
      <c r="M2738" s="223">
        <v>387500</v>
      </c>
      <c r="N2738" s="223"/>
      <c r="O2738" s="61"/>
      <c r="P2738" s="69" t="str">
        <f t="shared" si="177"/>
        <v>Hutang Pajak PPN</v>
      </c>
      <c r="Q2738" s="61"/>
    </row>
    <row r="2739" spans="1:17" hidden="1" x14ac:dyDescent="0.25">
      <c r="A2739" s="60" t="str">
        <f t="shared" si="175"/>
        <v>457211,01</v>
      </c>
      <c r="B2739" s="60">
        <f>COUNTIF($J$7:J2739,J2739)</f>
        <v>457</v>
      </c>
      <c r="C2739" s="60" t="str">
        <f t="shared" si="176"/>
        <v>0</v>
      </c>
      <c r="D2739" s="60">
        <f>COUNTIF($K$7:K2739,K2739)</f>
        <v>0</v>
      </c>
      <c r="E2739" s="61"/>
      <c r="F2739" s="71">
        <v>44644</v>
      </c>
      <c r="G2739" s="229"/>
      <c r="H2739" s="73" t="s">
        <v>1551</v>
      </c>
      <c r="I2739" s="268" t="s">
        <v>20</v>
      </c>
      <c r="J2739" s="67">
        <v>211.01</v>
      </c>
      <c r="K2739" s="65"/>
      <c r="L2739" s="224"/>
      <c r="M2739" s="276">
        <v>1641750</v>
      </c>
      <c r="N2739" s="276"/>
      <c r="O2739" s="61"/>
      <c r="P2739" s="69" t="str">
        <f t="shared" si="177"/>
        <v>Hutang Pajak PPN</v>
      </c>
      <c r="Q2739" s="61"/>
    </row>
    <row r="2740" spans="1:17" hidden="1" x14ac:dyDescent="0.25">
      <c r="A2740" s="60" t="str">
        <f t="shared" si="175"/>
        <v>458211,01</v>
      </c>
      <c r="B2740" s="60">
        <f>COUNTIF($J$7:J2740,J2740)</f>
        <v>458</v>
      </c>
      <c r="C2740" s="60" t="str">
        <f t="shared" si="176"/>
        <v>0</v>
      </c>
      <c r="D2740" s="60">
        <f>COUNTIF($K$7:K2740,K2740)</f>
        <v>0</v>
      </c>
      <c r="E2740" s="61"/>
      <c r="F2740" s="71">
        <v>44644</v>
      </c>
      <c r="G2740" s="229"/>
      <c r="H2740" s="73" t="s">
        <v>1552</v>
      </c>
      <c r="I2740" s="268" t="s">
        <v>20</v>
      </c>
      <c r="J2740" s="67">
        <v>211.01</v>
      </c>
      <c r="K2740" s="65"/>
      <c r="L2740" s="224"/>
      <c r="M2740" s="276">
        <v>82000</v>
      </c>
      <c r="N2740" s="276"/>
      <c r="O2740" s="61"/>
      <c r="P2740" s="69" t="str">
        <f t="shared" si="177"/>
        <v>Hutang Pajak PPN</v>
      </c>
      <c r="Q2740" s="61"/>
    </row>
    <row r="2741" spans="1:17" ht="28.5" hidden="1" x14ac:dyDescent="0.25">
      <c r="A2741" s="60" t="str">
        <f t="shared" si="175"/>
        <v>459211,01</v>
      </c>
      <c r="B2741" s="60">
        <f>COUNTIF($J$7:J2741,J2741)</f>
        <v>459</v>
      </c>
      <c r="C2741" s="60" t="str">
        <f t="shared" si="176"/>
        <v>0</v>
      </c>
      <c r="D2741" s="60">
        <f>COUNTIF($K$7:K2741,K2741)</f>
        <v>0</v>
      </c>
      <c r="E2741" s="61"/>
      <c r="F2741" s="71">
        <v>44644</v>
      </c>
      <c r="G2741" s="229"/>
      <c r="H2741" s="73" t="s">
        <v>1553</v>
      </c>
      <c r="I2741" s="268" t="s">
        <v>32</v>
      </c>
      <c r="J2741" s="67">
        <v>211.01</v>
      </c>
      <c r="K2741" s="65"/>
      <c r="L2741" s="224"/>
      <c r="M2741" s="276">
        <v>164999.25</v>
      </c>
      <c r="N2741" s="276"/>
      <c r="O2741" s="61"/>
      <c r="P2741" s="69" t="str">
        <f t="shared" si="177"/>
        <v>Hutang Pajak PPN</v>
      </c>
      <c r="Q2741" s="61"/>
    </row>
    <row r="2742" spans="1:17" ht="28.5" hidden="1" x14ac:dyDescent="0.25">
      <c r="A2742" s="60" t="str">
        <f t="shared" si="175"/>
        <v>460211,01</v>
      </c>
      <c r="B2742" s="60">
        <f>COUNTIF($J$7:J2742,J2742)</f>
        <v>460</v>
      </c>
      <c r="C2742" s="60" t="str">
        <f t="shared" si="176"/>
        <v>0</v>
      </c>
      <c r="D2742" s="60">
        <f>COUNTIF($K$7:K2742,K2742)</f>
        <v>0</v>
      </c>
      <c r="E2742" s="61"/>
      <c r="F2742" s="71">
        <v>44644</v>
      </c>
      <c r="G2742" s="229"/>
      <c r="H2742" s="73" t="s">
        <v>1554</v>
      </c>
      <c r="I2742" s="268" t="s">
        <v>32</v>
      </c>
      <c r="J2742" s="67">
        <v>211.01</v>
      </c>
      <c r="K2742" s="65"/>
      <c r="L2742" s="224"/>
      <c r="M2742" s="276">
        <v>54999.75</v>
      </c>
      <c r="N2742" s="276"/>
      <c r="O2742" s="61"/>
      <c r="P2742" s="69" t="str">
        <f t="shared" si="177"/>
        <v>Hutang Pajak PPN</v>
      </c>
      <c r="Q2742" s="61"/>
    </row>
    <row r="2743" spans="1:17" ht="28.5" hidden="1" x14ac:dyDescent="0.25">
      <c r="A2743" s="60" t="str">
        <f t="shared" si="175"/>
        <v>461211,01</v>
      </c>
      <c r="B2743" s="60">
        <f>COUNTIF($J$7:J2743,J2743)</f>
        <v>461</v>
      </c>
      <c r="C2743" s="60" t="str">
        <f t="shared" si="176"/>
        <v>0</v>
      </c>
      <c r="D2743" s="60">
        <f>COUNTIF($K$7:K2743,K2743)</f>
        <v>0</v>
      </c>
      <c r="E2743" s="61"/>
      <c r="F2743" s="71">
        <v>44644</v>
      </c>
      <c r="G2743" s="229"/>
      <c r="H2743" s="73" t="s">
        <v>1555</v>
      </c>
      <c r="I2743" s="268" t="s">
        <v>32</v>
      </c>
      <c r="J2743" s="67">
        <v>211.01</v>
      </c>
      <c r="K2743" s="65"/>
      <c r="L2743" s="224"/>
      <c r="M2743" s="276">
        <v>724500</v>
      </c>
      <c r="N2743" s="276"/>
      <c r="O2743" s="61"/>
      <c r="P2743" s="69" t="str">
        <f t="shared" si="177"/>
        <v>Hutang Pajak PPN</v>
      </c>
      <c r="Q2743" s="61"/>
    </row>
    <row r="2744" spans="1:17" hidden="1" x14ac:dyDescent="0.25">
      <c r="A2744" s="60" t="str">
        <f t="shared" si="175"/>
        <v>462211,01</v>
      </c>
      <c r="B2744" s="60">
        <f>COUNTIF($J$7:J2744,J2744)</f>
        <v>462</v>
      </c>
      <c r="C2744" s="60" t="str">
        <f t="shared" si="176"/>
        <v>0</v>
      </c>
      <c r="D2744" s="60">
        <f>COUNTIF($K$7:K2744,K2744)</f>
        <v>0</v>
      </c>
      <c r="E2744" s="61"/>
      <c r="F2744" s="71">
        <v>44644</v>
      </c>
      <c r="G2744" s="229"/>
      <c r="H2744" s="73" t="s">
        <v>1556</v>
      </c>
      <c r="I2744" s="268" t="s">
        <v>41</v>
      </c>
      <c r="J2744" s="67">
        <v>211.01</v>
      </c>
      <c r="K2744" s="65"/>
      <c r="L2744" s="224"/>
      <c r="M2744" s="276">
        <v>8058000</v>
      </c>
      <c r="N2744" s="276"/>
      <c r="O2744" s="61"/>
      <c r="P2744" s="69" t="str">
        <f t="shared" si="177"/>
        <v>Hutang Pajak PPN</v>
      </c>
      <c r="Q2744" s="61"/>
    </row>
    <row r="2745" spans="1:17" hidden="1" x14ac:dyDescent="0.25">
      <c r="A2745" s="60" t="str">
        <f t="shared" si="175"/>
        <v>463211,01</v>
      </c>
      <c r="B2745" s="60">
        <f>COUNTIF($J$7:J2745,J2745)</f>
        <v>463</v>
      </c>
      <c r="C2745" s="60" t="str">
        <f t="shared" si="176"/>
        <v>0</v>
      </c>
      <c r="D2745" s="60">
        <f>COUNTIF($K$7:K2745,K2745)</f>
        <v>0</v>
      </c>
      <c r="E2745" s="61"/>
      <c r="F2745" s="71">
        <v>44644</v>
      </c>
      <c r="G2745" s="229"/>
      <c r="H2745" s="73" t="s">
        <v>1557</v>
      </c>
      <c r="I2745" s="268" t="s">
        <v>48</v>
      </c>
      <c r="J2745" s="67">
        <v>211.01</v>
      </c>
      <c r="K2745" s="65"/>
      <c r="L2745" s="224"/>
      <c r="M2745" s="276">
        <v>1440000</v>
      </c>
      <c r="N2745" s="276"/>
      <c r="O2745" s="61"/>
      <c r="P2745" s="69" t="str">
        <f t="shared" si="177"/>
        <v>Hutang Pajak PPN</v>
      </c>
      <c r="Q2745" s="61"/>
    </row>
    <row r="2746" spans="1:17" hidden="1" x14ac:dyDescent="0.25">
      <c r="A2746" s="60" t="str">
        <f t="shared" si="175"/>
        <v>464211,01</v>
      </c>
      <c r="B2746" s="60">
        <f>COUNTIF($J$7:J2746,J2746)</f>
        <v>464</v>
      </c>
      <c r="C2746" s="60" t="str">
        <f t="shared" si="176"/>
        <v>0</v>
      </c>
      <c r="D2746" s="60">
        <f>COUNTIF($K$7:K2746,K2746)</f>
        <v>0</v>
      </c>
      <c r="E2746" s="61"/>
      <c r="F2746" s="71">
        <v>44645</v>
      </c>
      <c r="G2746" s="229"/>
      <c r="H2746" s="73" t="s">
        <v>1477</v>
      </c>
      <c r="I2746" s="268" t="s">
        <v>15</v>
      </c>
      <c r="J2746" s="67">
        <v>211.01</v>
      </c>
      <c r="K2746" s="65"/>
      <c r="L2746" s="224"/>
      <c r="M2746" s="277">
        <v>5818181.8181600003</v>
      </c>
      <c r="N2746" s="277"/>
      <c r="O2746" s="61"/>
      <c r="P2746" s="69" t="str">
        <f t="shared" si="177"/>
        <v>Hutang Pajak PPN</v>
      </c>
      <c r="Q2746" s="61"/>
    </row>
    <row r="2747" spans="1:17" hidden="1" x14ac:dyDescent="0.25">
      <c r="A2747" s="60" t="str">
        <f t="shared" si="175"/>
        <v>465211,01</v>
      </c>
      <c r="B2747" s="60">
        <f>COUNTIF($J$7:J2747,J2747)</f>
        <v>465</v>
      </c>
      <c r="C2747" s="60" t="str">
        <f t="shared" si="176"/>
        <v>0</v>
      </c>
      <c r="D2747" s="60">
        <f>COUNTIF($K$7:K2747,K2747)</f>
        <v>0</v>
      </c>
      <c r="E2747" s="61"/>
      <c r="F2747" s="71">
        <v>44645</v>
      </c>
      <c r="G2747" s="229"/>
      <c r="H2747" s="73" t="s">
        <v>1558</v>
      </c>
      <c r="I2747" s="268" t="s">
        <v>37</v>
      </c>
      <c r="J2747" s="67">
        <v>211.01</v>
      </c>
      <c r="K2747" s="65"/>
      <c r="L2747" s="224"/>
      <c r="M2747" s="276">
        <v>1126500</v>
      </c>
      <c r="N2747" s="276"/>
      <c r="O2747" s="61"/>
      <c r="P2747" s="69" t="str">
        <f t="shared" si="177"/>
        <v>Hutang Pajak PPN</v>
      </c>
      <c r="Q2747" s="61"/>
    </row>
    <row r="2748" spans="1:17" ht="28.5" hidden="1" x14ac:dyDescent="0.25">
      <c r="A2748" s="60" t="str">
        <f t="shared" si="175"/>
        <v>466211,01</v>
      </c>
      <c r="B2748" s="60">
        <f>COUNTIF($J$7:J2748,J2748)</f>
        <v>466</v>
      </c>
      <c r="C2748" s="60" t="str">
        <f t="shared" si="176"/>
        <v>0</v>
      </c>
      <c r="D2748" s="60">
        <f>COUNTIF($K$7:K2748,K2748)</f>
        <v>0</v>
      </c>
      <c r="E2748" s="61"/>
      <c r="F2748" s="71">
        <v>44645</v>
      </c>
      <c r="G2748" s="229"/>
      <c r="H2748" s="73" t="s">
        <v>1559</v>
      </c>
      <c r="I2748" s="268" t="s">
        <v>34</v>
      </c>
      <c r="J2748" s="67">
        <v>211.01</v>
      </c>
      <c r="K2748" s="65"/>
      <c r="L2748" s="224"/>
      <c r="M2748" s="276">
        <v>164999.25</v>
      </c>
      <c r="N2748" s="276"/>
      <c r="O2748" s="61"/>
      <c r="P2748" s="69" t="str">
        <f t="shared" si="177"/>
        <v>Hutang Pajak PPN</v>
      </c>
      <c r="Q2748" s="61"/>
    </row>
    <row r="2749" spans="1:17" hidden="1" x14ac:dyDescent="0.25">
      <c r="A2749" s="60" t="str">
        <f t="shared" si="175"/>
        <v>467211,01</v>
      </c>
      <c r="B2749" s="60">
        <f>COUNTIF($J$7:J2749,J2749)</f>
        <v>467</v>
      </c>
      <c r="C2749" s="60" t="str">
        <f t="shared" si="176"/>
        <v>0</v>
      </c>
      <c r="D2749" s="60">
        <f>COUNTIF($K$7:K2749,K2749)</f>
        <v>0</v>
      </c>
      <c r="E2749" s="61"/>
      <c r="F2749" s="71">
        <v>44648</v>
      </c>
      <c r="G2749" s="229"/>
      <c r="H2749" s="73" t="s">
        <v>1560</v>
      </c>
      <c r="I2749" s="268" t="s">
        <v>18</v>
      </c>
      <c r="J2749" s="67">
        <v>211.01</v>
      </c>
      <c r="K2749" s="65"/>
      <c r="L2749" s="224"/>
      <c r="M2749" s="276">
        <v>2478750</v>
      </c>
      <c r="N2749" s="276"/>
      <c r="O2749" s="61"/>
      <c r="P2749" s="69" t="str">
        <f t="shared" si="177"/>
        <v>Hutang Pajak PPN</v>
      </c>
      <c r="Q2749" s="61"/>
    </row>
    <row r="2750" spans="1:17" ht="28.5" hidden="1" x14ac:dyDescent="0.25">
      <c r="A2750" s="60" t="str">
        <f t="shared" si="175"/>
        <v>468211,01</v>
      </c>
      <c r="B2750" s="60">
        <f>COUNTIF($J$7:J2750,J2750)</f>
        <v>468</v>
      </c>
      <c r="C2750" s="60" t="str">
        <f t="shared" si="176"/>
        <v>0</v>
      </c>
      <c r="D2750" s="60">
        <f>COUNTIF($K$7:K2750,K2750)</f>
        <v>0</v>
      </c>
      <c r="E2750" s="61"/>
      <c r="F2750" s="71">
        <v>44648</v>
      </c>
      <c r="G2750" s="229"/>
      <c r="H2750" s="73" t="s">
        <v>1561</v>
      </c>
      <c r="I2750" s="268" t="s">
        <v>34</v>
      </c>
      <c r="J2750" s="67">
        <v>211.01</v>
      </c>
      <c r="K2750" s="65"/>
      <c r="L2750" s="224"/>
      <c r="M2750" s="276">
        <v>164999.25</v>
      </c>
      <c r="N2750" s="276"/>
      <c r="O2750" s="61"/>
      <c r="P2750" s="69" t="str">
        <f t="shared" si="177"/>
        <v>Hutang Pajak PPN</v>
      </c>
      <c r="Q2750" s="61"/>
    </row>
    <row r="2751" spans="1:17" hidden="1" x14ac:dyDescent="0.25">
      <c r="A2751" s="60" t="str">
        <f t="shared" si="175"/>
        <v>469211,01</v>
      </c>
      <c r="B2751" s="60">
        <f>COUNTIF($J$7:J2751,J2751)</f>
        <v>469</v>
      </c>
      <c r="C2751" s="60" t="str">
        <f t="shared" si="176"/>
        <v>0</v>
      </c>
      <c r="D2751" s="60">
        <f>COUNTIF($K$7:K2751,K2751)</f>
        <v>0</v>
      </c>
      <c r="E2751" s="61"/>
      <c r="F2751" s="71">
        <v>44649</v>
      </c>
      <c r="G2751" s="229"/>
      <c r="H2751" s="73" t="s">
        <v>1566</v>
      </c>
      <c r="I2751" s="268" t="s">
        <v>26</v>
      </c>
      <c r="J2751" s="67">
        <v>211.01</v>
      </c>
      <c r="K2751" s="65"/>
      <c r="L2751" s="224"/>
      <c r="M2751" s="276">
        <v>982500</v>
      </c>
      <c r="N2751" s="276"/>
      <c r="O2751" s="61"/>
      <c r="P2751" s="69" t="str">
        <f t="shared" si="177"/>
        <v>Hutang Pajak PPN</v>
      </c>
      <c r="Q2751" s="61"/>
    </row>
    <row r="2752" spans="1:17" ht="28.5" hidden="1" x14ac:dyDescent="0.25">
      <c r="A2752" s="60" t="str">
        <f t="shared" si="175"/>
        <v>470211,01</v>
      </c>
      <c r="B2752" s="60">
        <f>COUNTIF($J$7:J2752,J2752)</f>
        <v>470</v>
      </c>
      <c r="C2752" s="60" t="str">
        <f t="shared" si="176"/>
        <v>0</v>
      </c>
      <c r="D2752" s="60">
        <f>COUNTIF($K$7:K2752,K2752)</f>
        <v>0</v>
      </c>
      <c r="E2752" s="61"/>
      <c r="F2752" s="71">
        <v>44650</v>
      </c>
      <c r="G2752" s="229"/>
      <c r="H2752" s="73" t="s">
        <v>1567</v>
      </c>
      <c r="I2752" s="268" t="s">
        <v>32</v>
      </c>
      <c r="J2752" s="67">
        <v>211.01</v>
      </c>
      <c r="K2752" s="65"/>
      <c r="L2752" s="224"/>
      <c r="M2752" s="276">
        <v>506000</v>
      </c>
      <c r="N2752" s="276"/>
      <c r="O2752" s="61"/>
      <c r="P2752" s="69" t="str">
        <f t="shared" si="177"/>
        <v>Hutang Pajak PPN</v>
      </c>
      <c r="Q2752" s="61"/>
    </row>
    <row r="2753" spans="1:17" hidden="1" x14ac:dyDescent="0.25">
      <c r="A2753" s="60" t="str">
        <f t="shared" si="175"/>
        <v>471211,01</v>
      </c>
      <c r="B2753" s="60">
        <f>COUNTIF($J$7:J2753,J2753)</f>
        <v>471</v>
      </c>
      <c r="C2753" s="60" t="str">
        <f t="shared" si="176"/>
        <v>0</v>
      </c>
      <c r="D2753" s="60">
        <f>COUNTIF($K$7:K2753,K2753)</f>
        <v>0</v>
      </c>
      <c r="E2753" s="61"/>
      <c r="F2753" s="71">
        <v>44650</v>
      </c>
      <c r="G2753" s="229"/>
      <c r="H2753" s="73" t="s">
        <v>1568</v>
      </c>
      <c r="I2753" s="268" t="s">
        <v>831</v>
      </c>
      <c r="J2753" s="67">
        <v>211.01</v>
      </c>
      <c r="K2753" s="65"/>
      <c r="L2753" s="224"/>
      <c r="M2753" s="276">
        <v>165000</v>
      </c>
      <c r="N2753" s="276"/>
      <c r="O2753" s="61"/>
      <c r="P2753" s="69" t="str">
        <f t="shared" si="177"/>
        <v>Hutang Pajak PPN</v>
      </c>
      <c r="Q2753" s="61"/>
    </row>
    <row r="2754" spans="1:17" hidden="1" x14ac:dyDescent="0.25">
      <c r="A2754" s="60" t="str">
        <f t="shared" si="175"/>
        <v>472211,01</v>
      </c>
      <c r="B2754" s="60">
        <f>COUNTIF($J$7:J2754,J2754)</f>
        <v>472</v>
      </c>
      <c r="C2754" s="60" t="str">
        <f t="shared" si="176"/>
        <v>0</v>
      </c>
      <c r="D2754" s="60">
        <f>COUNTIF($K$7:K2754,K2754)</f>
        <v>0</v>
      </c>
      <c r="E2754" s="61"/>
      <c r="F2754" s="71">
        <v>44649</v>
      </c>
      <c r="G2754" s="229"/>
      <c r="H2754" s="73" t="s">
        <v>1562</v>
      </c>
      <c r="I2754" s="268" t="s">
        <v>18</v>
      </c>
      <c r="J2754" s="67">
        <v>211.01</v>
      </c>
      <c r="K2754" s="65"/>
      <c r="L2754" s="224"/>
      <c r="M2754" s="276">
        <v>1689750</v>
      </c>
      <c r="N2754" s="276"/>
      <c r="O2754" s="61"/>
      <c r="P2754" s="69" t="str">
        <f t="shared" si="177"/>
        <v>Hutang Pajak PPN</v>
      </c>
      <c r="Q2754" s="61"/>
    </row>
    <row r="2755" spans="1:17" hidden="1" x14ac:dyDescent="0.25">
      <c r="A2755" s="60" t="str">
        <f t="shared" si="175"/>
        <v>473211,01</v>
      </c>
      <c r="B2755" s="60">
        <f>COUNTIF($J$7:J2755,J2755)</f>
        <v>473</v>
      </c>
      <c r="C2755" s="60" t="str">
        <f t="shared" si="176"/>
        <v>0</v>
      </c>
      <c r="D2755" s="60">
        <f>COUNTIF($K$7:K2755,K2755)</f>
        <v>0</v>
      </c>
      <c r="E2755" s="61"/>
      <c r="F2755" s="71">
        <v>44649</v>
      </c>
      <c r="G2755" s="229"/>
      <c r="H2755" s="73" t="s">
        <v>1563</v>
      </c>
      <c r="I2755" s="268" t="s">
        <v>18</v>
      </c>
      <c r="J2755" s="67">
        <v>211.01</v>
      </c>
      <c r="K2755" s="65"/>
      <c r="L2755" s="224"/>
      <c r="M2755" s="276">
        <v>1971750</v>
      </c>
      <c r="N2755" s="276"/>
      <c r="O2755" s="61"/>
      <c r="P2755" s="69" t="str">
        <f t="shared" si="177"/>
        <v>Hutang Pajak PPN</v>
      </c>
      <c r="Q2755" s="61"/>
    </row>
    <row r="2756" spans="1:17" ht="28.5" hidden="1" x14ac:dyDescent="0.25">
      <c r="A2756" s="60" t="str">
        <f t="shared" si="175"/>
        <v>474211,01</v>
      </c>
      <c r="B2756" s="60">
        <f>COUNTIF($J$7:J2756,J2756)</f>
        <v>474</v>
      </c>
      <c r="C2756" s="60" t="str">
        <f t="shared" si="176"/>
        <v>0</v>
      </c>
      <c r="D2756" s="60">
        <f>COUNTIF($K$7:K2756,K2756)</f>
        <v>0</v>
      </c>
      <c r="E2756" s="61"/>
      <c r="F2756" s="71">
        <v>44649</v>
      </c>
      <c r="G2756" s="229"/>
      <c r="H2756" s="73" t="s">
        <v>1569</v>
      </c>
      <c r="I2756" s="268" t="s">
        <v>34</v>
      </c>
      <c r="J2756" s="67">
        <v>211.01</v>
      </c>
      <c r="K2756" s="65"/>
      <c r="L2756" s="224"/>
      <c r="M2756" s="276">
        <v>384998.25</v>
      </c>
      <c r="N2756" s="276"/>
      <c r="O2756" s="61"/>
      <c r="P2756" s="69" t="str">
        <f t="shared" si="177"/>
        <v>Hutang Pajak PPN</v>
      </c>
      <c r="Q2756" s="61"/>
    </row>
    <row r="2757" spans="1:17" hidden="1" x14ac:dyDescent="0.25">
      <c r="A2757" s="60" t="str">
        <f t="shared" si="175"/>
        <v>475211,01</v>
      </c>
      <c r="B2757" s="60">
        <f>COUNTIF($J$7:J2757,J2757)</f>
        <v>475</v>
      </c>
      <c r="C2757" s="60" t="str">
        <f t="shared" si="176"/>
        <v>0</v>
      </c>
      <c r="D2757" s="60">
        <f>COUNTIF($K$7:K2757,K2757)</f>
        <v>0</v>
      </c>
      <c r="E2757" s="61"/>
      <c r="F2757" s="71">
        <v>44649</v>
      </c>
      <c r="G2757" s="229"/>
      <c r="H2757" s="73" t="s">
        <v>1564</v>
      </c>
      <c r="I2757" s="268" t="s">
        <v>37</v>
      </c>
      <c r="J2757" s="67">
        <v>211.01</v>
      </c>
      <c r="K2757" s="65"/>
      <c r="L2757" s="224"/>
      <c r="M2757" s="276">
        <v>1602000</v>
      </c>
      <c r="N2757" s="276"/>
      <c r="O2757" s="61"/>
      <c r="P2757" s="69" t="str">
        <f t="shared" si="177"/>
        <v>Hutang Pajak PPN</v>
      </c>
      <c r="Q2757" s="61"/>
    </row>
    <row r="2758" spans="1:17" hidden="1" x14ac:dyDescent="0.25">
      <c r="A2758" s="60" t="str">
        <f t="shared" si="175"/>
        <v>476211,01</v>
      </c>
      <c r="B2758" s="60">
        <f>COUNTIF($J$7:J2758,J2758)</f>
        <v>476</v>
      </c>
      <c r="C2758" s="60" t="str">
        <f t="shared" si="176"/>
        <v>0</v>
      </c>
      <c r="D2758" s="60">
        <f>COUNTIF($K$7:K2758,K2758)</f>
        <v>0</v>
      </c>
      <c r="E2758" s="61"/>
      <c r="F2758" s="71">
        <v>44649</v>
      </c>
      <c r="G2758" s="229"/>
      <c r="H2758" s="73" t="s">
        <v>1565</v>
      </c>
      <c r="I2758" s="268" t="s">
        <v>37</v>
      </c>
      <c r="J2758" s="67">
        <v>211.01</v>
      </c>
      <c r="K2758" s="65"/>
      <c r="L2758" s="224"/>
      <c r="M2758" s="276">
        <v>787500</v>
      </c>
      <c r="N2758" s="276"/>
      <c r="O2758" s="61"/>
      <c r="P2758" s="69" t="str">
        <f t="shared" si="177"/>
        <v>Hutang Pajak PPN</v>
      </c>
      <c r="Q2758" s="61"/>
    </row>
    <row r="2759" spans="1:17" hidden="1" x14ac:dyDescent="0.25">
      <c r="A2759" s="60" t="str">
        <f t="shared" ref="A2759:A2822" si="178">B2759&amp;J2759</f>
        <v>477211,01</v>
      </c>
      <c r="B2759" s="60">
        <f>COUNTIF($J$7:J2759,J2759)</f>
        <v>477</v>
      </c>
      <c r="C2759" s="60" t="str">
        <f t="shared" ref="C2759:C2822" si="179">D2759&amp;K2759</f>
        <v>0</v>
      </c>
      <c r="D2759" s="60">
        <f>COUNTIF($K$7:K2759,K2759)</f>
        <v>0</v>
      </c>
      <c r="E2759" s="61"/>
      <c r="F2759" s="71">
        <v>44650</v>
      </c>
      <c r="G2759" s="278"/>
      <c r="H2759" s="73" t="s">
        <v>1570</v>
      </c>
      <c r="I2759" s="268" t="s">
        <v>1571</v>
      </c>
      <c r="J2759" s="67">
        <v>211.01</v>
      </c>
      <c r="K2759" s="65"/>
      <c r="L2759" s="224"/>
      <c r="M2759" s="276">
        <v>180000</v>
      </c>
      <c r="N2759" s="276"/>
      <c r="O2759" s="61"/>
      <c r="P2759" s="69" t="str">
        <f t="shared" ref="P2759:P2822" si="180">IF(J2759=0,"-",+VLOOKUP(J2759,DAF_AKUN,2,FALSE))</f>
        <v>Hutang Pajak PPN</v>
      </c>
      <c r="Q2759" s="61"/>
    </row>
    <row r="2760" spans="1:17" ht="28.5" hidden="1" x14ac:dyDescent="0.25">
      <c r="A2760" s="60" t="str">
        <f t="shared" si="178"/>
        <v>478211,01</v>
      </c>
      <c r="B2760" s="60">
        <f>COUNTIF($J$7:J2760,J2760)</f>
        <v>478</v>
      </c>
      <c r="C2760" s="60" t="str">
        <f t="shared" si="179"/>
        <v>0</v>
      </c>
      <c r="D2760" s="60">
        <f>COUNTIF($K$7:K2760,K2760)</f>
        <v>0</v>
      </c>
      <c r="E2760" s="61"/>
      <c r="F2760" s="71">
        <v>44650</v>
      </c>
      <c r="G2760" s="278"/>
      <c r="H2760" s="73" t="s">
        <v>1572</v>
      </c>
      <c r="I2760" s="268" t="s">
        <v>28</v>
      </c>
      <c r="J2760" s="67">
        <v>211.01</v>
      </c>
      <c r="K2760" s="65"/>
      <c r="L2760" s="224"/>
      <c r="M2760" s="276">
        <v>180000</v>
      </c>
      <c r="N2760" s="276"/>
      <c r="O2760" s="61"/>
      <c r="P2760" s="69" t="str">
        <f t="shared" si="180"/>
        <v>Hutang Pajak PPN</v>
      </c>
      <c r="Q2760" s="61"/>
    </row>
    <row r="2761" spans="1:17" hidden="1" x14ac:dyDescent="0.25">
      <c r="A2761" s="60" t="str">
        <f t="shared" si="178"/>
        <v>479211,01</v>
      </c>
      <c r="B2761" s="60">
        <f>COUNTIF($J$7:J2761,J2761)</f>
        <v>479</v>
      </c>
      <c r="C2761" s="60" t="str">
        <f t="shared" si="179"/>
        <v>0</v>
      </c>
      <c r="D2761" s="60">
        <f>COUNTIF($K$7:K2761,K2761)</f>
        <v>0</v>
      </c>
      <c r="E2761" s="61"/>
      <c r="F2761" s="71">
        <v>44651</v>
      </c>
      <c r="G2761" s="266"/>
      <c r="H2761" s="73" t="s">
        <v>1574</v>
      </c>
      <c r="I2761" s="268" t="s">
        <v>58</v>
      </c>
      <c r="J2761" s="67">
        <v>211.01</v>
      </c>
      <c r="K2761" s="65"/>
      <c r="L2761" s="224"/>
      <c r="M2761" s="276">
        <v>175000</v>
      </c>
      <c r="N2761" s="276"/>
      <c r="O2761" s="61"/>
      <c r="P2761" s="69" t="str">
        <f t="shared" si="180"/>
        <v>Hutang Pajak PPN</v>
      </c>
      <c r="Q2761" s="61"/>
    </row>
    <row r="2762" spans="1:17" hidden="1" x14ac:dyDescent="0.25">
      <c r="A2762" s="60" t="str">
        <f t="shared" si="178"/>
        <v>480211,01</v>
      </c>
      <c r="B2762" s="60">
        <f>COUNTIF($J$7:J2762,J2762)</f>
        <v>480</v>
      </c>
      <c r="C2762" s="60" t="str">
        <f t="shared" si="179"/>
        <v>0</v>
      </c>
      <c r="D2762" s="60">
        <f>COUNTIF($K$7:K2762,K2762)</f>
        <v>0</v>
      </c>
      <c r="E2762" s="61"/>
      <c r="F2762" s="71">
        <v>44651</v>
      </c>
      <c r="G2762" s="266"/>
      <c r="H2762" s="73" t="s">
        <v>1575</v>
      </c>
      <c r="I2762" s="268" t="s">
        <v>58</v>
      </c>
      <c r="J2762" s="67">
        <v>211.01</v>
      </c>
      <c r="K2762" s="65"/>
      <c r="L2762" s="224"/>
      <c r="M2762" s="276">
        <v>175000</v>
      </c>
      <c r="N2762" s="276"/>
      <c r="O2762" s="61"/>
      <c r="P2762" s="69" t="str">
        <f t="shared" si="180"/>
        <v>Hutang Pajak PPN</v>
      </c>
      <c r="Q2762" s="61"/>
    </row>
    <row r="2763" spans="1:17" hidden="1" x14ac:dyDescent="0.25">
      <c r="A2763" s="60" t="str">
        <f t="shared" si="178"/>
        <v>481211,01</v>
      </c>
      <c r="B2763" s="60">
        <f>COUNTIF($J$7:J2763,J2763)</f>
        <v>481</v>
      </c>
      <c r="C2763" s="60" t="str">
        <f t="shared" si="179"/>
        <v>0</v>
      </c>
      <c r="D2763" s="60">
        <f>COUNTIF($K$7:K2763,K2763)</f>
        <v>0</v>
      </c>
      <c r="E2763" s="61"/>
      <c r="F2763" s="71">
        <v>44650</v>
      </c>
      <c r="G2763" s="266"/>
      <c r="H2763" s="73" t="s">
        <v>1573</v>
      </c>
      <c r="I2763" s="268" t="s">
        <v>18</v>
      </c>
      <c r="J2763" s="67">
        <v>211.01</v>
      </c>
      <c r="K2763" s="65"/>
      <c r="L2763" s="224"/>
      <c r="M2763" s="276">
        <v>1522500</v>
      </c>
      <c r="N2763" s="276"/>
      <c r="O2763" s="61"/>
      <c r="P2763" s="69" t="str">
        <f t="shared" si="180"/>
        <v>Hutang Pajak PPN</v>
      </c>
      <c r="Q2763" s="61"/>
    </row>
    <row r="2764" spans="1:17" hidden="1" x14ac:dyDescent="0.25">
      <c r="A2764" s="60" t="str">
        <f t="shared" si="178"/>
        <v>482211,01</v>
      </c>
      <c r="B2764" s="60">
        <f>COUNTIF($J$7:J2764,J2764)</f>
        <v>482</v>
      </c>
      <c r="C2764" s="60" t="str">
        <f t="shared" si="179"/>
        <v>0</v>
      </c>
      <c r="D2764" s="60">
        <f>COUNTIF($K$7:K2764,K2764)</f>
        <v>0</v>
      </c>
      <c r="E2764" s="61"/>
      <c r="F2764" s="71">
        <v>44651</v>
      </c>
      <c r="G2764" s="266"/>
      <c r="H2764" s="73" t="s">
        <v>1576</v>
      </c>
      <c r="I2764" s="268" t="s">
        <v>37</v>
      </c>
      <c r="J2764" s="67">
        <v>211.01</v>
      </c>
      <c r="K2764" s="65"/>
      <c r="L2764" s="224"/>
      <c r="M2764" s="276">
        <v>2012500</v>
      </c>
      <c r="N2764" s="276"/>
      <c r="O2764" s="61"/>
      <c r="P2764" s="69" t="str">
        <f t="shared" si="180"/>
        <v>Hutang Pajak PPN</v>
      </c>
      <c r="Q2764" s="61"/>
    </row>
    <row r="2765" spans="1:17" ht="28.5" hidden="1" x14ac:dyDescent="0.25">
      <c r="A2765" s="60" t="str">
        <f t="shared" si="178"/>
        <v>483211,01</v>
      </c>
      <c r="B2765" s="60">
        <f>COUNTIF($J$7:J2765,J2765)</f>
        <v>483</v>
      </c>
      <c r="C2765" s="60" t="str">
        <f t="shared" si="179"/>
        <v>0</v>
      </c>
      <c r="D2765" s="60">
        <f>COUNTIF($K$7:K2765,K2765)</f>
        <v>0</v>
      </c>
      <c r="E2765" s="61"/>
      <c r="F2765" s="71">
        <v>44651</v>
      </c>
      <c r="G2765" s="266"/>
      <c r="H2765" s="73" t="s">
        <v>1577</v>
      </c>
      <c r="I2765" s="268" t="s">
        <v>28</v>
      </c>
      <c r="J2765" s="67">
        <v>211.01</v>
      </c>
      <c r="K2765" s="65"/>
      <c r="L2765" s="224"/>
      <c r="M2765" s="276">
        <v>1140000</v>
      </c>
      <c r="N2765" s="276"/>
      <c r="O2765" s="61"/>
      <c r="P2765" s="69" t="str">
        <f t="shared" si="180"/>
        <v>Hutang Pajak PPN</v>
      </c>
      <c r="Q2765" s="61"/>
    </row>
    <row r="2766" spans="1:17" hidden="1" x14ac:dyDescent="0.25">
      <c r="A2766" s="60" t="str">
        <f t="shared" si="178"/>
        <v>484211,01</v>
      </c>
      <c r="B2766" s="60">
        <f>COUNTIF($J$7:J2766,J2766)</f>
        <v>484</v>
      </c>
      <c r="C2766" s="60" t="str">
        <f t="shared" si="179"/>
        <v>0</v>
      </c>
      <c r="D2766" s="60">
        <f>COUNTIF($K$7:K2766,K2766)</f>
        <v>0</v>
      </c>
      <c r="E2766" s="61"/>
      <c r="F2766" s="271">
        <v>44650</v>
      </c>
      <c r="G2766" s="266"/>
      <c r="H2766" s="273" t="s">
        <v>1578</v>
      </c>
      <c r="I2766" s="274" t="s">
        <v>1579</v>
      </c>
      <c r="J2766" s="67">
        <v>211.01</v>
      </c>
      <c r="K2766" s="65"/>
      <c r="L2766" s="224"/>
      <c r="M2766" s="276">
        <v>24750000</v>
      </c>
      <c r="N2766" s="276"/>
      <c r="O2766" s="61"/>
      <c r="P2766" s="69" t="str">
        <f t="shared" si="180"/>
        <v>Hutang Pajak PPN</v>
      </c>
      <c r="Q2766" s="61"/>
    </row>
    <row r="2767" spans="1:17" hidden="1" x14ac:dyDescent="0.25">
      <c r="A2767" s="60" t="str">
        <f t="shared" si="178"/>
        <v>485211,01</v>
      </c>
      <c r="B2767" s="60">
        <f>COUNTIF($J$7:J2767,J2767)</f>
        <v>485</v>
      </c>
      <c r="C2767" s="60" t="str">
        <f t="shared" si="179"/>
        <v>0</v>
      </c>
      <c r="D2767" s="60">
        <f>COUNTIF($K$7:K2767,K2767)</f>
        <v>0</v>
      </c>
      <c r="E2767" s="61"/>
      <c r="F2767" s="271">
        <v>44651</v>
      </c>
      <c r="G2767" s="266"/>
      <c r="H2767" s="273" t="s">
        <v>1580</v>
      </c>
      <c r="I2767" s="274" t="s">
        <v>1581</v>
      </c>
      <c r="J2767" s="67">
        <v>211.01</v>
      </c>
      <c r="K2767" s="65"/>
      <c r="L2767" s="224"/>
      <c r="M2767" s="276">
        <v>262500</v>
      </c>
      <c r="N2767" s="276"/>
      <c r="O2767" s="61"/>
      <c r="P2767" s="69" t="str">
        <f t="shared" si="180"/>
        <v>Hutang Pajak PPN</v>
      </c>
      <c r="Q2767" s="61"/>
    </row>
    <row r="2768" spans="1:17" hidden="1" x14ac:dyDescent="0.25">
      <c r="A2768" s="60" t="str">
        <f t="shared" si="178"/>
        <v>101410,03</v>
      </c>
      <c r="B2768" s="60">
        <f>COUNTIF($J$7:J2768,J2768)</f>
        <v>101</v>
      </c>
      <c r="C2768" s="60" t="str">
        <f t="shared" si="179"/>
        <v>0</v>
      </c>
      <c r="D2768" s="60">
        <f>COUNTIF($K$7:K2768,K2768)</f>
        <v>0</v>
      </c>
      <c r="E2768" s="61"/>
      <c r="F2768" s="71">
        <v>44621</v>
      </c>
      <c r="G2768" s="266"/>
      <c r="H2768" s="73" t="s">
        <v>1460</v>
      </c>
      <c r="I2768" s="73" t="s">
        <v>44</v>
      </c>
      <c r="J2768" s="64">
        <v>410.03</v>
      </c>
      <c r="K2768" s="65"/>
      <c r="L2768" s="224"/>
      <c r="M2768" s="98">
        <v>6109090.9091100004</v>
      </c>
      <c r="N2768" s="98"/>
      <c r="O2768" s="61"/>
      <c r="P2768" s="69" t="str">
        <f t="shared" si="180"/>
        <v>Penjualan Exam</v>
      </c>
      <c r="Q2768" s="61"/>
    </row>
    <row r="2769" spans="1:17" hidden="1" x14ac:dyDescent="0.25">
      <c r="A2769" s="60" t="str">
        <f t="shared" si="178"/>
        <v>102410,03</v>
      </c>
      <c r="B2769" s="60">
        <f>COUNTIF($J$7:J2769,J2769)</f>
        <v>102</v>
      </c>
      <c r="C2769" s="60" t="str">
        <f t="shared" si="179"/>
        <v>0</v>
      </c>
      <c r="D2769" s="60">
        <f>COUNTIF($K$7:K2769,K2769)</f>
        <v>0</v>
      </c>
      <c r="E2769" s="61"/>
      <c r="F2769" s="71">
        <v>44621</v>
      </c>
      <c r="G2769" s="266"/>
      <c r="H2769" s="73" t="s">
        <v>1461</v>
      </c>
      <c r="I2769" s="73" t="s">
        <v>18</v>
      </c>
      <c r="J2769" s="64">
        <v>410.03</v>
      </c>
      <c r="K2769" s="65"/>
      <c r="L2769" s="224"/>
      <c r="M2769" s="98">
        <v>41000000</v>
      </c>
      <c r="N2769" s="98"/>
      <c r="O2769" s="61"/>
      <c r="P2769" s="69" t="str">
        <f t="shared" si="180"/>
        <v>Penjualan Exam</v>
      </c>
      <c r="Q2769" s="61"/>
    </row>
    <row r="2770" spans="1:17" hidden="1" x14ac:dyDescent="0.25">
      <c r="A2770" s="60" t="str">
        <f t="shared" si="178"/>
        <v>248410,01</v>
      </c>
      <c r="B2770" s="60">
        <f>COUNTIF($J$7:J2770,J2770)</f>
        <v>248</v>
      </c>
      <c r="C2770" s="60" t="str">
        <f t="shared" si="179"/>
        <v>0</v>
      </c>
      <c r="D2770" s="60">
        <f>COUNTIF($K$7:K2770,K2770)</f>
        <v>0</v>
      </c>
      <c r="E2770" s="61"/>
      <c r="F2770" s="71">
        <v>44621</v>
      </c>
      <c r="G2770" s="266"/>
      <c r="H2770" s="73" t="s">
        <v>1462</v>
      </c>
      <c r="I2770" s="73" t="s">
        <v>18</v>
      </c>
      <c r="J2770" s="64">
        <v>410.01</v>
      </c>
      <c r="K2770" s="65"/>
      <c r="L2770" s="224"/>
      <c r="M2770" s="98">
        <v>16747500</v>
      </c>
      <c r="N2770" s="98"/>
      <c r="O2770" s="61"/>
      <c r="P2770" s="69" t="str">
        <f t="shared" si="180"/>
        <v>Penjualan Intouch</v>
      </c>
      <c r="Q2770" s="61"/>
    </row>
    <row r="2771" spans="1:17" hidden="1" x14ac:dyDescent="0.25">
      <c r="A2771" s="60" t="str">
        <f t="shared" si="178"/>
        <v>103410,03</v>
      </c>
      <c r="B2771" s="60">
        <f>COUNTIF($J$7:J2771,J2771)</f>
        <v>103</v>
      </c>
      <c r="C2771" s="60" t="str">
        <f t="shared" si="179"/>
        <v>0</v>
      </c>
      <c r="D2771" s="60">
        <f>COUNTIF($K$7:K2771,K2771)</f>
        <v>0</v>
      </c>
      <c r="E2771" s="61"/>
      <c r="F2771" s="71">
        <v>44621</v>
      </c>
      <c r="G2771" s="266"/>
      <c r="H2771" s="73" t="s">
        <v>1463</v>
      </c>
      <c r="I2771" s="73" t="s">
        <v>18</v>
      </c>
      <c r="J2771" s="64">
        <v>410.03</v>
      </c>
      <c r="K2771" s="65"/>
      <c r="L2771" s="224"/>
      <c r="M2771" s="98">
        <v>2745000</v>
      </c>
      <c r="N2771" s="98"/>
      <c r="O2771" s="61"/>
      <c r="P2771" s="69" t="str">
        <f t="shared" si="180"/>
        <v>Penjualan Exam</v>
      </c>
      <c r="Q2771" s="61"/>
    </row>
    <row r="2772" spans="1:17" hidden="1" x14ac:dyDescent="0.25">
      <c r="A2772" s="60" t="str">
        <f t="shared" si="178"/>
        <v>249410,01</v>
      </c>
      <c r="B2772" s="60">
        <f>COUNTIF($J$7:J2772,J2772)</f>
        <v>249</v>
      </c>
      <c r="C2772" s="60" t="str">
        <f t="shared" si="179"/>
        <v>0</v>
      </c>
      <c r="D2772" s="60">
        <f>COUNTIF($K$7:K2772,K2772)</f>
        <v>0</v>
      </c>
      <c r="E2772" s="61"/>
      <c r="F2772" s="71">
        <v>44621</v>
      </c>
      <c r="G2772" s="266"/>
      <c r="H2772" s="73" t="s">
        <v>1464</v>
      </c>
      <c r="I2772" s="73" t="s">
        <v>20</v>
      </c>
      <c r="J2772" s="64">
        <v>410.01</v>
      </c>
      <c r="K2772" s="65"/>
      <c r="L2772" s="224"/>
      <c r="M2772" s="98">
        <v>3540000</v>
      </c>
      <c r="N2772" s="98"/>
      <c r="O2772" s="61"/>
      <c r="P2772" s="69" t="str">
        <f t="shared" si="180"/>
        <v>Penjualan Intouch</v>
      </c>
      <c r="Q2772" s="61"/>
    </row>
    <row r="2773" spans="1:17" hidden="1" x14ac:dyDescent="0.25">
      <c r="A2773" s="60" t="str">
        <f t="shared" si="178"/>
        <v>104410,03</v>
      </c>
      <c r="B2773" s="60">
        <f>COUNTIF($J$7:J2773,J2773)</f>
        <v>104</v>
      </c>
      <c r="C2773" s="60" t="str">
        <f t="shared" si="179"/>
        <v>0</v>
      </c>
      <c r="D2773" s="60">
        <f>COUNTIF($K$7:K2773,K2773)</f>
        <v>0</v>
      </c>
      <c r="E2773" s="61"/>
      <c r="F2773" s="71">
        <v>44621</v>
      </c>
      <c r="G2773" s="266"/>
      <c r="H2773" s="73" t="s">
        <v>1465</v>
      </c>
      <c r="I2773" s="73" t="s">
        <v>20</v>
      </c>
      <c r="J2773" s="64">
        <v>410.03</v>
      </c>
      <c r="K2773" s="65"/>
      <c r="L2773" s="224"/>
      <c r="M2773" s="98">
        <v>2460000</v>
      </c>
      <c r="N2773" s="98"/>
      <c r="O2773" s="61"/>
      <c r="P2773" s="69" t="str">
        <f t="shared" si="180"/>
        <v>Penjualan Exam</v>
      </c>
      <c r="Q2773" s="61"/>
    </row>
    <row r="2774" spans="1:17" hidden="1" x14ac:dyDescent="0.25">
      <c r="A2774" s="60" t="str">
        <f t="shared" si="178"/>
        <v>105410,03</v>
      </c>
      <c r="B2774" s="60">
        <f>COUNTIF($J$7:J2774,J2774)</f>
        <v>105</v>
      </c>
      <c r="C2774" s="60" t="str">
        <f t="shared" si="179"/>
        <v>0</v>
      </c>
      <c r="D2774" s="60">
        <f>COUNTIF($K$7:K2774,K2774)</f>
        <v>0</v>
      </c>
      <c r="E2774" s="61"/>
      <c r="F2774" s="71">
        <v>44621</v>
      </c>
      <c r="G2774" s="266"/>
      <c r="H2774" s="73" t="s">
        <v>1466</v>
      </c>
      <c r="I2774" s="73" t="s">
        <v>37</v>
      </c>
      <c r="J2774" s="64">
        <v>410.03</v>
      </c>
      <c r="K2774" s="65"/>
      <c r="L2774" s="224"/>
      <c r="M2774" s="98">
        <v>15750000</v>
      </c>
      <c r="N2774" s="98"/>
      <c r="O2774" s="61"/>
      <c r="P2774" s="69" t="str">
        <f t="shared" si="180"/>
        <v>Penjualan Exam</v>
      </c>
      <c r="Q2774" s="61"/>
    </row>
    <row r="2775" spans="1:17" hidden="1" x14ac:dyDescent="0.25">
      <c r="A2775" s="60" t="str">
        <f t="shared" si="178"/>
        <v>250410,01</v>
      </c>
      <c r="B2775" s="60">
        <f>COUNTIF($J$7:J2775,J2775)</f>
        <v>250</v>
      </c>
      <c r="C2775" s="60" t="str">
        <f t="shared" si="179"/>
        <v>0</v>
      </c>
      <c r="D2775" s="60">
        <f>COUNTIF($K$7:K2775,K2775)</f>
        <v>0</v>
      </c>
      <c r="E2775" s="61"/>
      <c r="F2775" s="71">
        <v>44621</v>
      </c>
      <c r="G2775" s="266"/>
      <c r="H2775" s="73" t="s">
        <v>1467</v>
      </c>
      <c r="I2775" s="73" t="s">
        <v>122</v>
      </c>
      <c r="J2775" s="64">
        <v>410.01</v>
      </c>
      <c r="K2775" s="65"/>
      <c r="L2775" s="224"/>
      <c r="M2775" s="98">
        <v>5840000</v>
      </c>
      <c r="N2775" s="98"/>
      <c r="O2775" s="61"/>
      <c r="P2775" s="69" t="str">
        <f t="shared" si="180"/>
        <v>Penjualan Intouch</v>
      </c>
      <c r="Q2775" s="61"/>
    </row>
    <row r="2776" spans="1:17" hidden="1" x14ac:dyDescent="0.25">
      <c r="A2776" s="60" t="str">
        <f t="shared" si="178"/>
        <v>251410,01</v>
      </c>
      <c r="B2776" s="60">
        <f>COUNTIF($J$7:J2776,J2776)</f>
        <v>251</v>
      </c>
      <c r="C2776" s="60" t="str">
        <f t="shared" si="179"/>
        <v>0</v>
      </c>
      <c r="D2776" s="60">
        <f>COUNTIF($K$7:K2776,K2776)</f>
        <v>0</v>
      </c>
      <c r="E2776" s="61"/>
      <c r="F2776" s="71">
        <v>44622</v>
      </c>
      <c r="G2776" s="266"/>
      <c r="H2776" s="73" t="s">
        <v>1468</v>
      </c>
      <c r="I2776" s="73" t="s">
        <v>20</v>
      </c>
      <c r="J2776" s="64">
        <v>410.01</v>
      </c>
      <c r="K2776" s="65"/>
      <c r="L2776" s="224"/>
      <c r="M2776" s="98">
        <v>14002500</v>
      </c>
      <c r="N2776" s="98"/>
      <c r="O2776" s="61"/>
      <c r="P2776" s="69" t="str">
        <f t="shared" si="180"/>
        <v>Penjualan Intouch</v>
      </c>
      <c r="Q2776" s="61"/>
    </row>
    <row r="2777" spans="1:17" hidden="1" x14ac:dyDescent="0.25">
      <c r="A2777" s="60" t="str">
        <f t="shared" si="178"/>
        <v>106410,03</v>
      </c>
      <c r="B2777" s="60">
        <f>COUNTIF($J$7:J2777,J2777)</f>
        <v>106</v>
      </c>
      <c r="C2777" s="60" t="str">
        <f t="shared" si="179"/>
        <v>0</v>
      </c>
      <c r="D2777" s="60">
        <f>COUNTIF($K$7:K2777,K2777)</f>
        <v>0</v>
      </c>
      <c r="E2777" s="61"/>
      <c r="F2777" s="71">
        <v>44622</v>
      </c>
      <c r="G2777" s="266"/>
      <c r="H2777" s="73" t="s">
        <v>1469</v>
      </c>
      <c r="I2777" s="73" t="s">
        <v>37</v>
      </c>
      <c r="J2777" s="64">
        <v>410.03</v>
      </c>
      <c r="K2777" s="65"/>
      <c r="L2777" s="224"/>
      <c r="M2777" s="98">
        <v>8750000</v>
      </c>
      <c r="N2777" s="98"/>
      <c r="O2777" s="61"/>
      <c r="P2777" s="69" t="str">
        <f t="shared" si="180"/>
        <v>Penjualan Exam</v>
      </c>
      <c r="Q2777" s="61"/>
    </row>
    <row r="2778" spans="1:17" hidden="1" x14ac:dyDescent="0.25">
      <c r="A2778" s="60" t="str">
        <f t="shared" si="178"/>
        <v>252410,01</v>
      </c>
      <c r="B2778" s="60">
        <f>COUNTIF($J$7:J2778,J2778)</f>
        <v>252</v>
      </c>
      <c r="C2778" s="60" t="str">
        <f t="shared" si="179"/>
        <v>0</v>
      </c>
      <c r="D2778" s="60">
        <f>COUNTIF($K$7:K2778,K2778)</f>
        <v>0</v>
      </c>
      <c r="E2778" s="61"/>
      <c r="F2778" s="71">
        <v>44622</v>
      </c>
      <c r="G2778" s="266"/>
      <c r="H2778" s="73" t="s">
        <v>1470</v>
      </c>
      <c r="I2778" s="73" t="s">
        <v>37</v>
      </c>
      <c r="J2778" s="64">
        <v>410.01</v>
      </c>
      <c r="K2778" s="65"/>
      <c r="L2778" s="224"/>
      <c r="M2778" s="98">
        <v>9450000</v>
      </c>
      <c r="N2778" s="98"/>
      <c r="O2778" s="61"/>
      <c r="P2778" s="69" t="str">
        <f t="shared" si="180"/>
        <v>Penjualan Intouch</v>
      </c>
      <c r="Q2778" s="61"/>
    </row>
    <row r="2779" spans="1:17" ht="30" hidden="1" x14ac:dyDescent="0.25">
      <c r="A2779" s="60" t="str">
        <f t="shared" si="178"/>
        <v>253410,01</v>
      </c>
      <c r="B2779" s="60">
        <f>COUNTIF($J$7:J2779,J2779)</f>
        <v>253</v>
      </c>
      <c r="C2779" s="60" t="str">
        <f t="shared" si="179"/>
        <v>0</v>
      </c>
      <c r="D2779" s="60">
        <f>COUNTIF($K$7:K2779,K2779)</f>
        <v>0</v>
      </c>
      <c r="E2779" s="61"/>
      <c r="F2779" s="71">
        <v>44622</v>
      </c>
      <c r="G2779" s="266"/>
      <c r="H2779" s="73" t="s">
        <v>1471</v>
      </c>
      <c r="I2779" s="73" t="s">
        <v>34</v>
      </c>
      <c r="J2779" s="64">
        <v>410.01</v>
      </c>
      <c r="K2779" s="65"/>
      <c r="L2779" s="224"/>
      <c r="M2779" s="98">
        <v>1649992.5</v>
      </c>
      <c r="N2779" s="98"/>
      <c r="O2779" s="61"/>
      <c r="P2779" s="69" t="str">
        <f t="shared" si="180"/>
        <v>Penjualan Intouch</v>
      </c>
      <c r="Q2779" s="61"/>
    </row>
    <row r="2780" spans="1:17" hidden="1" x14ac:dyDescent="0.25">
      <c r="A2780" s="60" t="str">
        <f t="shared" si="178"/>
        <v>254410,01</v>
      </c>
      <c r="B2780" s="60">
        <f>COUNTIF($J$7:J2780,J2780)</f>
        <v>254</v>
      </c>
      <c r="C2780" s="60" t="str">
        <f t="shared" si="179"/>
        <v>0</v>
      </c>
      <c r="D2780" s="60">
        <f>COUNTIF($K$7:K2780,K2780)</f>
        <v>0</v>
      </c>
      <c r="E2780" s="61"/>
      <c r="F2780" s="71">
        <v>44622</v>
      </c>
      <c r="G2780" s="266"/>
      <c r="H2780" s="73" t="s">
        <v>1472</v>
      </c>
      <c r="I2780" s="73" t="s">
        <v>1473</v>
      </c>
      <c r="J2780" s="64">
        <v>410.01</v>
      </c>
      <c r="K2780" s="65"/>
      <c r="L2780" s="224"/>
      <c r="M2780" s="98">
        <v>5670000</v>
      </c>
      <c r="N2780" s="98"/>
      <c r="O2780" s="61"/>
      <c r="P2780" s="69" t="str">
        <f t="shared" si="180"/>
        <v>Penjualan Intouch</v>
      </c>
      <c r="Q2780" s="61"/>
    </row>
    <row r="2781" spans="1:17" hidden="1" x14ac:dyDescent="0.25">
      <c r="A2781" s="60" t="str">
        <f t="shared" si="178"/>
        <v>255410,01</v>
      </c>
      <c r="B2781" s="60">
        <f>COUNTIF($J$7:J2781,J2781)</f>
        <v>255</v>
      </c>
      <c r="C2781" s="60" t="str">
        <f t="shared" si="179"/>
        <v>0</v>
      </c>
      <c r="D2781" s="60">
        <f>COUNTIF($K$7:K2781,K2781)</f>
        <v>0</v>
      </c>
      <c r="E2781" s="61"/>
      <c r="F2781" s="71">
        <v>44622</v>
      </c>
      <c r="G2781" s="266"/>
      <c r="H2781" s="73" t="s">
        <v>1474</v>
      </c>
      <c r="I2781" s="73" t="s">
        <v>48</v>
      </c>
      <c r="J2781" s="64">
        <v>410.01</v>
      </c>
      <c r="K2781" s="65"/>
      <c r="L2781" s="224"/>
      <c r="M2781" s="98">
        <v>15600000</v>
      </c>
      <c r="N2781" s="98"/>
      <c r="O2781" s="61"/>
      <c r="P2781" s="69" t="str">
        <f t="shared" si="180"/>
        <v>Penjualan Intouch</v>
      </c>
      <c r="Q2781" s="61"/>
    </row>
    <row r="2782" spans="1:17" hidden="1" x14ac:dyDescent="0.25">
      <c r="A2782" s="60" t="str">
        <f t="shared" si="178"/>
        <v>256410,01</v>
      </c>
      <c r="B2782" s="60">
        <f>COUNTIF($J$7:J2782,J2782)</f>
        <v>256</v>
      </c>
      <c r="C2782" s="60" t="str">
        <f t="shared" si="179"/>
        <v>0</v>
      </c>
      <c r="D2782" s="60">
        <f>COUNTIF($K$7:K2782,K2782)</f>
        <v>0</v>
      </c>
      <c r="E2782" s="61"/>
      <c r="F2782" s="71">
        <v>44622</v>
      </c>
      <c r="G2782" s="266"/>
      <c r="H2782" s="73" t="s">
        <v>1475</v>
      </c>
      <c r="I2782" s="73" t="s">
        <v>48</v>
      </c>
      <c r="J2782" s="64">
        <v>410.01</v>
      </c>
      <c r="K2782" s="65"/>
      <c r="L2782" s="224"/>
      <c r="M2782" s="98">
        <v>9750000</v>
      </c>
      <c r="N2782" s="98"/>
      <c r="O2782" s="61"/>
      <c r="P2782" s="69" t="str">
        <f t="shared" si="180"/>
        <v>Penjualan Intouch</v>
      </c>
      <c r="Q2782" s="61"/>
    </row>
    <row r="2783" spans="1:17" ht="30" hidden="1" x14ac:dyDescent="0.25">
      <c r="A2783" s="60" t="str">
        <f t="shared" si="178"/>
        <v>257410,01</v>
      </c>
      <c r="B2783" s="60">
        <f>COUNTIF($J$7:J2783,J2783)</f>
        <v>257</v>
      </c>
      <c r="C2783" s="60" t="str">
        <f t="shared" si="179"/>
        <v>0</v>
      </c>
      <c r="D2783" s="60">
        <f>COUNTIF($K$7:K2783,K2783)</f>
        <v>0</v>
      </c>
      <c r="E2783" s="61"/>
      <c r="F2783" s="71">
        <v>44622</v>
      </c>
      <c r="G2783" s="266"/>
      <c r="H2783" s="73" t="s">
        <v>1476</v>
      </c>
      <c r="I2783" s="73" t="s">
        <v>28</v>
      </c>
      <c r="J2783" s="64">
        <v>410.01</v>
      </c>
      <c r="K2783" s="65"/>
      <c r="L2783" s="224"/>
      <c r="M2783" s="98">
        <v>10200000</v>
      </c>
      <c r="N2783" s="98"/>
      <c r="O2783" s="61"/>
      <c r="P2783" s="69" t="str">
        <f t="shared" si="180"/>
        <v>Penjualan Intouch</v>
      </c>
      <c r="Q2783" s="61"/>
    </row>
    <row r="2784" spans="1:17" hidden="1" x14ac:dyDescent="0.25">
      <c r="A2784" s="60" t="str">
        <f t="shared" si="178"/>
        <v>258410,01</v>
      </c>
      <c r="B2784" s="60">
        <f>COUNTIF($J$7:J2784,J2784)</f>
        <v>258</v>
      </c>
      <c r="C2784" s="60" t="str">
        <f t="shared" si="179"/>
        <v>0</v>
      </c>
      <c r="D2784" s="60">
        <f>COUNTIF($K$7:K2784,K2784)</f>
        <v>0</v>
      </c>
      <c r="E2784" s="61"/>
      <c r="F2784" s="71">
        <v>44624</v>
      </c>
      <c r="G2784" s="266"/>
      <c r="H2784" s="73" t="s">
        <v>1478</v>
      </c>
      <c r="I2784" s="73" t="s">
        <v>32</v>
      </c>
      <c r="J2784" s="64">
        <v>410.01</v>
      </c>
      <c r="K2784" s="65"/>
      <c r="L2784" s="224"/>
      <c r="M2784" s="98">
        <v>2749987.5</v>
      </c>
      <c r="N2784" s="98"/>
      <c r="O2784" s="61"/>
      <c r="P2784" s="69" t="str">
        <f t="shared" si="180"/>
        <v>Penjualan Intouch</v>
      </c>
      <c r="Q2784" s="61"/>
    </row>
    <row r="2785" spans="1:17" hidden="1" x14ac:dyDescent="0.25">
      <c r="A2785" s="60" t="str">
        <f t="shared" si="178"/>
        <v>259410,01</v>
      </c>
      <c r="B2785" s="60">
        <f>COUNTIF($J$7:J2785,J2785)</f>
        <v>259</v>
      </c>
      <c r="C2785" s="60" t="str">
        <f t="shared" si="179"/>
        <v>0</v>
      </c>
      <c r="D2785" s="60">
        <f>COUNTIF($K$7:K2785,K2785)</f>
        <v>0</v>
      </c>
      <c r="E2785" s="61"/>
      <c r="F2785" s="71">
        <v>44624</v>
      </c>
      <c r="G2785" s="266"/>
      <c r="H2785" s="73" t="s">
        <v>1479</v>
      </c>
      <c r="I2785" s="73" t="s">
        <v>32</v>
      </c>
      <c r="J2785" s="64">
        <v>410.01</v>
      </c>
      <c r="K2785" s="65"/>
      <c r="L2785" s="224"/>
      <c r="M2785" s="98">
        <v>3299985</v>
      </c>
      <c r="N2785" s="98"/>
      <c r="O2785" s="61"/>
      <c r="P2785" s="69" t="str">
        <f t="shared" si="180"/>
        <v>Penjualan Intouch</v>
      </c>
      <c r="Q2785" s="61"/>
    </row>
    <row r="2786" spans="1:17" hidden="1" x14ac:dyDescent="0.25">
      <c r="A2786" s="60" t="str">
        <f t="shared" si="178"/>
        <v>260410,01</v>
      </c>
      <c r="B2786" s="60">
        <f>COUNTIF($J$7:J2786,J2786)</f>
        <v>260</v>
      </c>
      <c r="C2786" s="60" t="str">
        <f t="shared" si="179"/>
        <v>0</v>
      </c>
      <c r="D2786" s="60">
        <f>COUNTIF($K$7:K2786,K2786)</f>
        <v>0</v>
      </c>
      <c r="E2786" s="61"/>
      <c r="F2786" s="71">
        <v>44624</v>
      </c>
      <c r="G2786" s="266"/>
      <c r="H2786" s="73" t="s">
        <v>1480</v>
      </c>
      <c r="I2786" s="73" t="s">
        <v>62</v>
      </c>
      <c r="J2786" s="64">
        <v>410.01</v>
      </c>
      <c r="K2786" s="65"/>
      <c r="L2786" s="224"/>
      <c r="M2786" s="98">
        <v>9599999.9997000005</v>
      </c>
      <c r="N2786" s="98"/>
      <c r="O2786" s="61"/>
      <c r="P2786" s="69" t="str">
        <f t="shared" si="180"/>
        <v>Penjualan Intouch</v>
      </c>
      <c r="Q2786" s="61"/>
    </row>
    <row r="2787" spans="1:17" hidden="1" x14ac:dyDescent="0.25">
      <c r="A2787" s="60" t="str">
        <f t="shared" si="178"/>
        <v>107410,03</v>
      </c>
      <c r="B2787" s="60">
        <f>COUNTIF($J$7:J2787,J2787)</f>
        <v>107</v>
      </c>
      <c r="C2787" s="60" t="str">
        <f t="shared" si="179"/>
        <v>0</v>
      </c>
      <c r="D2787" s="60">
        <f>COUNTIF($K$7:K2787,K2787)</f>
        <v>0</v>
      </c>
      <c r="E2787" s="61"/>
      <c r="F2787" s="71">
        <v>44624</v>
      </c>
      <c r="G2787" s="266"/>
      <c r="H2787" s="73" t="s">
        <v>1481</v>
      </c>
      <c r="I2787" s="73" t="s">
        <v>53</v>
      </c>
      <c r="J2787" s="64">
        <v>410.03</v>
      </c>
      <c r="K2787" s="65"/>
      <c r="L2787" s="224"/>
      <c r="M2787" s="98">
        <v>4400000</v>
      </c>
      <c r="N2787" s="98"/>
      <c r="O2787" s="61"/>
      <c r="P2787" s="69" t="str">
        <f t="shared" si="180"/>
        <v>Penjualan Exam</v>
      </c>
      <c r="Q2787" s="61"/>
    </row>
    <row r="2788" spans="1:17" ht="30" hidden="1" x14ac:dyDescent="0.25">
      <c r="A2788" s="60" t="str">
        <f t="shared" si="178"/>
        <v>261410,01</v>
      </c>
      <c r="B2788" s="60">
        <f>COUNTIF($J$7:J2788,J2788)</f>
        <v>261</v>
      </c>
      <c r="C2788" s="60" t="str">
        <f t="shared" si="179"/>
        <v>0</v>
      </c>
      <c r="D2788" s="60">
        <f>COUNTIF($K$7:K2788,K2788)</f>
        <v>0</v>
      </c>
      <c r="E2788" s="61"/>
      <c r="F2788" s="71">
        <v>44624</v>
      </c>
      <c r="G2788" s="266"/>
      <c r="H2788" s="73" t="s">
        <v>1482</v>
      </c>
      <c r="I2788" s="73" t="s">
        <v>34</v>
      </c>
      <c r="J2788" s="64">
        <v>410.01</v>
      </c>
      <c r="K2788" s="65"/>
      <c r="L2788" s="224"/>
      <c r="M2788" s="98">
        <v>3849982.5</v>
      </c>
      <c r="N2788" s="98"/>
      <c r="O2788" s="61"/>
      <c r="P2788" s="69" t="str">
        <f t="shared" si="180"/>
        <v>Penjualan Intouch</v>
      </c>
      <c r="Q2788" s="61"/>
    </row>
    <row r="2789" spans="1:17" ht="30" hidden="1" x14ac:dyDescent="0.25">
      <c r="A2789" s="60" t="str">
        <f t="shared" si="178"/>
        <v>262410,01</v>
      </c>
      <c r="B2789" s="60">
        <f>COUNTIF($J$7:J2789,J2789)</f>
        <v>262</v>
      </c>
      <c r="C2789" s="60" t="str">
        <f t="shared" si="179"/>
        <v>0</v>
      </c>
      <c r="D2789" s="60">
        <f>COUNTIF($K$7:K2789,K2789)</f>
        <v>0</v>
      </c>
      <c r="E2789" s="61"/>
      <c r="F2789" s="71">
        <v>44624</v>
      </c>
      <c r="G2789" s="266"/>
      <c r="H2789" s="73" t="s">
        <v>1483</v>
      </c>
      <c r="I2789" s="73" t="s">
        <v>34</v>
      </c>
      <c r="J2789" s="64">
        <v>410.01</v>
      </c>
      <c r="K2789" s="65"/>
      <c r="L2789" s="224"/>
      <c r="M2789" s="98">
        <v>549997.5</v>
      </c>
      <c r="N2789" s="98"/>
      <c r="O2789" s="61"/>
      <c r="P2789" s="69" t="str">
        <f t="shared" si="180"/>
        <v>Penjualan Intouch</v>
      </c>
      <c r="Q2789" s="61"/>
    </row>
    <row r="2790" spans="1:17" hidden="1" x14ac:dyDescent="0.25">
      <c r="A2790" s="60" t="str">
        <f t="shared" si="178"/>
        <v>263410,01</v>
      </c>
      <c r="B2790" s="60">
        <f>COUNTIF($J$7:J2790,J2790)</f>
        <v>263</v>
      </c>
      <c r="C2790" s="60" t="str">
        <f t="shared" si="179"/>
        <v>0</v>
      </c>
      <c r="D2790" s="60">
        <f>COUNTIF($K$7:K2790,K2790)</f>
        <v>0</v>
      </c>
      <c r="E2790" s="61"/>
      <c r="F2790" s="71">
        <v>44627</v>
      </c>
      <c r="G2790" s="266"/>
      <c r="H2790" s="73" t="s">
        <v>1484</v>
      </c>
      <c r="I2790" s="73" t="s">
        <v>18</v>
      </c>
      <c r="J2790" s="64">
        <v>410.01</v>
      </c>
      <c r="K2790" s="65"/>
      <c r="L2790" s="224"/>
      <c r="M2790" s="98">
        <v>19717500</v>
      </c>
      <c r="N2790" s="98"/>
      <c r="O2790" s="61"/>
      <c r="P2790" s="69" t="str">
        <f t="shared" si="180"/>
        <v>Penjualan Intouch</v>
      </c>
      <c r="Q2790" s="61"/>
    </row>
    <row r="2791" spans="1:17" hidden="1" x14ac:dyDescent="0.25">
      <c r="A2791" s="60" t="str">
        <f t="shared" si="178"/>
        <v>264410,01</v>
      </c>
      <c r="B2791" s="60">
        <f>COUNTIF($J$7:J2791,J2791)</f>
        <v>264</v>
      </c>
      <c r="C2791" s="60" t="str">
        <f t="shared" si="179"/>
        <v>0</v>
      </c>
      <c r="D2791" s="60">
        <f>COUNTIF($K$7:K2791,K2791)</f>
        <v>0</v>
      </c>
      <c r="E2791" s="61"/>
      <c r="F2791" s="71">
        <v>44627</v>
      </c>
      <c r="G2791" s="266"/>
      <c r="H2791" s="73" t="s">
        <v>1485</v>
      </c>
      <c r="I2791" s="73" t="s">
        <v>18</v>
      </c>
      <c r="J2791" s="64">
        <v>410.01</v>
      </c>
      <c r="K2791" s="65"/>
      <c r="L2791" s="224"/>
      <c r="M2791" s="98">
        <v>20437500</v>
      </c>
      <c r="N2791" s="98"/>
      <c r="O2791" s="61"/>
      <c r="P2791" s="69" t="str">
        <f t="shared" si="180"/>
        <v>Penjualan Intouch</v>
      </c>
      <c r="Q2791" s="61"/>
    </row>
    <row r="2792" spans="1:17" hidden="1" x14ac:dyDescent="0.25">
      <c r="A2792" s="60" t="str">
        <f t="shared" si="178"/>
        <v>265410,01</v>
      </c>
      <c r="B2792" s="60">
        <f>COUNTIF($J$7:J2792,J2792)</f>
        <v>265</v>
      </c>
      <c r="C2792" s="60" t="str">
        <f t="shared" si="179"/>
        <v>0</v>
      </c>
      <c r="D2792" s="60">
        <f>COUNTIF($K$7:K2792,K2792)</f>
        <v>0</v>
      </c>
      <c r="E2792" s="61"/>
      <c r="F2792" s="71">
        <v>44627</v>
      </c>
      <c r="G2792" s="266"/>
      <c r="H2792" s="73" t="s">
        <v>1486</v>
      </c>
      <c r="I2792" s="73" t="s">
        <v>32</v>
      </c>
      <c r="J2792" s="64">
        <v>410.01</v>
      </c>
      <c r="K2792" s="65"/>
      <c r="L2792" s="224"/>
      <c r="M2792" s="98">
        <v>4399980</v>
      </c>
      <c r="N2792" s="98"/>
      <c r="O2792" s="61"/>
      <c r="P2792" s="69" t="str">
        <f t="shared" si="180"/>
        <v>Penjualan Intouch</v>
      </c>
      <c r="Q2792" s="61"/>
    </row>
    <row r="2793" spans="1:17" hidden="1" x14ac:dyDescent="0.25">
      <c r="A2793" s="60" t="str">
        <f t="shared" si="178"/>
        <v>266410,01</v>
      </c>
      <c r="B2793" s="60">
        <f>COUNTIF($J$7:J2793,J2793)</f>
        <v>266</v>
      </c>
      <c r="C2793" s="60" t="str">
        <f t="shared" si="179"/>
        <v>0</v>
      </c>
      <c r="D2793" s="60">
        <f>COUNTIF($K$7:K2793,K2793)</f>
        <v>0</v>
      </c>
      <c r="E2793" s="61"/>
      <c r="F2793" s="71">
        <v>44627</v>
      </c>
      <c r="G2793" s="266"/>
      <c r="H2793" s="73" t="s">
        <v>1487</v>
      </c>
      <c r="I2793" s="73" t="s">
        <v>41</v>
      </c>
      <c r="J2793" s="64">
        <v>410.01</v>
      </c>
      <c r="K2793" s="65"/>
      <c r="L2793" s="224"/>
      <c r="M2793" s="98">
        <v>57120000</v>
      </c>
      <c r="N2793" s="98"/>
      <c r="O2793" s="61"/>
      <c r="P2793" s="69" t="str">
        <f t="shared" si="180"/>
        <v>Penjualan Intouch</v>
      </c>
      <c r="Q2793" s="61"/>
    </row>
    <row r="2794" spans="1:17" ht="30" hidden="1" x14ac:dyDescent="0.25">
      <c r="A2794" s="60" t="str">
        <f t="shared" si="178"/>
        <v>267410,01</v>
      </c>
      <c r="B2794" s="60">
        <f>COUNTIF($J$7:J2794,J2794)</f>
        <v>267</v>
      </c>
      <c r="C2794" s="60" t="str">
        <f t="shared" si="179"/>
        <v>0</v>
      </c>
      <c r="D2794" s="60">
        <f>COUNTIF($K$7:K2794,K2794)</f>
        <v>0</v>
      </c>
      <c r="E2794" s="61"/>
      <c r="F2794" s="71">
        <v>44627</v>
      </c>
      <c r="G2794" s="266"/>
      <c r="H2794" s="73" t="s">
        <v>1488</v>
      </c>
      <c r="I2794" s="73" t="s">
        <v>34</v>
      </c>
      <c r="J2794" s="64">
        <v>410.01</v>
      </c>
      <c r="K2794" s="65"/>
      <c r="L2794" s="224"/>
      <c r="M2794" s="98">
        <v>1649992.5</v>
      </c>
      <c r="N2794" s="98"/>
      <c r="O2794" s="61"/>
      <c r="P2794" s="69" t="str">
        <f t="shared" si="180"/>
        <v>Penjualan Intouch</v>
      </c>
      <c r="Q2794" s="61"/>
    </row>
    <row r="2795" spans="1:17" hidden="1" x14ac:dyDescent="0.25">
      <c r="A2795" s="60" t="str">
        <f t="shared" si="178"/>
        <v>268410,01</v>
      </c>
      <c r="B2795" s="60">
        <f>COUNTIF($J$7:J2795,J2795)</f>
        <v>268</v>
      </c>
      <c r="C2795" s="60" t="str">
        <f t="shared" si="179"/>
        <v>0</v>
      </c>
      <c r="D2795" s="60">
        <f>COUNTIF($K$7:K2795,K2795)</f>
        <v>0</v>
      </c>
      <c r="E2795" s="61"/>
      <c r="F2795" s="71">
        <v>44627</v>
      </c>
      <c r="G2795" s="266"/>
      <c r="H2795" s="73" t="s">
        <v>1489</v>
      </c>
      <c r="I2795" s="73" t="s">
        <v>48</v>
      </c>
      <c r="J2795" s="64">
        <v>410.01</v>
      </c>
      <c r="K2795" s="65"/>
      <c r="L2795" s="224"/>
      <c r="M2795" s="98">
        <v>3900000</v>
      </c>
      <c r="N2795" s="98"/>
      <c r="O2795" s="61"/>
      <c r="P2795" s="69" t="str">
        <f t="shared" si="180"/>
        <v>Penjualan Intouch</v>
      </c>
      <c r="Q2795" s="61"/>
    </row>
    <row r="2796" spans="1:17" hidden="1" x14ac:dyDescent="0.25">
      <c r="A2796" s="60" t="str">
        <f t="shared" si="178"/>
        <v>269410,01</v>
      </c>
      <c r="B2796" s="60">
        <f>COUNTIF($J$7:J2796,J2796)</f>
        <v>269</v>
      </c>
      <c r="C2796" s="60" t="str">
        <f t="shared" si="179"/>
        <v>0</v>
      </c>
      <c r="D2796" s="60">
        <f>COUNTIF($K$7:K2796,K2796)</f>
        <v>0</v>
      </c>
      <c r="E2796" s="61"/>
      <c r="F2796" s="71">
        <v>44627</v>
      </c>
      <c r="G2796" s="266"/>
      <c r="H2796" s="73" t="s">
        <v>1490</v>
      </c>
      <c r="I2796" s="73" t="s">
        <v>48</v>
      </c>
      <c r="J2796" s="64">
        <v>410.01</v>
      </c>
      <c r="K2796" s="65"/>
      <c r="L2796" s="224"/>
      <c r="M2796" s="98">
        <v>3900000</v>
      </c>
      <c r="N2796" s="98"/>
      <c r="O2796" s="61"/>
      <c r="P2796" s="69" t="str">
        <f t="shared" si="180"/>
        <v>Penjualan Intouch</v>
      </c>
      <c r="Q2796" s="61"/>
    </row>
    <row r="2797" spans="1:17" hidden="1" x14ac:dyDescent="0.25">
      <c r="A2797" s="60" t="str">
        <f t="shared" si="178"/>
        <v>270410,01</v>
      </c>
      <c r="B2797" s="60">
        <f>COUNTIF($J$7:J2797,J2797)</f>
        <v>270</v>
      </c>
      <c r="C2797" s="60" t="str">
        <f t="shared" si="179"/>
        <v>0</v>
      </c>
      <c r="D2797" s="60">
        <f>COUNTIF($K$7:K2797,K2797)</f>
        <v>0</v>
      </c>
      <c r="E2797" s="61"/>
      <c r="F2797" s="71">
        <v>44628</v>
      </c>
      <c r="G2797" s="266"/>
      <c r="H2797" s="73" t="s">
        <v>1491</v>
      </c>
      <c r="I2797" s="73" t="s">
        <v>20</v>
      </c>
      <c r="J2797" s="64">
        <v>410.01</v>
      </c>
      <c r="K2797" s="65"/>
      <c r="L2797" s="224"/>
      <c r="M2797" s="98">
        <v>17865000</v>
      </c>
      <c r="N2797" s="98"/>
      <c r="O2797" s="61"/>
      <c r="P2797" s="69" t="str">
        <f t="shared" si="180"/>
        <v>Penjualan Intouch</v>
      </c>
      <c r="Q2797" s="61"/>
    </row>
    <row r="2798" spans="1:17" hidden="1" x14ac:dyDescent="0.25">
      <c r="A2798" s="60" t="str">
        <f t="shared" si="178"/>
        <v>108410,03</v>
      </c>
      <c r="B2798" s="60">
        <f>COUNTIF($J$7:J2798,J2798)</f>
        <v>108</v>
      </c>
      <c r="C2798" s="60" t="str">
        <f t="shared" si="179"/>
        <v>0</v>
      </c>
      <c r="D2798" s="60">
        <f>COUNTIF($K$7:K2798,K2798)</f>
        <v>0</v>
      </c>
      <c r="E2798" s="61"/>
      <c r="F2798" s="71">
        <v>44628</v>
      </c>
      <c r="G2798" s="266"/>
      <c r="H2798" s="73" t="s">
        <v>1492</v>
      </c>
      <c r="I2798" s="73" t="s">
        <v>20</v>
      </c>
      <c r="J2798" s="64">
        <v>410.03</v>
      </c>
      <c r="K2798" s="65"/>
      <c r="L2798" s="224"/>
      <c r="M2798" s="98">
        <v>1640000</v>
      </c>
      <c r="N2798" s="98"/>
      <c r="O2798" s="61"/>
      <c r="P2798" s="69" t="str">
        <f t="shared" si="180"/>
        <v>Penjualan Exam</v>
      </c>
      <c r="Q2798" s="61"/>
    </row>
    <row r="2799" spans="1:17" hidden="1" x14ac:dyDescent="0.25">
      <c r="A2799" s="60" t="str">
        <f t="shared" si="178"/>
        <v>109410,03</v>
      </c>
      <c r="B2799" s="60">
        <f>COUNTIF($J$7:J2799,J2799)</f>
        <v>109</v>
      </c>
      <c r="C2799" s="60" t="str">
        <f t="shared" si="179"/>
        <v>0</v>
      </c>
      <c r="D2799" s="60">
        <f>COUNTIF($K$7:K2799,K2799)</f>
        <v>0</v>
      </c>
      <c r="E2799" s="61"/>
      <c r="F2799" s="71">
        <v>44628</v>
      </c>
      <c r="G2799" s="266"/>
      <c r="H2799" s="73" t="s">
        <v>1493</v>
      </c>
      <c r="I2799" s="73" t="s">
        <v>26</v>
      </c>
      <c r="J2799" s="64">
        <v>410.03</v>
      </c>
      <c r="K2799" s="65"/>
      <c r="L2799" s="224"/>
      <c r="M2799" s="98">
        <v>850000</v>
      </c>
      <c r="N2799" s="98"/>
      <c r="O2799" s="61"/>
      <c r="P2799" s="69" t="str">
        <f t="shared" si="180"/>
        <v>Penjualan Exam</v>
      </c>
      <c r="Q2799" s="61"/>
    </row>
    <row r="2800" spans="1:17" hidden="1" x14ac:dyDescent="0.25">
      <c r="A2800" s="60" t="str">
        <f t="shared" si="178"/>
        <v>271410,01</v>
      </c>
      <c r="B2800" s="60">
        <f>COUNTIF($J$7:J2800,J2800)</f>
        <v>271</v>
      </c>
      <c r="C2800" s="60" t="str">
        <f t="shared" si="179"/>
        <v>0</v>
      </c>
      <c r="D2800" s="60">
        <f>COUNTIF($K$7:K2800,K2800)</f>
        <v>0</v>
      </c>
      <c r="E2800" s="61"/>
      <c r="F2800" s="71">
        <v>44628</v>
      </c>
      <c r="G2800" s="266"/>
      <c r="H2800" s="73" t="s">
        <v>1494</v>
      </c>
      <c r="I2800" s="73" t="s">
        <v>37</v>
      </c>
      <c r="J2800" s="64">
        <v>410.01</v>
      </c>
      <c r="K2800" s="65"/>
      <c r="L2800" s="224"/>
      <c r="M2800" s="98">
        <v>23655000</v>
      </c>
      <c r="N2800" s="98"/>
      <c r="O2800" s="61"/>
      <c r="P2800" s="69" t="str">
        <f t="shared" si="180"/>
        <v>Penjualan Intouch</v>
      </c>
      <c r="Q2800" s="61"/>
    </row>
    <row r="2801" spans="1:17" hidden="1" x14ac:dyDescent="0.25">
      <c r="A2801" s="60" t="str">
        <f t="shared" si="178"/>
        <v>272410,01</v>
      </c>
      <c r="B2801" s="60">
        <f>COUNTIF($J$7:J2801,J2801)</f>
        <v>272</v>
      </c>
      <c r="C2801" s="60" t="str">
        <f t="shared" si="179"/>
        <v>0</v>
      </c>
      <c r="D2801" s="60">
        <f>COUNTIF($K$7:K2801,K2801)</f>
        <v>0</v>
      </c>
      <c r="E2801" s="61"/>
      <c r="F2801" s="71">
        <v>44628</v>
      </c>
      <c r="G2801" s="266"/>
      <c r="H2801" s="73" t="s">
        <v>1495</v>
      </c>
      <c r="I2801" s="73" t="s">
        <v>915</v>
      </c>
      <c r="J2801" s="64">
        <v>410.01</v>
      </c>
      <c r="K2801" s="65"/>
      <c r="L2801" s="224"/>
      <c r="M2801" s="98">
        <v>8160000</v>
      </c>
      <c r="N2801" s="98"/>
      <c r="O2801" s="61"/>
      <c r="P2801" s="69" t="str">
        <f t="shared" si="180"/>
        <v>Penjualan Intouch</v>
      </c>
      <c r="Q2801" s="61"/>
    </row>
    <row r="2802" spans="1:17" hidden="1" x14ac:dyDescent="0.25">
      <c r="A2802" s="60" t="str">
        <f t="shared" si="178"/>
        <v>273410,01</v>
      </c>
      <c r="B2802" s="60">
        <f>COUNTIF($J$7:J2802,J2802)</f>
        <v>273</v>
      </c>
      <c r="C2802" s="60" t="str">
        <f t="shared" si="179"/>
        <v>0</v>
      </c>
      <c r="D2802" s="60">
        <f>COUNTIF($K$7:K2802,K2802)</f>
        <v>0</v>
      </c>
      <c r="E2802" s="61"/>
      <c r="F2802" s="71">
        <v>44628</v>
      </c>
      <c r="G2802" s="266"/>
      <c r="H2802" s="73" t="s">
        <v>1496</v>
      </c>
      <c r="I2802" s="73" t="s">
        <v>124</v>
      </c>
      <c r="J2802" s="64">
        <v>410.01</v>
      </c>
      <c r="K2802" s="65"/>
      <c r="L2802" s="224"/>
      <c r="M2802" s="98">
        <v>12960000</v>
      </c>
      <c r="N2802" s="98"/>
      <c r="O2802" s="61"/>
      <c r="P2802" s="69" t="str">
        <f t="shared" si="180"/>
        <v>Penjualan Intouch</v>
      </c>
      <c r="Q2802" s="61"/>
    </row>
    <row r="2803" spans="1:17" hidden="1" x14ac:dyDescent="0.25">
      <c r="A2803" s="60" t="str">
        <f t="shared" si="178"/>
        <v>274410,01</v>
      </c>
      <c r="B2803" s="60">
        <f>COUNTIF($J$7:J2803,J2803)</f>
        <v>274</v>
      </c>
      <c r="C2803" s="60" t="str">
        <f t="shared" si="179"/>
        <v>0</v>
      </c>
      <c r="D2803" s="60">
        <f>COUNTIF($K$7:K2803,K2803)</f>
        <v>0</v>
      </c>
      <c r="E2803" s="61"/>
      <c r="F2803" s="71">
        <v>44629</v>
      </c>
      <c r="G2803" s="266"/>
      <c r="H2803" s="73" t="s">
        <v>1497</v>
      </c>
      <c r="I2803" s="73" t="s">
        <v>32</v>
      </c>
      <c r="J2803" s="64">
        <v>410.01</v>
      </c>
      <c r="K2803" s="65"/>
      <c r="L2803" s="224"/>
      <c r="M2803" s="98">
        <v>1649992.5</v>
      </c>
      <c r="N2803" s="98"/>
      <c r="O2803" s="61"/>
      <c r="P2803" s="69" t="str">
        <f t="shared" si="180"/>
        <v>Penjualan Intouch</v>
      </c>
      <c r="Q2803" s="61"/>
    </row>
    <row r="2804" spans="1:17" hidden="1" x14ac:dyDescent="0.25">
      <c r="A2804" s="60" t="str">
        <f t="shared" si="178"/>
        <v>110410,03</v>
      </c>
      <c r="B2804" s="60">
        <f>COUNTIF($J$7:J2804,J2804)</f>
        <v>110</v>
      </c>
      <c r="C2804" s="60" t="str">
        <f t="shared" si="179"/>
        <v>0</v>
      </c>
      <c r="D2804" s="60">
        <f>COUNTIF($K$7:K2804,K2804)</f>
        <v>0</v>
      </c>
      <c r="E2804" s="61"/>
      <c r="F2804" s="71">
        <v>44629</v>
      </c>
      <c r="G2804" s="266"/>
      <c r="H2804" s="73" t="s">
        <v>1498</v>
      </c>
      <c r="I2804" s="73" t="s">
        <v>32</v>
      </c>
      <c r="J2804" s="64">
        <v>410.03</v>
      </c>
      <c r="K2804" s="65"/>
      <c r="L2804" s="224"/>
      <c r="M2804" s="98">
        <v>11615000</v>
      </c>
      <c r="N2804" s="98"/>
      <c r="O2804" s="61"/>
      <c r="P2804" s="69" t="str">
        <f t="shared" si="180"/>
        <v>Penjualan Exam</v>
      </c>
      <c r="Q2804" s="61"/>
    </row>
    <row r="2805" spans="1:17" hidden="1" x14ac:dyDescent="0.25">
      <c r="A2805" s="60" t="str">
        <f t="shared" si="178"/>
        <v>275410,01</v>
      </c>
      <c r="B2805" s="60">
        <f>COUNTIF($J$7:J2805,J2805)</f>
        <v>275</v>
      </c>
      <c r="C2805" s="60" t="str">
        <f t="shared" si="179"/>
        <v>0</v>
      </c>
      <c r="D2805" s="60">
        <f>COUNTIF($K$7:K2805,K2805)</f>
        <v>0</v>
      </c>
      <c r="E2805" s="61"/>
      <c r="F2805" s="71">
        <v>44629</v>
      </c>
      <c r="G2805" s="266"/>
      <c r="H2805" s="73" t="s">
        <v>1499</v>
      </c>
      <c r="I2805" s="268" t="s">
        <v>18</v>
      </c>
      <c r="J2805" s="64">
        <v>410.01</v>
      </c>
      <c r="K2805" s="65"/>
      <c r="L2805" s="224"/>
      <c r="M2805" s="279">
        <v>140685000</v>
      </c>
      <c r="N2805" s="279"/>
      <c r="O2805" s="61"/>
      <c r="P2805" s="69" t="str">
        <f t="shared" si="180"/>
        <v>Penjualan Intouch</v>
      </c>
      <c r="Q2805" s="61"/>
    </row>
    <row r="2806" spans="1:17" hidden="1" x14ac:dyDescent="0.25">
      <c r="A2806" s="60" t="str">
        <f t="shared" si="178"/>
        <v>276410,01</v>
      </c>
      <c r="B2806" s="60">
        <f>COUNTIF($J$7:J2806,J2806)</f>
        <v>276</v>
      </c>
      <c r="C2806" s="60" t="str">
        <f t="shared" si="179"/>
        <v>0</v>
      </c>
      <c r="D2806" s="60">
        <f>COUNTIF($K$7:K2806,K2806)</f>
        <v>0</v>
      </c>
      <c r="E2806" s="61"/>
      <c r="F2806" s="71">
        <v>44629</v>
      </c>
      <c r="G2806" s="266"/>
      <c r="H2806" s="73" t="s">
        <v>1500</v>
      </c>
      <c r="I2806" s="268" t="s">
        <v>20</v>
      </c>
      <c r="J2806" s="64">
        <v>410.01</v>
      </c>
      <c r="K2806" s="65"/>
      <c r="L2806" s="224"/>
      <c r="M2806" s="279">
        <v>14647500</v>
      </c>
      <c r="N2806" s="279"/>
      <c r="O2806" s="61"/>
      <c r="P2806" s="69" t="str">
        <f t="shared" si="180"/>
        <v>Penjualan Intouch</v>
      </c>
      <c r="Q2806" s="61"/>
    </row>
    <row r="2807" spans="1:17" ht="28.5" hidden="1" x14ac:dyDescent="0.25">
      <c r="A2807" s="60" t="str">
        <f t="shared" si="178"/>
        <v>277410,01</v>
      </c>
      <c r="B2807" s="60">
        <f>COUNTIF($J$7:J2807,J2807)</f>
        <v>277</v>
      </c>
      <c r="C2807" s="60" t="str">
        <f t="shared" si="179"/>
        <v>0</v>
      </c>
      <c r="D2807" s="60">
        <f>COUNTIF($K$7:K2807,K2807)</f>
        <v>0</v>
      </c>
      <c r="E2807" s="61"/>
      <c r="F2807" s="71">
        <v>44629</v>
      </c>
      <c r="G2807" s="266"/>
      <c r="H2807" s="73" t="s">
        <v>1501</v>
      </c>
      <c r="I2807" s="268" t="s">
        <v>34</v>
      </c>
      <c r="J2807" s="64">
        <v>410.01</v>
      </c>
      <c r="K2807" s="65"/>
      <c r="L2807" s="224"/>
      <c r="M2807" s="279">
        <v>1099995</v>
      </c>
      <c r="N2807" s="279"/>
      <c r="O2807" s="61"/>
      <c r="P2807" s="69" t="str">
        <f t="shared" si="180"/>
        <v>Penjualan Intouch</v>
      </c>
      <c r="Q2807" s="61"/>
    </row>
    <row r="2808" spans="1:17" hidden="1" x14ac:dyDescent="0.25">
      <c r="A2808" s="60" t="str">
        <f t="shared" si="178"/>
        <v>10410,02</v>
      </c>
      <c r="B2808" s="60">
        <f>COUNTIF($J$7:J2808,J2808)</f>
        <v>10</v>
      </c>
      <c r="C2808" s="60" t="str">
        <f t="shared" si="179"/>
        <v>0</v>
      </c>
      <c r="D2808" s="60">
        <f>COUNTIF($K$7:K2808,K2808)</f>
        <v>0</v>
      </c>
      <c r="E2808" s="61"/>
      <c r="F2808" s="71">
        <v>44630</v>
      </c>
      <c r="G2808" s="266"/>
      <c r="H2808" s="73" t="s">
        <v>1502</v>
      </c>
      <c r="I2808" s="73" t="s">
        <v>99</v>
      </c>
      <c r="J2808" s="241">
        <v>410.02</v>
      </c>
      <c r="K2808" s="65"/>
      <c r="L2808" s="224"/>
      <c r="M2808" s="98">
        <v>3875000</v>
      </c>
      <c r="N2808" s="98"/>
      <c r="O2808" s="61"/>
      <c r="P2808" s="69" t="str">
        <f t="shared" si="180"/>
        <v>Penjualan Condom</v>
      </c>
      <c r="Q2808" s="61"/>
    </row>
    <row r="2809" spans="1:17" hidden="1" x14ac:dyDescent="0.25">
      <c r="A2809" s="60" t="str">
        <f t="shared" si="178"/>
        <v>278410,01</v>
      </c>
      <c r="B2809" s="60">
        <f>COUNTIF($J$7:J2809,J2809)</f>
        <v>278</v>
      </c>
      <c r="C2809" s="60" t="str">
        <f t="shared" si="179"/>
        <v>0</v>
      </c>
      <c r="D2809" s="60">
        <f>COUNTIF($K$7:K2809,K2809)</f>
        <v>0</v>
      </c>
      <c r="E2809" s="61"/>
      <c r="F2809" s="71">
        <v>44630</v>
      </c>
      <c r="G2809" s="266"/>
      <c r="H2809" s="73" t="s">
        <v>1503</v>
      </c>
      <c r="I2809" s="73" t="s">
        <v>41</v>
      </c>
      <c r="J2809" s="64">
        <v>410.01</v>
      </c>
      <c r="K2809" s="65"/>
      <c r="L2809" s="224"/>
      <c r="M2809" s="98">
        <v>43350000</v>
      </c>
      <c r="N2809" s="98"/>
      <c r="O2809" s="61"/>
      <c r="P2809" s="69" t="str">
        <f t="shared" si="180"/>
        <v>Penjualan Intouch</v>
      </c>
      <c r="Q2809" s="61"/>
    </row>
    <row r="2810" spans="1:17" hidden="1" x14ac:dyDescent="0.25">
      <c r="A2810" s="60" t="str">
        <f t="shared" si="178"/>
        <v>279410,01</v>
      </c>
      <c r="B2810" s="60">
        <f>COUNTIF($J$7:J2810,J2810)</f>
        <v>279</v>
      </c>
      <c r="C2810" s="60" t="str">
        <f t="shared" si="179"/>
        <v>0</v>
      </c>
      <c r="D2810" s="60">
        <f>COUNTIF($K$7:K2810,K2810)</f>
        <v>0</v>
      </c>
      <c r="E2810" s="61"/>
      <c r="F2810" s="71">
        <v>44630</v>
      </c>
      <c r="G2810" s="266"/>
      <c r="H2810" s="73" t="s">
        <v>1504</v>
      </c>
      <c r="I2810" s="73" t="s">
        <v>41</v>
      </c>
      <c r="J2810" s="64">
        <v>410.01</v>
      </c>
      <c r="K2810" s="65"/>
      <c r="L2810" s="224"/>
      <c r="M2810" s="98">
        <v>3150000</v>
      </c>
      <c r="N2810" s="98"/>
      <c r="O2810" s="61"/>
      <c r="P2810" s="69" t="str">
        <f t="shared" si="180"/>
        <v>Penjualan Intouch</v>
      </c>
      <c r="Q2810" s="61"/>
    </row>
    <row r="2811" spans="1:17" hidden="1" x14ac:dyDescent="0.25">
      <c r="A2811" s="60" t="str">
        <f t="shared" si="178"/>
        <v>280410,01</v>
      </c>
      <c r="B2811" s="60">
        <f>COUNTIF($J$7:J2811,J2811)</f>
        <v>280</v>
      </c>
      <c r="C2811" s="60" t="str">
        <f t="shared" si="179"/>
        <v>0</v>
      </c>
      <c r="D2811" s="60">
        <f>COUNTIF($K$7:K2811,K2811)</f>
        <v>0</v>
      </c>
      <c r="E2811" s="61"/>
      <c r="F2811" s="71">
        <v>44630</v>
      </c>
      <c r="G2811" s="266"/>
      <c r="H2811" s="73" t="s">
        <v>1505</v>
      </c>
      <c r="I2811" s="268" t="s">
        <v>18</v>
      </c>
      <c r="J2811" s="64">
        <v>410.01</v>
      </c>
      <c r="K2811" s="65"/>
      <c r="L2811" s="224"/>
      <c r="M2811" s="279">
        <v>15225000</v>
      </c>
      <c r="N2811" s="279"/>
      <c r="O2811" s="61"/>
      <c r="P2811" s="69" t="str">
        <f t="shared" si="180"/>
        <v>Penjualan Intouch</v>
      </c>
      <c r="Q2811" s="61"/>
    </row>
    <row r="2812" spans="1:17" hidden="1" x14ac:dyDescent="0.25">
      <c r="A2812" s="60" t="str">
        <f t="shared" si="178"/>
        <v>281410,01</v>
      </c>
      <c r="B2812" s="60">
        <f>COUNTIF($J$7:J2812,J2812)</f>
        <v>281</v>
      </c>
      <c r="C2812" s="60" t="str">
        <f t="shared" si="179"/>
        <v>0</v>
      </c>
      <c r="D2812" s="60">
        <f>COUNTIF($K$7:K2812,K2812)</f>
        <v>0</v>
      </c>
      <c r="E2812" s="61"/>
      <c r="F2812" s="71">
        <v>44630</v>
      </c>
      <c r="G2812" s="266"/>
      <c r="H2812" s="73" t="s">
        <v>1506</v>
      </c>
      <c r="I2812" s="268" t="s">
        <v>20</v>
      </c>
      <c r="J2812" s="64">
        <v>410.01</v>
      </c>
      <c r="K2812" s="65"/>
      <c r="L2812" s="224"/>
      <c r="M2812" s="279">
        <v>3585000</v>
      </c>
      <c r="N2812" s="279"/>
      <c r="O2812" s="61"/>
      <c r="P2812" s="69" t="str">
        <f t="shared" si="180"/>
        <v>Penjualan Intouch</v>
      </c>
      <c r="Q2812" s="61"/>
    </row>
    <row r="2813" spans="1:17" hidden="1" x14ac:dyDescent="0.25">
      <c r="A2813" s="60" t="str">
        <f t="shared" si="178"/>
        <v>282410,01</v>
      </c>
      <c r="B2813" s="60">
        <f>COUNTIF($J$7:J2813,J2813)</f>
        <v>282</v>
      </c>
      <c r="C2813" s="60" t="str">
        <f t="shared" si="179"/>
        <v>0</v>
      </c>
      <c r="D2813" s="60">
        <f>COUNTIF($K$7:K2813,K2813)</f>
        <v>0</v>
      </c>
      <c r="E2813" s="61"/>
      <c r="F2813" s="71">
        <v>44630</v>
      </c>
      <c r="G2813" s="266"/>
      <c r="H2813" s="73" t="s">
        <v>1507</v>
      </c>
      <c r="I2813" s="268" t="s">
        <v>20</v>
      </c>
      <c r="J2813" s="64">
        <v>410.01</v>
      </c>
      <c r="K2813" s="65"/>
      <c r="L2813" s="224"/>
      <c r="M2813" s="279">
        <v>3045000</v>
      </c>
      <c r="N2813" s="279"/>
      <c r="O2813" s="61"/>
      <c r="P2813" s="69" t="str">
        <f t="shared" si="180"/>
        <v>Penjualan Intouch</v>
      </c>
      <c r="Q2813" s="61"/>
    </row>
    <row r="2814" spans="1:17" hidden="1" x14ac:dyDescent="0.25">
      <c r="A2814" s="60" t="str">
        <f t="shared" si="178"/>
        <v>283410,01</v>
      </c>
      <c r="B2814" s="60">
        <f>COUNTIF($J$7:J2814,J2814)</f>
        <v>283</v>
      </c>
      <c r="C2814" s="60" t="str">
        <f t="shared" si="179"/>
        <v>0</v>
      </c>
      <c r="D2814" s="60">
        <f>COUNTIF($K$7:K2814,K2814)</f>
        <v>0</v>
      </c>
      <c r="E2814" s="61"/>
      <c r="F2814" s="71">
        <v>44630</v>
      </c>
      <c r="G2814" s="266"/>
      <c r="H2814" s="73" t="s">
        <v>1508</v>
      </c>
      <c r="I2814" s="268" t="s">
        <v>20</v>
      </c>
      <c r="J2814" s="64">
        <v>410.01</v>
      </c>
      <c r="K2814" s="65"/>
      <c r="L2814" s="224"/>
      <c r="M2814" s="279">
        <v>3585000</v>
      </c>
      <c r="N2814" s="279"/>
      <c r="O2814" s="61"/>
      <c r="P2814" s="69" t="str">
        <f t="shared" si="180"/>
        <v>Penjualan Intouch</v>
      </c>
      <c r="Q2814" s="61"/>
    </row>
    <row r="2815" spans="1:17" hidden="1" x14ac:dyDescent="0.25">
      <c r="A2815" s="60" t="str">
        <f t="shared" si="178"/>
        <v>284410,01</v>
      </c>
      <c r="B2815" s="60">
        <f>COUNTIF($J$7:J2815,J2815)</f>
        <v>284</v>
      </c>
      <c r="C2815" s="60" t="str">
        <f t="shared" si="179"/>
        <v>0</v>
      </c>
      <c r="D2815" s="60">
        <f>COUNTIF($K$7:K2815,K2815)</f>
        <v>0</v>
      </c>
      <c r="E2815" s="61"/>
      <c r="F2815" s="71">
        <v>44630</v>
      </c>
      <c r="G2815" s="266"/>
      <c r="H2815" s="73" t="s">
        <v>1509</v>
      </c>
      <c r="I2815" s="268" t="s">
        <v>20</v>
      </c>
      <c r="J2815" s="64">
        <v>410.01</v>
      </c>
      <c r="K2815" s="65"/>
      <c r="L2815" s="224"/>
      <c r="M2815" s="279">
        <v>19717500</v>
      </c>
      <c r="N2815" s="279"/>
      <c r="O2815" s="61"/>
      <c r="P2815" s="69" t="str">
        <f t="shared" si="180"/>
        <v>Penjualan Intouch</v>
      </c>
      <c r="Q2815" s="61"/>
    </row>
    <row r="2816" spans="1:17" hidden="1" x14ac:dyDescent="0.25">
      <c r="A2816" s="60" t="str">
        <f t="shared" si="178"/>
        <v>285410,01</v>
      </c>
      <c r="B2816" s="60">
        <f>COUNTIF($J$7:J2816,J2816)</f>
        <v>285</v>
      </c>
      <c r="C2816" s="60" t="str">
        <f t="shared" si="179"/>
        <v>0</v>
      </c>
      <c r="D2816" s="60">
        <f>COUNTIF($K$7:K2816,K2816)</f>
        <v>0</v>
      </c>
      <c r="E2816" s="61"/>
      <c r="F2816" s="71">
        <v>44630</v>
      </c>
      <c r="G2816" s="266"/>
      <c r="H2816" s="73" t="s">
        <v>1510</v>
      </c>
      <c r="I2816" s="268" t="s">
        <v>20</v>
      </c>
      <c r="J2816" s="64">
        <v>410.01</v>
      </c>
      <c r="K2816" s="65"/>
      <c r="L2816" s="224"/>
      <c r="M2816" s="279">
        <v>1792500</v>
      </c>
      <c r="N2816" s="279"/>
      <c r="O2816" s="61"/>
      <c r="P2816" s="69" t="str">
        <f t="shared" si="180"/>
        <v>Penjualan Intouch</v>
      </c>
      <c r="Q2816" s="61"/>
    </row>
    <row r="2817" spans="1:17" hidden="1" x14ac:dyDescent="0.25">
      <c r="A2817" s="60" t="str">
        <f t="shared" si="178"/>
        <v>111410,03</v>
      </c>
      <c r="B2817" s="60">
        <f>COUNTIF($J$7:J2817,J2817)</f>
        <v>111</v>
      </c>
      <c r="C2817" s="60" t="str">
        <f t="shared" si="179"/>
        <v>0</v>
      </c>
      <c r="D2817" s="60">
        <f>COUNTIF($K$7:K2817,K2817)</f>
        <v>0</v>
      </c>
      <c r="E2817" s="61"/>
      <c r="F2817" s="71">
        <v>44630</v>
      </c>
      <c r="G2817" s="266"/>
      <c r="H2817" s="73" t="s">
        <v>1511</v>
      </c>
      <c r="I2817" s="268" t="s">
        <v>37</v>
      </c>
      <c r="J2817" s="64">
        <v>410.03</v>
      </c>
      <c r="K2817" s="65"/>
      <c r="L2817" s="224"/>
      <c r="M2817" s="279">
        <v>10500000</v>
      </c>
      <c r="N2817" s="279"/>
      <c r="O2817" s="61"/>
      <c r="P2817" s="69" t="str">
        <f t="shared" si="180"/>
        <v>Penjualan Exam</v>
      </c>
      <c r="Q2817" s="61"/>
    </row>
    <row r="2818" spans="1:17" hidden="1" x14ac:dyDescent="0.25">
      <c r="A2818" s="60" t="str">
        <f t="shared" si="178"/>
        <v>112410,03</v>
      </c>
      <c r="B2818" s="60">
        <f>COUNTIF($J$7:J2818,J2818)</f>
        <v>112</v>
      </c>
      <c r="C2818" s="60" t="str">
        <f t="shared" si="179"/>
        <v>0</v>
      </c>
      <c r="D2818" s="60">
        <f>COUNTIF($K$7:K2818,K2818)</f>
        <v>0</v>
      </c>
      <c r="E2818" s="61"/>
      <c r="F2818" s="71">
        <v>44631</v>
      </c>
      <c r="G2818" s="266"/>
      <c r="H2818" s="73" t="s">
        <v>1512</v>
      </c>
      <c r="I2818" s="268" t="s">
        <v>18</v>
      </c>
      <c r="J2818" s="64">
        <v>410.03</v>
      </c>
      <c r="K2818" s="65"/>
      <c r="L2818" s="224"/>
      <c r="M2818" s="279">
        <v>13725000</v>
      </c>
      <c r="N2818" s="279"/>
      <c r="O2818" s="61"/>
      <c r="P2818" s="69" t="str">
        <f t="shared" si="180"/>
        <v>Penjualan Exam</v>
      </c>
      <c r="Q2818" s="61"/>
    </row>
    <row r="2819" spans="1:17" hidden="1" x14ac:dyDescent="0.25">
      <c r="A2819" s="60" t="str">
        <f t="shared" si="178"/>
        <v>286410,01</v>
      </c>
      <c r="B2819" s="60">
        <f>COUNTIF($J$7:J2819,J2819)</f>
        <v>286</v>
      </c>
      <c r="C2819" s="60" t="str">
        <f t="shared" si="179"/>
        <v>0</v>
      </c>
      <c r="D2819" s="60">
        <f>COUNTIF($K$7:K2819,K2819)</f>
        <v>0</v>
      </c>
      <c r="E2819" s="61"/>
      <c r="F2819" s="71">
        <v>44631</v>
      </c>
      <c r="G2819" s="266"/>
      <c r="H2819" s="73" t="s">
        <v>1513</v>
      </c>
      <c r="I2819" s="268" t="s">
        <v>18</v>
      </c>
      <c r="J2819" s="64">
        <v>410.01</v>
      </c>
      <c r="K2819" s="65"/>
      <c r="L2819" s="224"/>
      <c r="M2819" s="279">
        <v>17542500</v>
      </c>
      <c r="N2819" s="279"/>
      <c r="O2819" s="61"/>
      <c r="P2819" s="69" t="str">
        <f t="shared" si="180"/>
        <v>Penjualan Intouch</v>
      </c>
      <c r="Q2819" s="61"/>
    </row>
    <row r="2820" spans="1:17" ht="28.5" hidden="1" x14ac:dyDescent="0.25">
      <c r="A2820" s="60" t="str">
        <f t="shared" si="178"/>
        <v>287410,01</v>
      </c>
      <c r="B2820" s="60">
        <f>COUNTIF($J$7:J2820,J2820)</f>
        <v>287</v>
      </c>
      <c r="C2820" s="60" t="str">
        <f t="shared" si="179"/>
        <v>0</v>
      </c>
      <c r="D2820" s="60">
        <f>COUNTIF($K$7:K2820,K2820)</f>
        <v>0</v>
      </c>
      <c r="E2820" s="61"/>
      <c r="F2820" s="71">
        <v>44631</v>
      </c>
      <c r="G2820" s="266"/>
      <c r="H2820" s="73" t="s">
        <v>1514</v>
      </c>
      <c r="I2820" s="268" t="s">
        <v>34</v>
      </c>
      <c r="J2820" s="64">
        <v>410.01</v>
      </c>
      <c r="K2820" s="65"/>
      <c r="L2820" s="224"/>
      <c r="M2820" s="279">
        <v>1649992.5</v>
      </c>
      <c r="N2820" s="279"/>
      <c r="O2820" s="61"/>
      <c r="P2820" s="69" t="str">
        <f t="shared" si="180"/>
        <v>Penjualan Intouch</v>
      </c>
      <c r="Q2820" s="61"/>
    </row>
    <row r="2821" spans="1:17" hidden="1" x14ac:dyDescent="0.25">
      <c r="A2821" s="60" t="str">
        <f t="shared" si="178"/>
        <v>113410,03</v>
      </c>
      <c r="B2821" s="60">
        <f>COUNTIF($J$7:J2821,J2821)</f>
        <v>113</v>
      </c>
      <c r="C2821" s="60" t="str">
        <f t="shared" si="179"/>
        <v>0</v>
      </c>
      <c r="D2821" s="60">
        <f>COUNTIF($K$7:K2821,K2821)</f>
        <v>0</v>
      </c>
      <c r="E2821" s="61"/>
      <c r="F2821" s="71">
        <v>44634</v>
      </c>
      <c r="G2821" s="266"/>
      <c r="H2821" s="73" t="s">
        <v>1515</v>
      </c>
      <c r="I2821" s="268" t="s">
        <v>44</v>
      </c>
      <c r="J2821" s="64">
        <v>410.03</v>
      </c>
      <c r="K2821" s="65"/>
      <c r="L2821" s="224"/>
      <c r="M2821" s="279">
        <v>8000000</v>
      </c>
      <c r="N2821" s="279"/>
      <c r="O2821" s="61"/>
      <c r="P2821" s="69" t="str">
        <f t="shared" si="180"/>
        <v>Penjualan Exam</v>
      </c>
      <c r="Q2821" s="61"/>
    </row>
    <row r="2822" spans="1:17" hidden="1" x14ac:dyDescent="0.25">
      <c r="A2822" s="60" t="str">
        <f t="shared" si="178"/>
        <v>288410,01</v>
      </c>
      <c r="B2822" s="60">
        <f>COUNTIF($J$7:J2822,J2822)</f>
        <v>288</v>
      </c>
      <c r="C2822" s="60" t="str">
        <f t="shared" si="179"/>
        <v>0</v>
      </c>
      <c r="D2822" s="60">
        <f>COUNTIF($K$7:K2822,K2822)</f>
        <v>0</v>
      </c>
      <c r="E2822" s="61"/>
      <c r="F2822" s="71">
        <v>44634</v>
      </c>
      <c r="G2822" s="266"/>
      <c r="H2822" s="73" t="s">
        <v>1516</v>
      </c>
      <c r="I2822" s="268" t="s">
        <v>20</v>
      </c>
      <c r="J2822" s="64">
        <v>410.01</v>
      </c>
      <c r="K2822" s="65"/>
      <c r="L2822" s="224"/>
      <c r="M2822" s="279">
        <v>8850000</v>
      </c>
      <c r="N2822" s="279"/>
      <c r="O2822" s="61"/>
      <c r="P2822" s="69" t="str">
        <f t="shared" si="180"/>
        <v>Penjualan Intouch</v>
      </c>
      <c r="Q2822" s="61"/>
    </row>
    <row r="2823" spans="1:17" ht="28.5" hidden="1" x14ac:dyDescent="0.25">
      <c r="A2823" s="60" t="str">
        <f t="shared" ref="A2823:A2886" si="181">B2823&amp;J2823</f>
        <v>289410,01</v>
      </c>
      <c r="B2823" s="60">
        <f>COUNTIF($J$7:J2823,J2823)</f>
        <v>289</v>
      </c>
      <c r="C2823" s="60" t="str">
        <f t="shared" ref="C2823:C2886" si="182">D2823&amp;K2823</f>
        <v>0</v>
      </c>
      <c r="D2823" s="60">
        <f>COUNTIF($K$7:K2823,K2823)</f>
        <v>0</v>
      </c>
      <c r="E2823" s="61"/>
      <c r="F2823" s="71">
        <v>44634</v>
      </c>
      <c r="G2823" s="266"/>
      <c r="H2823" s="73" t="s">
        <v>1517</v>
      </c>
      <c r="I2823" s="268" t="s">
        <v>32</v>
      </c>
      <c r="J2823" s="64">
        <v>410.01</v>
      </c>
      <c r="K2823" s="65"/>
      <c r="L2823" s="224"/>
      <c r="M2823" s="279">
        <v>3849982.5</v>
      </c>
      <c r="N2823" s="279"/>
      <c r="O2823" s="61"/>
      <c r="P2823" s="69" t="str">
        <f t="shared" ref="P2823:P2886" si="183">IF(J2823=0,"-",+VLOOKUP(J2823,DAF_AKUN,2,FALSE))</f>
        <v>Penjualan Intouch</v>
      </c>
      <c r="Q2823" s="61"/>
    </row>
    <row r="2824" spans="1:17" ht="28.5" hidden="1" x14ac:dyDescent="0.25">
      <c r="A2824" s="60" t="str">
        <f t="shared" si="181"/>
        <v>114410,03</v>
      </c>
      <c r="B2824" s="60">
        <f>COUNTIF($J$7:J2824,J2824)</f>
        <v>114</v>
      </c>
      <c r="C2824" s="60" t="str">
        <f t="shared" si="182"/>
        <v>0</v>
      </c>
      <c r="D2824" s="60">
        <f>COUNTIF($K$7:K2824,K2824)</f>
        <v>0</v>
      </c>
      <c r="E2824" s="61"/>
      <c r="F2824" s="71">
        <v>44634</v>
      </c>
      <c r="G2824" s="266"/>
      <c r="H2824" s="73" t="s">
        <v>1518</v>
      </c>
      <c r="I2824" s="268" t="s">
        <v>32</v>
      </c>
      <c r="J2824" s="64">
        <v>410.03</v>
      </c>
      <c r="K2824" s="65"/>
      <c r="L2824" s="224"/>
      <c r="M2824" s="279">
        <v>10350000</v>
      </c>
      <c r="N2824" s="279"/>
      <c r="O2824" s="61"/>
      <c r="P2824" s="69" t="str">
        <f t="shared" si="183"/>
        <v>Penjualan Exam</v>
      </c>
      <c r="Q2824" s="61"/>
    </row>
    <row r="2825" spans="1:17" ht="28.5" hidden="1" x14ac:dyDescent="0.25">
      <c r="A2825" s="60" t="str">
        <f t="shared" si="181"/>
        <v>290410,01</v>
      </c>
      <c r="B2825" s="60">
        <f>COUNTIF($J$7:J2825,J2825)</f>
        <v>290</v>
      </c>
      <c r="C2825" s="60" t="str">
        <f t="shared" si="182"/>
        <v>0</v>
      </c>
      <c r="D2825" s="60">
        <f>COUNTIF($K$7:K2825,K2825)</f>
        <v>0</v>
      </c>
      <c r="E2825" s="61"/>
      <c r="F2825" s="71">
        <v>44634</v>
      </c>
      <c r="G2825" s="266"/>
      <c r="H2825" s="73" t="s">
        <v>1519</v>
      </c>
      <c r="I2825" s="268" t="s">
        <v>32</v>
      </c>
      <c r="J2825" s="64">
        <v>410.01</v>
      </c>
      <c r="K2825" s="65"/>
      <c r="L2825" s="224"/>
      <c r="M2825" s="279">
        <v>549997.5</v>
      </c>
      <c r="N2825" s="279"/>
      <c r="O2825" s="61"/>
      <c r="P2825" s="69" t="str">
        <f t="shared" si="183"/>
        <v>Penjualan Intouch</v>
      </c>
      <c r="Q2825" s="61"/>
    </row>
    <row r="2826" spans="1:17" hidden="1" x14ac:dyDescent="0.25">
      <c r="A2826" s="60" t="str">
        <f t="shared" si="181"/>
        <v>291410,01</v>
      </c>
      <c r="B2826" s="60">
        <f>COUNTIF($J$7:J2826,J2826)</f>
        <v>291</v>
      </c>
      <c r="C2826" s="60" t="str">
        <f t="shared" si="182"/>
        <v>0</v>
      </c>
      <c r="D2826" s="60">
        <f>COUNTIF($K$7:K2826,K2826)</f>
        <v>0</v>
      </c>
      <c r="E2826" s="61"/>
      <c r="F2826" s="71">
        <v>44634</v>
      </c>
      <c r="G2826" s="266"/>
      <c r="H2826" s="73" t="s">
        <v>1520</v>
      </c>
      <c r="I2826" s="268" t="s">
        <v>41</v>
      </c>
      <c r="J2826" s="64">
        <v>410.01</v>
      </c>
      <c r="K2826" s="65"/>
      <c r="L2826" s="224"/>
      <c r="M2826" s="279">
        <v>7500000</v>
      </c>
      <c r="N2826" s="279"/>
      <c r="O2826" s="61"/>
      <c r="P2826" s="69" t="str">
        <f t="shared" si="183"/>
        <v>Penjualan Intouch</v>
      </c>
      <c r="Q2826" s="61"/>
    </row>
    <row r="2827" spans="1:17" hidden="1" x14ac:dyDescent="0.25">
      <c r="A2827" s="60" t="str">
        <f t="shared" si="181"/>
        <v>292410,01</v>
      </c>
      <c r="B2827" s="60">
        <f>COUNTIF($J$7:J2827,J2827)</f>
        <v>292</v>
      </c>
      <c r="C2827" s="60" t="str">
        <f t="shared" si="182"/>
        <v>0</v>
      </c>
      <c r="D2827" s="60">
        <f>COUNTIF($K$7:K2827,K2827)</f>
        <v>0</v>
      </c>
      <c r="E2827" s="61"/>
      <c r="F2827" s="71">
        <v>44634</v>
      </c>
      <c r="G2827" s="266"/>
      <c r="H2827" s="73" t="s">
        <v>1521</v>
      </c>
      <c r="I2827" s="268" t="s">
        <v>37</v>
      </c>
      <c r="J2827" s="64">
        <v>410.01</v>
      </c>
      <c r="K2827" s="65"/>
      <c r="L2827" s="224"/>
      <c r="M2827" s="279">
        <v>17460000</v>
      </c>
      <c r="N2827" s="279"/>
      <c r="O2827" s="61"/>
      <c r="P2827" s="69" t="str">
        <f t="shared" si="183"/>
        <v>Penjualan Intouch</v>
      </c>
      <c r="Q2827" s="61"/>
    </row>
    <row r="2828" spans="1:17" ht="28.5" hidden="1" x14ac:dyDescent="0.25">
      <c r="A2828" s="60" t="str">
        <f t="shared" si="181"/>
        <v>293410,01</v>
      </c>
      <c r="B2828" s="60">
        <f>COUNTIF($J$7:J2828,J2828)</f>
        <v>293</v>
      </c>
      <c r="C2828" s="60" t="str">
        <f t="shared" si="182"/>
        <v>0</v>
      </c>
      <c r="D2828" s="60">
        <f>COUNTIF($K$7:K2828,K2828)</f>
        <v>0</v>
      </c>
      <c r="E2828" s="61"/>
      <c r="F2828" s="71">
        <v>44634</v>
      </c>
      <c r="G2828" s="266"/>
      <c r="H2828" s="73" t="s">
        <v>1522</v>
      </c>
      <c r="I2828" s="268" t="s">
        <v>34</v>
      </c>
      <c r="J2828" s="64">
        <v>410.01</v>
      </c>
      <c r="K2828" s="65"/>
      <c r="L2828" s="224"/>
      <c r="M2828" s="279">
        <v>3299985</v>
      </c>
      <c r="N2828" s="279"/>
      <c r="O2828" s="61"/>
      <c r="P2828" s="69" t="str">
        <f t="shared" si="183"/>
        <v>Penjualan Intouch</v>
      </c>
      <c r="Q2828" s="61"/>
    </row>
    <row r="2829" spans="1:17" hidden="1" x14ac:dyDescent="0.25">
      <c r="A2829" s="60" t="str">
        <f t="shared" si="181"/>
        <v>115410,03</v>
      </c>
      <c r="B2829" s="60">
        <f>COUNTIF($J$7:J2829,J2829)</f>
        <v>115</v>
      </c>
      <c r="C2829" s="60" t="str">
        <f t="shared" si="182"/>
        <v>0</v>
      </c>
      <c r="D2829" s="60">
        <f>COUNTIF($K$7:K2829,K2829)</f>
        <v>0</v>
      </c>
      <c r="E2829" s="61"/>
      <c r="F2829" s="71">
        <v>44635</v>
      </c>
      <c r="G2829" s="266"/>
      <c r="H2829" s="73" t="s">
        <v>1523</v>
      </c>
      <c r="I2829" s="268" t="s">
        <v>37</v>
      </c>
      <c r="J2829" s="64">
        <v>410.03</v>
      </c>
      <c r="K2829" s="65"/>
      <c r="L2829" s="224"/>
      <c r="M2829" s="279">
        <v>7875000</v>
      </c>
      <c r="N2829" s="279"/>
      <c r="O2829" s="61"/>
      <c r="P2829" s="69" t="str">
        <f t="shared" si="183"/>
        <v>Penjualan Exam</v>
      </c>
      <c r="Q2829" s="61"/>
    </row>
    <row r="2830" spans="1:17" hidden="1" x14ac:dyDescent="0.25">
      <c r="A2830" s="60" t="str">
        <f t="shared" si="181"/>
        <v>294410,01</v>
      </c>
      <c r="B2830" s="60">
        <f>COUNTIF($J$7:J2830,J2830)</f>
        <v>294</v>
      </c>
      <c r="C2830" s="60" t="str">
        <f t="shared" si="182"/>
        <v>0</v>
      </c>
      <c r="D2830" s="60">
        <f>COUNTIF($K$7:K2830,K2830)</f>
        <v>0</v>
      </c>
      <c r="E2830" s="61"/>
      <c r="F2830" s="71">
        <v>44635</v>
      </c>
      <c r="G2830" s="266"/>
      <c r="H2830" s="73" t="s">
        <v>1524</v>
      </c>
      <c r="I2830" s="268" t="s">
        <v>37</v>
      </c>
      <c r="J2830" s="64">
        <v>410.01</v>
      </c>
      <c r="K2830" s="65"/>
      <c r="L2830" s="224"/>
      <c r="M2830" s="279">
        <v>17085000</v>
      </c>
      <c r="N2830" s="279"/>
      <c r="O2830" s="61"/>
      <c r="P2830" s="69" t="str">
        <f t="shared" si="183"/>
        <v>Penjualan Intouch</v>
      </c>
      <c r="Q2830" s="61"/>
    </row>
    <row r="2831" spans="1:17" hidden="1" x14ac:dyDescent="0.25">
      <c r="A2831" s="60" t="str">
        <f t="shared" si="181"/>
        <v>295410,01</v>
      </c>
      <c r="B2831" s="60">
        <f>COUNTIF($J$7:J2831,J2831)</f>
        <v>295</v>
      </c>
      <c r="C2831" s="60" t="str">
        <f t="shared" si="182"/>
        <v>0</v>
      </c>
      <c r="D2831" s="60">
        <f>COUNTIF($K$7:K2831,K2831)</f>
        <v>0</v>
      </c>
      <c r="E2831" s="61"/>
      <c r="F2831" s="71">
        <v>44637</v>
      </c>
      <c r="G2831" s="266"/>
      <c r="H2831" s="73" t="s">
        <v>1525</v>
      </c>
      <c r="I2831" s="268" t="s">
        <v>863</v>
      </c>
      <c r="J2831" s="64">
        <v>410.01</v>
      </c>
      <c r="K2831" s="65"/>
      <c r="L2831" s="224"/>
      <c r="M2831" s="279">
        <v>146430000</v>
      </c>
      <c r="N2831" s="279"/>
      <c r="O2831" s="61"/>
      <c r="P2831" s="69" t="str">
        <f t="shared" si="183"/>
        <v>Penjualan Intouch</v>
      </c>
      <c r="Q2831" s="61"/>
    </row>
    <row r="2832" spans="1:17" ht="28.5" hidden="1" x14ac:dyDescent="0.25">
      <c r="A2832" s="60" t="str">
        <f t="shared" si="181"/>
        <v>296410,01</v>
      </c>
      <c r="B2832" s="60">
        <f>COUNTIF($J$7:J2832,J2832)</f>
        <v>296</v>
      </c>
      <c r="C2832" s="60" t="str">
        <f t="shared" si="182"/>
        <v>0</v>
      </c>
      <c r="D2832" s="60">
        <f>COUNTIF($K$7:K2832,K2832)</f>
        <v>0</v>
      </c>
      <c r="E2832" s="61"/>
      <c r="F2832" s="71">
        <v>44637</v>
      </c>
      <c r="G2832" s="266"/>
      <c r="H2832" s="73" t="s">
        <v>1526</v>
      </c>
      <c r="I2832" s="268" t="s">
        <v>34</v>
      </c>
      <c r="J2832" s="64">
        <v>410.01</v>
      </c>
      <c r="K2832" s="65"/>
      <c r="L2832" s="224"/>
      <c r="M2832" s="279">
        <v>1649992.5</v>
      </c>
      <c r="N2832" s="279"/>
      <c r="O2832" s="61"/>
      <c r="P2832" s="69" t="str">
        <f t="shared" si="183"/>
        <v>Penjualan Intouch</v>
      </c>
      <c r="Q2832" s="61"/>
    </row>
    <row r="2833" spans="1:17" hidden="1" x14ac:dyDescent="0.25">
      <c r="A2833" s="60" t="str">
        <f t="shared" si="181"/>
        <v>297410,01</v>
      </c>
      <c r="B2833" s="60">
        <f>COUNTIF($J$7:J2833,J2833)</f>
        <v>297</v>
      </c>
      <c r="C2833" s="60" t="str">
        <f t="shared" si="182"/>
        <v>0</v>
      </c>
      <c r="D2833" s="60">
        <f>COUNTIF($K$7:K2833,K2833)</f>
        <v>0</v>
      </c>
      <c r="E2833" s="61"/>
      <c r="F2833" s="71">
        <v>44637</v>
      </c>
      <c r="G2833" s="266"/>
      <c r="H2833" s="73" t="s">
        <v>1527</v>
      </c>
      <c r="I2833" s="268" t="s">
        <v>1473</v>
      </c>
      <c r="J2833" s="64">
        <v>410.01</v>
      </c>
      <c r="K2833" s="65"/>
      <c r="L2833" s="224"/>
      <c r="M2833" s="277">
        <v>24480000</v>
      </c>
      <c r="N2833" s="277"/>
      <c r="O2833" s="61"/>
      <c r="P2833" s="69" t="str">
        <f t="shared" si="183"/>
        <v>Penjualan Intouch</v>
      </c>
      <c r="Q2833" s="61"/>
    </row>
    <row r="2834" spans="1:17" ht="28.5" hidden="1" x14ac:dyDescent="0.25">
      <c r="A2834" s="60" t="str">
        <f t="shared" si="181"/>
        <v>298410,01</v>
      </c>
      <c r="B2834" s="60">
        <f>COUNTIF($J$7:J2834,J2834)</f>
        <v>298</v>
      </c>
      <c r="C2834" s="60" t="str">
        <f t="shared" si="182"/>
        <v>0</v>
      </c>
      <c r="D2834" s="60">
        <f>COUNTIF($K$7:K2834,K2834)</f>
        <v>0</v>
      </c>
      <c r="E2834" s="61"/>
      <c r="F2834" s="71">
        <v>44637</v>
      </c>
      <c r="G2834" s="266"/>
      <c r="H2834" s="73" t="s">
        <v>1528</v>
      </c>
      <c r="I2834" s="268" t="s">
        <v>1529</v>
      </c>
      <c r="J2834" s="64">
        <v>410.01</v>
      </c>
      <c r="K2834" s="65"/>
      <c r="L2834" s="224"/>
      <c r="M2834" s="279">
        <v>1869318</v>
      </c>
      <c r="N2834" s="279"/>
      <c r="O2834" s="61"/>
      <c r="P2834" s="69" t="str">
        <f t="shared" si="183"/>
        <v>Penjualan Intouch</v>
      </c>
      <c r="Q2834" s="61"/>
    </row>
    <row r="2835" spans="1:17" hidden="1" x14ac:dyDescent="0.25">
      <c r="A2835" s="60" t="str">
        <f t="shared" si="181"/>
        <v>299410,01</v>
      </c>
      <c r="B2835" s="60">
        <f>COUNTIF($J$7:J2835,J2835)</f>
        <v>299</v>
      </c>
      <c r="C2835" s="60" t="str">
        <f t="shared" si="182"/>
        <v>0</v>
      </c>
      <c r="D2835" s="60">
        <f>COUNTIF($K$7:K2835,K2835)</f>
        <v>0</v>
      </c>
      <c r="E2835" s="61"/>
      <c r="F2835" s="71">
        <v>44637</v>
      </c>
      <c r="G2835" s="266"/>
      <c r="H2835" s="73" t="s">
        <v>1530</v>
      </c>
      <c r="I2835" s="268" t="s">
        <v>1531</v>
      </c>
      <c r="J2835" s="64">
        <v>410.01</v>
      </c>
      <c r="K2835" s="65"/>
      <c r="L2835" s="224"/>
      <c r="M2835" s="279">
        <v>1825000</v>
      </c>
      <c r="N2835" s="279"/>
      <c r="O2835" s="61"/>
      <c r="P2835" s="69" t="str">
        <f t="shared" si="183"/>
        <v>Penjualan Intouch</v>
      </c>
      <c r="Q2835" s="61"/>
    </row>
    <row r="2836" spans="1:17" hidden="1" x14ac:dyDescent="0.25">
      <c r="A2836" s="60" t="str">
        <f t="shared" si="181"/>
        <v>300410,01</v>
      </c>
      <c r="B2836" s="60">
        <f>COUNTIF($J$7:J2836,J2836)</f>
        <v>300</v>
      </c>
      <c r="C2836" s="60" t="str">
        <f t="shared" si="182"/>
        <v>0</v>
      </c>
      <c r="D2836" s="60">
        <f>COUNTIF($K$7:K2836,K2836)</f>
        <v>0</v>
      </c>
      <c r="E2836" s="61"/>
      <c r="F2836" s="71">
        <v>44638</v>
      </c>
      <c r="G2836" s="266"/>
      <c r="H2836" s="73" t="s">
        <v>1532</v>
      </c>
      <c r="I2836" s="268" t="s">
        <v>20</v>
      </c>
      <c r="J2836" s="64">
        <v>410.01</v>
      </c>
      <c r="K2836" s="65"/>
      <c r="L2836" s="224"/>
      <c r="M2836" s="279">
        <v>22695000</v>
      </c>
      <c r="N2836" s="279"/>
      <c r="O2836" s="61"/>
      <c r="P2836" s="69" t="str">
        <f t="shared" si="183"/>
        <v>Penjualan Intouch</v>
      </c>
      <c r="Q2836" s="61"/>
    </row>
    <row r="2837" spans="1:17" ht="28.5" hidden="1" x14ac:dyDescent="0.25">
      <c r="A2837" s="60" t="str">
        <f t="shared" si="181"/>
        <v>301410,01</v>
      </c>
      <c r="B2837" s="60">
        <f>COUNTIF($J$7:J2837,J2837)</f>
        <v>301</v>
      </c>
      <c r="C2837" s="60" t="str">
        <f t="shared" si="182"/>
        <v>0</v>
      </c>
      <c r="D2837" s="60">
        <f>COUNTIF($K$7:K2837,K2837)</f>
        <v>0</v>
      </c>
      <c r="E2837" s="61"/>
      <c r="F2837" s="71">
        <v>44638</v>
      </c>
      <c r="G2837" s="266"/>
      <c r="H2837" s="73" t="s">
        <v>1533</v>
      </c>
      <c r="I2837" s="268" t="s">
        <v>34</v>
      </c>
      <c r="J2837" s="64">
        <v>410.01</v>
      </c>
      <c r="K2837" s="65"/>
      <c r="L2837" s="224"/>
      <c r="M2837" s="279">
        <v>3299985</v>
      </c>
      <c r="N2837" s="279"/>
      <c r="O2837" s="61"/>
      <c r="P2837" s="69" t="str">
        <f t="shared" si="183"/>
        <v>Penjualan Intouch</v>
      </c>
      <c r="Q2837" s="61"/>
    </row>
    <row r="2838" spans="1:17" ht="28.5" hidden="1" x14ac:dyDescent="0.25">
      <c r="A2838" s="60" t="str">
        <f t="shared" si="181"/>
        <v>302410,01</v>
      </c>
      <c r="B2838" s="60">
        <f>COUNTIF($J$7:J2838,J2838)</f>
        <v>302</v>
      </c>
      <c r="C2838" s="60" t="str">
        <f t="shared" si="182"/>
        <v>0</v>
      </c>
      <c r="D2838" s="60">
        <f>COUNTIF($K$7:K2838,K2838)</f>
        <v>0</v>
      </c>
      <c r="E2838" s="61"/>
      <c r="F2838" s="71">
        <v>44638</v>
      </c>
      <c r="G2838" s="266"/>
      <c r="H2838" s="73" t="s">
        <v>1534</v>
      </c>
      <c r="I2838" s="268" t="s">
        <v>34</v>
      </c>
      <c r="J2838" s="64">
        <v>410.01</v>
      </c>
      <c r="K2838" s="65"/>
      <c r="L2838" s="224"/>
      <c r="M2838" s="279">
        <v>1649992.5</v>
      </c>
      <c r="N2838" s="279"/>
      <c r="O2838" s="61"/>
      <c r="P2838" s="69" t="str">
        <f t="shared" si="183"/>
        <v>Penjualan Intouch</v>
      </c>
      <c r="Q2838" s="61"/>
    </row>
    <row r="2839" spans="1:17" hidden="1" x14ac:dyDescent="0.25">
      <c r="A2839" s="60" t="str">
        <f t="shared" si="181"/>
        <v>116410,03</v>
      </c>
      <c r="B2839" s="60">
        <f>COUNTIF($J$7:J2839,J2839)</f>
        <v>116</v>
      </c>
      <c r="C2839" s="60" t="str">
        <f t="shared" si="182"/>
        <v>0</v>
      </c>
      <c r="D2839" s="60">
        <f>COUNTIF($K$7:K2839,K2839)</f>
        <v>0</v>
      </c>
      <c r="E2839" s="61"/>
      <c r="F2839" s="71">
        <v>44641</v>
      </c>
      <c r="G2839" s="266"/>
      <c r="H2839" s="73" t="s">
        <v>1535</v>
      </c>
      <c r="I2839" s="268" t="s">
        <v>44</v>
      </c>
      <c r="J2839" s="64">
        <v>410.03</v>
      </c>
      <c r="K2839" s="65"/>
      <c r="L2839" s="224"/>
      <c r="M2839" s="279">
        <v>12000000</v>
      </c>
      <c r="N2839" s="279"/>
      <c r="O2839" s="61"/>
      <c r="P2839" s="69" t="str">
        <f t="shared" si="183"/>
        <v>Penjualan Exam</v>
      </c>
      <c r="Q2839" s="61"/>
    </row>
    <row r="2840" spans="1:17" hidden="1" x14ac:dyDescent="0.25">
      <c r="A2840" s="60" t="str">
        <f t="shared" si="181"/>
        <v>117410,03</v>
      </c>
      <c r="B2840" s="60">
        <f>COUNTIF($J$7:J2840,J2840)</f>
        <v>117</v>
      </c>
      <c r="C2840" s="60" t="str">
        <f t="shared" si="182"/>
        <v>0</v>
      </c>
      <c r="D2840" s="60">
        <f>COUNTIF($K$7:K2840,K2840)</f>
        <v>0</v>
      </c>
      <c r="E2840" s="61"/>
      <c r="F2840" s="71">
        <v>44641</v>
      </c>
      <c r="G2840" s="266"/>
      <c r="H2840" s="73" t="s">
        <v>1536</v>
      </c>
      <c r="I2840" s="268" t="s">
        <v>44</v>
      </c>
      <c r="J2840" s="64">
        <v>410.03</v>
      </c>
      <c r="K2840" s="65"/>
      <c r="L2840" s="224"/>
      <c r="M2840" s="279">
        <v>8000000</v>
      </c>
      <c r="N2840" s="279"/>
      <c r="O2840" s="61"/>
      <c r="P2840" s="69" t="str">
        <f t="shared" si="183"/>
        <v>Penjualan Exam</v>
      </c>
      <c r="Q2840" s="61"/>
    </row>
    <row r="2841" spans="1:17" hidden="1" x14ac:dyDescent="0.25">
      <c r="A2841" s="60" t="str">
        <f t="shared" si="181"/>
        <v>303410,01</v>
      </c>
      <c r="B2841" s="60">
        <f>COUNTIF($J$7:J2841,J2841)</f>
        <v>303</v>
      </c>
      <c r="C2841" s="60" t="str">
        <f t="shared" si="182"/>
        <v>0</v>
      </c>
      <c r="D2841" s="60">
        <f>COUNTIF($K$7:K2841,K2841)</f>
        <v>0</v>
      </c>
      <c r="E2841" s="61"/>
      <c r="F2841" s="71">
        <v>44641</v>
      </c>
      <c r="G2841" s="266"/>
      <c r="H2841" s="73" t="s">
        <v>1537</v>
      </c>
      <c r="I2841" s="268" t="s">
        <v>18</v>
      </c>
      <c r="J2841" s="64">
        <v>410.01</v>
      </c>
      <c r="K2841" s="65"/>
      <c r="L2841" s="224"/>
      <c r="M2841" s="279">
        <v>21082500</v>
      </c>
      <c r="N2841" s="279"/>
      <c r="O2841" s="61"/>
      <c r="P2841" s="69" t="str">
        <f t="shared" si="183"/>
        <v>Penjualan Intouch</v>
      </c>
      <c r="Q2841" s="61"/>
    </row>
    <row r="2842" spans="1:17" hidden="1" x14ac:dyDescent="0.25">
      <c r="A2842" s="60" t="str">
        <f t="shared" si="181"/>
        <v>118410,03</v>
      </c>
      <c r="B2842" s="60">
        <f>COUNTIF($J$7:J2842,J2842)</f>
        <v>118</v>
      </c>
      <c r="C2842" s="60" t="str">
        <f t="shared" si="182"/>
        <v>0</v>
      </c>
      <c r="D2842" s="60">
        <f>COUNTIF($K$7:K2842,K2842)</f>
        <v>0</v>
      </c>
      <c r="E2842" s="61"/>
      <c r="F2842" s="71">
        <v>44641</v>
      </c>
      <c r="G2842" s="266"/>
      <c r="H2842" s="73" t="s">
        <v>1538</v>
      </c>
      <c r="I2842" s="268" t="s">
        <v>18</v>
      </c>
      <c r="J2842" s="64">
        <v>410.03</v>
      </c>
      <c r="K2842" s="65"/>
      <c r="L2842" s="224"/>
      <c r="M2842" s="279">
        <v>41000000</v>
      </c>
      <c r="N2842" s="279"/>
      <c r="O2842" s="61"/>
      <c r="P2842" s="69" t="str">
        <f t="shared" si="183"/>
        <v>Penjualan Exam</v>
      </c>
      <c r="Q2842" s="61"/>
    </row>
    <row r="2843" spans="1:17" hidden="1" x14ac:dyDescent="0.25">
      <c r="A2843" s="60" t="str">
        <f t="shared" si="181"/>
        <v>304410,01</v>
      </c>
      <c r="B2843" s="60">
        <f>COUNTIF($J$7:J2843,J2843)</f>
        <v>304</v>
      </c>
      <c r="C2843" s="60" t="str">
        <f t="shared" si="182"/>
        <v>0</v>
      </c>
      <c r="D2843" s="60">
        <f>COUNTIF($K$7:K2843,K2843)</f>
        <v>0</v>
      </c>
      <c r="E2843" s="61"/>
      <c r="F2843" s="71">
        <v>44641</v>
      </c>
      <c r="G2843" s="266"/>
      <c r="H2843" s="73" t="s">
        <v>1539</v>
      </c>
      <c r="I2843" s="268" t="s">
        <v>37</v>
      </c>
      <c r="J2843" s="64">
        <v>410.01</v>
      </c>
      <c r="K2843" s="65"/>
      <c r="L2843" s="224"/>
      <c r="M2843" s="279">
        <v>8760000</v>
      </c>
      <c r="N2843" s="279"/>
      <c r="O2843" s="61"/>
      <c r="P2843" s="69" t="str">
        <f t="shared" si="183"/>
        <v>Penjualan Intouch</v>
      </c>
      <c r="Q2843" s="61"/>
    </row>
    <row r="2844" spans="1:17" hidden="1" x14ac:dyDescent="0.25">
      <c r="A2844" s="60" t="str">
        <f t="shared" si="181"/>
        <v>119410,03</v>
      </c>
      <c r="B2844" s="60">
        <f>COUNTIF($J$7:J2844,J2844)</f>
        <v>119</v>
      </c>
      <c r="C2844" s="60" t="str">
        <f t="shared" si="182"/>
        <v>0</v>
      </c>
      <c r="D2844" s="60">
        <f>COUNTIF($K$7:K2844,K2844)</f>
        <v>0</v>
      </c>
      <c r="E2844" s="61"/>
      <c r="F2844" s="71">
        <v>44641</v>
      </c>
      <c r="G2844" s="266"/>
      <c r="H2844" s="73" t="s">
        <v>1540</v>
      </c>
      <c r="I2844" s="268" t="s">
        <v>37</v>
      </c>
      <c r="J2844" s="64">
        <v>410.03</v>
      </c>
      <c r="K2844" s="65"/>
      <c r="L2844" s="224"/>
      <c r="M2844" s="279">
        <v>3500000</v>
      </c>
      <c r="N2844" s="279"/>
      <c r="O2844" s="61"/>
      <c r="P2844" s="69" t="str">
        <f t="shared" si="183"/>
        <v>Penjualan Exam</v>
      </c>
      <c r="Q2844" s="61"/>
    </row>
    <row r="2845" spans="1:17" hidden="1" x14ac:dyDescent="0.25">
      <c r="A2845" s="60" t="str">
        <f t="shared" si="181"/>
        <v>120410,03</v>
      </c>
      <c r="B2845" s="60">
        <f>COUNTIF($J$7:J2845,J2845)</f>
        <v>120</v>
      </c>
      <c r="C2845" s="60" t="str">
        <f t="shared" si="182"/>
        <v>0</v>
      </c>
      <c r="D2845" s="60">
        <f>COUNTIF($K$7:K2845,K2845)</f>
        <v>0</v>
      </c>
      <c r="E2845" s="61"/>
      <c r="F2845" s="71">
        <v>44641</v>
      </c>
      <c r="G2845" s="266"/>
      <c r="H2845" s="73" t="s">
        <v>1541</v>
      </c>
      <c r="I2845" s="73" t="s">
        <v>53</v>
      </c>
      <c r="J2845" s="64">
        <v>410.03</v>
      </c>
      <c r="K2845" s="65"/>
      <c r="L2845" s="224"/>
      <c r="M2845" s="279">
        <v>4400000</v>
      </c>
      <c r="N2845" s="279"/>
      <c r="O2845" s="61"/>
      <c r="P2845" s="69" t="str">
        <f t="shared" si="183"/>
        <v>Penjualan Exam</v>
      </c>
      <c r="Q2845" s="61"/>
    </row>
    <row r="2846" spans="1:17" hidden="1" x14ac:dyDescent="0.25">
      <c r="A2846" s="60" t="str">
        <f t="shared" si="181"/>
        <v>121410,03</v>
      </c>
      <c r="B2846" s="60">
        <f>COUNTIF($J$7:J2846,J2846)</f>
        <v>121</v>
      </c>
      <c r="C2846" s="60" t="str">
        <f t="shared" si="182"/>
        <v>0</v>
      </c>
      <c r="D2846" s="60">
        <f>COUNTIF($K$7:K2846,K2846)</f>
        <v>0</v>
      </c>
      <c r="E2846" s="61"/>
      <c r="F2846" s="71">
        <v>44642</v>
      </c>
      <c r="G2846" s="266"/>
      <c r="H2846" s="73" t="s">
        <v>1542</v>
      </c>
      <c r="I2846" s="268" t="s">
        <v>58</v>
      </c>
      <c r="J2846" s="64">
        <v>410.03</v>
      </c>
      <c r="K2846" s="65"/>
      <c r="L2846" s="224"/>
      <c r="M2846" s="279">
        <v>1750000</v>
      </c>
      <c r="N2846" s="279"/>
      <c r="O2846" s="61"/>
      <c r="P2846" s="69" t="str">
        <f t="shared" si="183"/>
        <v>Penjualan Exam</v>
      </c>
      <c r="Q2846" s="61"/>
    </row>
    <row r="2847" spans="1:17" hidden="1" x14ac:dyDescent="0.25">
      <c r="A2847" s="60" t="str">
        <f t="shared" si="181"/>
        <v>122410,03</v>
      </c>
      <c r="B2847" s="60">
        <f>COUNTIF($J$7:J2847,J2847)</f>
        <v>122</v>
      </c>
      <c r="C2847" s="60" t="str">
        <f t="shared" si="182"/>
        <v>0</v>
      </c>
      <c r="D2847" s="60">
        <f>COUNTIF($K$7:K2847,K2847)</f>
        <v>0</v>
      </c>
      <c r="E2847" s="61"/>
      <c r="F2847" s="71">
        <v>44642</v>
      </c>
      <c r="G2847" s="266"/>
      <c r="H2847" s="73" t="s">
        <v>1543</v>
      </c>
      <c r="I2847" s="268" t="s">
        <v>58</v>
      </c>
      <c r="J2847" s="64">
        <v>410.03</v>
      </c>
      <c r="K2847" s="65"/>
      <c r="L2847" s="224"/>
      <c r="M2847" s="279">
        <v>1750000</v>
      </c>
      <c r="N2847" s="279"/>
      <c r="O2847" s="61"/>
      <c r="P2847" s="69" t="str">
        <f t="shared" si="183"/>
        <v>Penjualan Exam</v>
      </c>
      <c r="Q2847" s="61"/>
    </row>
    <row r="2848" spans="1:17" hidden="1" x14ac:dyDescent="0.25">
      <c r="A2848" s="60" t="str">
        <f t="shared" si="181"/>
        <v>305410,01</v>
      </c>
      <c r="B2848" s="60">
        <f>COUNTIF($J$7:J2848,J2848)</f>
        <v>305</v>
      </c>
      <c r="C2848" s="60" t="str">
        <f t="shared" si="182"/>
        <v>0</v>
      </c>
      <c r="D2848" s="60">
        <f>COUNTIF($K$7:K2848,K2848)</f>
        <v>0</v>
      </c>
      <c r="E2848" s="61"/>
      <c r="F2848" s="71">
        <v>44642</v>
      </c>
      <c r="G2848" s="266"/>
      <c r="H2848" s="73" t="s">
        <v>1544</v>
      </c>
      <c r="I2848" s="268" t="s">
        <v>20</v>
      </c>
      <c r="J2848" s="64">
        <v>410.01</v>
      </c>
      <c r="K2848" s="65"/>
      <c r="L2848" s="224"/>
      <c r="M2848" s="279">
        <v>16095000</v>
      </c>
      <c r="N2848" s="279"/>
      <c r="O2848" s="61"/>
      <c r="P2848" s="69" t="str">
        <f t="shared" si="183"/>
        <v>Penjualan Intouch</v>
      </c>
      <c r="Q2848" s="61"/>
    </row>
    <row r="2849" spans="1:17" hidden="1" x14ac:dyDescent="0.25">
      <c r="A2849" s="60" t="str">
        <f t="shared" si="181"/>
        <v>123410,03</v>
      </c>
      <c r="B2849" s="60">
        <f>COUNTIF($J$7:J2849,J2849)</f>
        <v>123</v>
      </c>
      <c r="C2849" s="60" t="str">
        <f t="shared" si="182"/>
        <v>0</v>
      </c>
      <c r="D2849" s="60">
        <f>COUNTIF($K$7:K2849,K2849)</f>
        <v>0</v>
      </c>
      <c r="E2849" s="61"/>
      <c r="F2849" s="71">
        <v>44642</v>
      </c>
      <c r="G2849" s="266"/>
      <c r="H2849" s="73" t="s">
        <v>1545</v>
      </c>
      <c r="I2849" s="268" t="s">
        <v>20</v>
      </c>
      <c r="J2849" s="64">
        <v>410.03</v>
      </c>
      <c r="K2849" s="65"/>
      <c r="L2849" s="224"/>
      <c r="M2849" s="279">
        <v>4920000</v>
      </c>
      <c r="N2849" s="279"/>
      <c r="O2849" s="61"/>
      <c r="P2849" s="69" t="str">
        <f t="shared" si="183"/>
        <v>Penjualan Exam</v>
      </c>
      <c r="Q2849" s="61"/>
    </row>
    <row r="2850" spans="1:17" hidden="1" x14ac:dyDescent="0.25">
      <c r="A2850" s="60" t="str">
        <f t="shared" si="181"/>
        <v>306410,01</v>
      </c>
      <c r="B2850" s="60">
        <f>COUNTIF($J$7:J2850,J2850)</f>
        <v>306</v>
      </c>
      <c r="C2850" s="60" t="str">
        <f t="shared" si="182"/>
        <v>0</v>
      </c>
      <c r="D2850" s="60">
        <f>COUNTIF($K$7:K2850,K2850)</f>
        <v>0</v>
      </c>
      <c r="E2850" s="61"/>
      <c r="F2850" s="71">
        <v>44642</v>
      </c>
      <c r="G2850" s="266"/>
      <c r="H2850" s="73" t="s">
        <v>1546</v>
      </c>
      <c r="I2850" s="268" t="s">
        <v>37</v>
      </c>
      <c r="J2850" s="64">
        <v>410.01</v>
      </c>
      <c r="K2850" s="65"/>
      <c r="L2850" s="224"/>
      <c r="M2850" s="279">
        <v>17460000</v>
      </c>
      <c r="N2850" s="279"/>
      <c r="O2850" s="61"/>
      <c r="P2850" s="69" t="str">
        <f t="shared" si="183"/>
        <v>Penjualan Intouch</v>
      </c>
      <c r="Q2850" s="61"/>
    </row>
    <row r="2851" spans="1:17" ht="28.5" hidden="1" x14ac:dyDescent="0.25">
      <c r="A2851" s="60" t="str">
        <f t="shared" si="181"/>
        <v>307410,01</v>
      </c>
      <c r="B2851" s="60">
        <f>COUNTIF($J$7:J2851,J2851)</f>
        <v>307</v>
      </c>
      <c r="C2851" s="60" t="str">
        <f t="shared" si="182"/>
        <v>0</v>
      </c>
      <c r="D2851" s="60">
        <f>COUNTIF($K$7:K2851,K2851)</f>
        <v>0</v>
      </c>
      <c r="E2851" s="61"/>
      <c r="F2851" s="71">
        <v>44642</v>
      </c>
      <c r="G2851" s="266"/>
      <c r="H2851" s="73" t="s">
        <v>1547</v>
      </c>
      <c r="I2851" s="268" t="s">
        <v>34</v>
      </c>
      <c r="J2851" s="64">
        <v>410.01</v>
      </c>
      <c r="K2851" s="65"/>
      <c r="L2851" s="224"/>
      <c r="M2851" s="279">
        <v>3299985</v>
      </c>
      <c r="N2851" s="279"/>
      <c r="O2851" s="61"/>
      <c r="P2851" s="69" t="str">
        <f t="shared" si="183"/>
        <v>Penjualan Intouch</v>
      </c>
      <c r="Q2851" s="61"/>
    </row>
    <row r="2852" spans="1:17" ht="28.5" hidden="1" x14ac:dyDescent="0.25">
      <c r="A2852" s="60" t="str">
        <f t="shared" si="181"/>
        <v>308410,01</v>
      </c>
      <c r="B2852" s="60">
        <f>COUNTIF($J$7:J2852,J2852)</f>
        <v>308</v>
      </c>
      <c r="C2852" s="60" t="str">
        <f t="shared" si="182"/>
        <v>0</v>
      </c>
      <c r="D2852" s="60">
        <f>COUNTIF($K$7:K2852,K2852)</f>
        <v>0</v>
      </c>
      <c r="E2852" s="61"/>
      <c r="F2852" s="71">
        <v>44643</v>
      </c>
      <c r="G2852" s="266"/>
      <c r="H2852" s="73" t="s">
        <v>1548</v>
      </c>
      <c r="I2852" s="268" t="s">
        <v>32</v>
      </c>
      <c r="J2852" s="64">
        <v>410.01</v>
      </c>
      <c r="K2852" s="65"/>
      <c r="L2852" s="224"/>
      <c r="M2852" s="279">
        <v>4399980</v>
      </c>
      <c r="N2852" s="279"/>
      <c r="O2852" s="61"/>
      <c r="P2852" s="69" t="str">
        <f t="shared" si="183"/>
        <v>Penjualan Intouch</v>
      </c>
      <c r="Q2852" s="61"/>
    </row>
    <row r="2853" spans="1:17" hidden="1" x14ac:dyDescent="0.25">
      <c r="A2853" s="60" t="str">
        <f t="shared" si="181"/>
        <v>309410,01</v>
      </c>
      <c r="B2853" s="60">
        <f>COUNTIF($J$7:J2853,J2853)</f>
        <v>309</v>
      </c>
      <c r="C2853" s="60" t="str">
        <f t="shared" si="182"/>
        <v>0</v>
      </c>
      <c r="D2853" s="60">
        <f>COUNTIF($K$7:K2853,K2853)</f>
        <v>0</v>
      </c>
      <c r="E2853" s="61"/>
      <c r="F2853" s="71">
        <v>44643</v>
      </c>
      <c r="G2853" s="266"/>
      <c r="H2853" s="73" t="s">
        <v>1549</v>
      </c>
      <c r="I2853" s="268" t="s">
        <v>72</v>
      </c>
      <c r="J2853" s="64">
        <v>410.01</v>
      </c>
      <c r="K2853" s="65"/>
      <c r="L2853" s="224"/>
      <c r="M2853" s="279">
        <v>96000000</v>
      </c>
      <c r="N2853" s="279"/>
      <c r="O2853" s="61"/>
      <c r="P2853" s="69" t="str">
        <f t="shared" si="183"/>
        <v>Penjualan Intouch</v>
      </c>
      <c r="Q2853" s="61"/>
    </row>
    <row r="2854" spans="1:17" hidden="1" x14ac:dyDescent="0.25">
      <c r="A2854" s="60" t="str">
        <f t="shared" si="181"/>
        <v>11410,02</v>
      </c>
      <c r="B2854" s="60">
        <f>COUNTIF($J$7:J2854,J2854)</f>
        <v>11</v>
      </c>
      <c r="C2854" s="60" t="str">
        <f t="shared" si="182"/>
        <v>0</v>
      </c>
      <c r="D2854" s="60">
        <f>COUNTIF($K$7:K2854,K2854)</f>
        <v>0</v>
      </c>
      <c r="E2854" s="61"/>
      <c r="F2854" s="71">
        <v>44644</v>
      </c>
      <c r="G2854" s="72"/>
      <c r="H2854" s="73" t="s">
        <v>1550</v>
      </c>
      <c r="I2854" s="73" t="s">
        <v>99</v>
      </c>
      <c r="J2854" s="241">
        <v>410.02</v>
      </c>
      <c r="K2854" s="65"/>
      <c r="L2854" s="224"/>
      <c r="M2854" s="98">
        <v>3875000</v>
      </c>
      <c r="N2854" s="98"/>
      <c r="O2854" s="61"/>
      <c r="P2854" s="69" t="str">
        <f t="shared" si="183"/>
        <v>Penjualan Condom</v>
      </c>
      <c r="Q2854" s="61"/>
    </row>
    <row r="2855" spans="1:17" hidden="1" x14ac:dyDescent="0.25">
      <c r="A2855" s="60" t="str">
        <f t="shared" si="181"/>
        <v>310410,01</v>
      </c>
      <c r="B2855" s="60">
        <f>COUNTIF($J$7:J2855,J2855)</f>
        <v>310</v>
      </c>
      <c r="C2855" s="60" t="str">
        <f t="shared" si="182"/>
        <v>0</v>
      </c>
      <c r="D2855" s="60">
        <f>COUNTIF($K$7:K2855,K2855)</f>
        <v>0</v>
      </c>
      <c r="E2855" s="61"/>
      <c r="F2855" s="71">
        <v>44644</v>
      </c>
      <c r="G2855" s="266"/>
      <c r="H2855" s="73" t="s">
        <v>1551</v>
      </c>
      <c r="I2855" s="268" t="s">
        <v>20</v>
      </c>
      <c r="J2855" s="64">
        <v>410.01</v>
      </c>
      <c r="K2855" s="65"/>
      <c r="L2855" s="224"/>
      <c r="M2855" s="279">
        <v>16417500</v>
      </c>
      <c r="N2855" s="279"/>
      <c r="O2855" s="61"/>
      <c r="P2855" s="69" t="str">
        <f t="shared" si="183"/>
        <v>Penjualan Intouch</v>
      </c>
      <c r="Q2855" s="61"/>
    </row>
    <row r="2856" spans="1:17" hidden="1" x14ac:dyDescent="0.25">
      <c r="A2856" s="60" t="str">
        <f t="shared" si="181"/>
        <v>124410,03</v>
      </c>
      <c r="B2856" s="60">
        <f>COUNTIF($J$7:J2856,J2856)</f>
        <v>124</v>
      </c>
      <c r="C2856" s="60" t="str">
        <f t="shared" si="182"/>
        <v>0</v>
      </c>
      <c r="D2856" s="60">
        <f>COUNTIF($K$7:K2856,K2856)</f>
        <v>0</v>
      </c>
      <c r="E2856" s="61"/>
      <c r="F2856" s="71">
        <v>44644</v>
      </c>
      <c r="G2856" s="266"/>
      <c r="H2856" s="73" t="s">
        <v>1552</v>
      </c>
      <c r="I2856" s="268" t="s">
        <v>20</v>
      </c>
      <c r="J2856" s="64">
        <v>410.03</v>
      </c>
      <c r="K2856" s="65"/>
      <c r="L2856" s="224"/>
      <c r="M2856" s="279">
        <v>820000</v>
      </c>
      <c r="N2856" s="279"/>
      <c r="O2856" s="61"/>
      <c r="P2856" s="69" t="str">
        <f t="shared" si="183"/>
        <v>Penjualan Exam</v>
      </c>
      <c r="Q2856" s="61"/>
    </row>
    <row r="2857" spans="1:17" ht="28.5" hidden="1" x14ac:dyDescent="0.25">
      <c r="A2857" s="60" t="str">
        <f t="shared" si="181"/>
        <v>311410,01</v>
      </c>
      <c r="B2857" s="60">
        <f>COUNTIF($J$7:J2857,J2857)</f>
        <v>311</v>
      </c>
      <c r="C2857" s="60" t="str">
        <f t="shared" si="182"/>
        <v>0</v>
      </c>
      <c r="D2857" s="60">
        <f>COUNTIF($K$7:K2857,K2857)</f>
        <v>0</v>
      </c>
      <c r="E2857" s="61"/>
      <c r="F2857" s="71">
        <v>44644</v>
      </c>
      <c r="G2857" s="266"/>
      <c r="H2857" s="73" t="s">
        <v>1553</v>
      </c>
      <c r="I2857" s="268" t="s">
        <v>32</v>
      </c>
      <c r="J2857" s="64">
        <v>410.01</v>
      </c>
      <c r="K2857" s="65"/>
      <c r="L2857" s="224"/>
      <c r="M2857" s="279">
        <v>1649992.5</v>
      </c>
      <c r="N2857" s="279"/>
      <c r="O2857" s="61"/>
      <c r="P2857" s="69" t="str">
        <f t="shared" si="183"/>
        <v>Penjualan Intouch</v>
      </c>
      <c r="Q2857" s="61"/>
    </row>
    <row r="2858" spans="1:17" ht="28.5" hidden="1" x14ac:dyDescent="0.25">
      <c r="A2858" s="60" t="str">
        <f t="shared" si="181"/>
        <v>312410,01</v>
      </c>
      <c r="B2858" s="60">
        <f>COUNTIF($J$7:J2858,J2858)</f>
        <v>312</v>
      </c>
      <c r="C2858" s="60" t="str">
        <f t="shared" si="182"/>
        <v>0</v>
      </c>
      <c r="D2858" s="60">
        <f>COUNTIF($K$7:K2858,K2858)</f>
        <v>0</v>
      </c>
      <c r="E2858" s="61"/>
      <c r="F2858" s="71">
        <v>44644</v>
      </c>
      <c r="G2858" s="266"/>
      <c r="H2858" s="73" t="s">
        <v>1554</v>
      </c>
      <c r="I2858" s="268" t="s">
        <v>32</v>
      </c>
      <c r="J2858" s="64">
        <v>410.01</v>
      </c>
      <c r="K2858" s="65"/>
      <c r="L2858" s="224"/>
      <c r="M2858" s="279">
        <v>549997.5</v>
      </c>
      <c r="N2858" s="279"/>
      <c r="O2858" s="61"/>
      <c r="P2858" s="69" t="str">
        <f t="shared" si="183"/>
        <v>Penjualan Intouch</v>
      </c>
      <c r="Q2858" s="61"/>
    </row>
    <row r="2859" spans="1:17" ht="28.5" hidden="1" x14ac:dyDescent="0.25">
      <c r="A2859" s="60" t="str">
        <f t="shared" si="181"/>
        <v>125410,03</v>
      </c>
      <c r="B2859" s="60">
        <f>COUNTIF($J$7:J2859,J2859)</f>
        <v>125</v>
      </c>
      <c r="C2859" s="60" t="str">
        <f t="shared" si="182"/>
        <v>0</v>
      </c>
      <c r="D2859" s="60">
        <f>COUNTIF($K$7:K2859,K2859)</f>
        <v>0</v>
      </c>
      <c r="E2859" s="61"/>
      <c r="F2859" s="71">
        <v>44644</v>
      </c>
      <c r="G2859" s="266"/>
      <c r="H2859" s="73" t="s">
        <v>1555</v>
      </c>
      <c r="I2859" s="268" t="s">
        <v>32</v>
      </c>
      <c r="J2859" s="64">
        <v>410.03</v>
      </c>
      <c r="K2859" s="65"/>
      <c r="L2859" s="224"/>
      <c r="M2859" s="279">
        <v>7245000</v>
      </c>
      <c r="N2859" s="279"/>
      <c r="O2859" s="61"/>
      <c r="P2859" s="69" t="str">
        <f t="shared" si="183"/>
        <v>Penjualan Exam</v>
      </c>
      <c r="Q2859" s="61"/>
    </row>
    <row r="2860" spans="1:17" hidden="1" x14ac:dyDescent="0.25">
      <c r="A2860" s="60" t="str">
        <f t="shared" si="181"/>
        <v>313410,01</v>
      </c>
      <c r="B2860" s="60">
        <f>COUNTIF($J$7:J2860,J2860)</f>
        <v>313</v>
      </c>
      <c r="C2860" s="60" t="str">
        <f t="shared" si="182"/>
        <v>0</v>
      </c>
      <c r="D2860" s="60">
        <f>COUNTIF($K$7:K2860,K2860)</f>
        <v>0</v>
      </c>
      <c r="E2860" s="61"/>
      <c r="F2860" s="71">
        <v>44644</v>
      </c>
      <c r="G2860" s="266"/>
      <c r="H2860" s="73" t="s">
        <v>1556</v>
      </c>
      <c r="I2860" s="268" t="s">
        <v>41</v>
      </c>
      <c r="J2860" s="64">
        <v>410.01</v>
      </c>
      <c r="K2860" s="65"/>
      <c r="L2860" s="224"/>
      <c r="M2860" s="279">
        <v>80580000</v>
      </c>
      <c r="N2860" s="279"/>
      <c r="O2860" s="61"/>
      <c r="P2860" s="69" t="str">
        <f t="shared" si="183"/>
        <v>Penjualan Intouch</v>
      </c>
      <c r="Q2860" s="61"/>
    </row>
    <row r="2861" spans="1:17" hidden="1" x14ac:dyDescent="0.25">
      <c r="A2861" s="60" t="str">
        <f t="shared" si="181"/>
        <v>314410,01</v>
      </c>
      <c r="B2861" s="60">
        <f>COUNTIF($J$7:J2861,J2861)</f>
        <v>314</v>
      </c>
      <c r="C2861" s="60" t="str">
        <f t="shared" si="182"/>
        <v>0</v>
      </c>
      <c r="D2861" s="60">
        <f>COUNTIF($K$7:K2861,K2861)</f>
        <v>0</v>
      </c>
      <c r="E2861" s="61"/>
      <c r="F2861" s="71">
        <v>44644</v>
      </c>
      <c r="G2861" s="266"/>
      <c r="H2861" s="73" t="s">
        <v>1557</v>
      </c>
      <c r="I2861" s="268" t="s">
        <v>48</v>
      </c>
      <c r="J2861" s="64">
        <v>410.01</v>
      </c>
      <c r="K2861" s="65"/>
      <c r="L2861" s="224"/>
      <c r="M2861" s="279">
        <v>14400000</v>
      </c>
      <c r="N2861" s="279"/>
      <c r="O2861" s="61"/>
      <c r="P2861" s="69" t="str">
        <f t="shared" si="183"/>
        <v>Penjualan Intouch</v>
      </c>
      <c r="Q2861" s="61"/>
    </row>
    <row r="2862" spans="1:17" hidden="1" x14ac:dyDescent="0.25">
      <c r="A2862" s="60" t="str">
        <f t="shared" si="181"/>
        <v>126410,03</v>
      </c>
      <c r="B2862" s="60">
        <f>COUNTIF($J$7:J2862,J2862)</f>
        <v>126</v>
      </c>
      <c r="C2862" s="60" t="str">
        <f t="shared" si="182"/>
        <v>0</v>
      </c>
      <c r="D2862" s="60">
        <f>COUNTIF($K$7:K2862,K2862)</f>
        <v>0</v>
      </c>
      <c r="E2862" s="61"/>
      <c r="F2862" s="71">
        <v>44645</v>
      </c>
      <c r="G2862" s="266"/>
      <c r="H2862" s="73" t="s">
        <v>1477</v>
      </c>
      <c r="I2862" s="268" t="s">
        <v>15</v>
      </c>
      <c r="J2862" s="64">
        <v>410.03</v>
      </c>
      <c r="K2862" s="65"/>
      <c r="L2862" s="224"/>
      <c r="M2862" s="279">
        <v>58181818.181599997</v>
      </c>
      <c r="N2862" s="279"/>
      <c r="O2862" s="61"/>
      <c r="P2862" s="69" t="str">
        <f t="shared" si="183"/>
        <v>Penjualan Exam</v>
      </c>
      <c r="Q2862" s="61"/>
    </row>
    <row r="2863" spans="1:17" hidden="1" x14ac:dyDescent="0.25">
      <c r="A2863" s="60" t="str">
        <f t="shared" si="181"/>
        <v>315410,01</v>
      </c>
      <c r="B2863" s="60">
        <f>COUNTIF($J$7:J2863,J2863)</f>
        <v>315</v>
      </c>
      <c r="C2863" s="60" t="str">
        <f t="shared" si="182"/>
        <v>0</v>
      </c>
      <c r="D2863" s="60">
        <f>COUNTIF($K$7:K2863,K2863)</f>
        <v>0</v>
      </c>
      <c r="E2863" s="61"/>
      <c r="F2863" s="71">
        <v>44645</v>
      </c>
      <c r="G2863" s="266"/>
      <c r="H2863" s="73" t="s">
        <v>1558</v>
      </c>
      <c r="I2863" s="268" t="s">
        <v>37</v>
      </c>
      <c r="J2863" s="64">
        <v>410.01</v>
      </c>
      <c r="K2863" s="65"/>
      <c r="L2863" s="224"/>
      <c r="M2863" s="279">
        <v>11265000</v>
      </c>
      <c r="N2863" s="279"/>
      <c r="O2863" s="61"/>
      <c r="P2863" s="69" t="str">
        <f t="shared" si="183"/>
        <v>Penjualan Intouch</v>
      </c>
      <c r="Q2863" s="61"/>
    </row>
    <row r="2864" spans="1:17" ht="28.5" hidden="1" x14ac:dyDescent="0.25">
      <c r="A2864" s="60" t="str">
        <f t="shared" si="181"/>
        <v>316410,01</v>
      </c>
      <c r="B2864" s="60">
        <f>COUNTIF($J$7:J2864,J2864)</f>
        <v>316</v>
      </c>
      <c r="C2864" s="60" t="str">
        <f t="shared" si="182"/>
        <v>0</v>
      </c>
      <c r="D2864" s="60">
        <f>COUNTIF($K$7:K2864,K2864)</f>
        <v>0</v>
      </c>
      <c r="E2864" s="61"/>
      <c r="F2864" s="71">
        <v>44645</v>
      </c>
      <c r="G2864" s="266"/>
      <c r="H2864" s="73" t="s">
        <v>1559</v>
      </c>
      <c r="I2864" s="268" t="s">
        <v>34</v>
      </c>
      <c r="J2864" s="64">
        <v>410.01</v>
      </c>
      <c r="K2864" s="65"/>
      <c r="L2864" s="224"/>
      <c r="M2864" s="279">
        <v>1649992.5</v>
      </c>
      <c r="N2864" s="279"/>
      <c r="O2864" s="61"/>
      <c r="P2864" s="69" t="str">
        <f t="shared" si="183"/>
        <v>Penjualan Intouch</v>
      </c>
      <c r="Q2864" s="61"/>
    </row>
    <row r="2865" spans="1:17" hidden="1" x14ac:dyDescent="0.25">
      <c r="A2865" s="60" t="str">
        <f t="shared" si="181"/>
        <v>317410,01</v>
      </c>
      <c r="B2865" s="60">
        <f>COUNTIF($J$7:J2865,J2865)</f>
        <v>317</v>
      </c>
      <c r="C2865" s="60" t="str">
        <f t="shared" si="182"/>
        <v>0</v>
      </c>
      <c r="D2865" s="60">
        <f>COUNTIF($K$7:K2865,K2865)</f>
        <v>0</v>
      </c>
      <c r="E2865" s="61"/>
      <c r="F2865" s="71">
        <v>44648</v>
      </c>
      <c r="G2865" s="266"/>
      <c r="H2865" s="73" t="s">
        <v>1560</v>
      </c>
      <c r="I2865" s="268" t="s">
        <v>18</v>
      </c>
      <c r="J2865" s="64">
        <v>410.01</v>
      </c>
      <c r="K2865" s="65"/>
      <c r="L2865" s="224"/>
      <c r="M2865" s="279">
        <v>24787500</v>
      </c>
      <c r="N2865" s="279"/>
      <c r="O2865" s="61"/>
      <c r="P2865" s="69" t="str">
        <f t="shared" si="183"/>
        <v>Penjualan Intouch</v>
      </c>
      <c r="Q2865" s="61"/>
    </row>
    <row r="2866" spans="1:17" ht="28.5" hidden="1" x14ac:dyDescent="0.25">
      <c r="A2866" s="60" t="str">
        <f t="shared" si="181"/>
        <v>318410,01</v>
      </c>
      <c r="B2866" s="60">
        <f>COUNTIF($J$7:J2866,J2866)</f>
        <v>318</v>
      </c>
      <c r="C2866" s="60" t="str">
        <f t="shared" si="182"/>
        <v>0</v>
      </c>
      <c r="D2866" s="60">
        <f>COUNTIF($K$7:K2866,K2866)</f>
        <v>0</v>
      </c>
      <c r="E2866" s="61"/>
      <c r="F2866" s="71">
        <v>44648</v>
      </c>
      <c r="G2866" s="266"/>
      <c r="H2866" s="73" t="s">
        <v>1561</v>
      </c>
      <c r="I2866" s="268" t="s">
        <v>34</v>
      </c>
      <c r="J2866" s="64">
        <v>410.01</v>
      </c>
      <c r="K2866" s="65"/>
      <c r="L2866" s="224"/>
      <c r="M2866" s="279">
        <v>1649992.5</v>
      </c>
      <c r="N2866" s="279"/>
      <c r="O2866" s="61"/>
      <c r="P2866" s="69" t="str">
        <f t="shared" si="183"/>
        <v>Penjualan Intouch</v>
      </c>
      <c r="Q2866" s="61"/>
    </row>
    <row r="2867" spans="1:17" hidden="1" x14ac:dyDescent="0.25">
      <c r="A2867" s="60" t="str">
        <f t="shared" si="181"/>
        <v>319410,01</v>
      </c>
      <c r="B2867" s="60">
        <f>COUNTIF($J$7:J2867,J2867)</f>
        <v>319</v>
      </c>
      <c r="C2867" s="60" t="str">
        <f t="shared" si="182"/>
        <v>0</v>
      </c>
      <c r="D2867" s="60">
        <f>COUNTIF($K$7:K2867,K2867)</f>
        <v>0</v>
      </c>
      <c r="E2867" s="61"/>
      <c r="F2867" s="71">
        <v>44649</v>
      </c>
      <c r="G2867" s="266"/>
      <c r="H2867" s="73" t="s">
        <v>1562</v>
      </c>
      <c r="I2867" s="268" t="s">
        <v>18</v>
      </c>
      <c r="J2867" s="64">
        <v>410.01</v>
      </c>
      <c r="K2867" s="65"/>
      <c r="L2867" s="224"/>
      <c r="M2867" s="279">
        <v>16897500</v>
      </c>
      <c r="N2867" s="279"/>
      <c r="O2867" s="61"/>
      <c r="P2867" s="69" t="str">
        <f t="shared" si="183"/>
        <v>Penjualan Intouch</v>
      </c>
      <c r="Q2867" s="61"/>
    </row>
    <row r="2868" spans="1:17" hidden="1" x14ac:dyDescent="0.25">
      <c r="A2868" s="60" t="str">
        <f t="shared" si="181"/>
        <v>320410,01</v>
      </c>
      <c r="B2868" s="60">
        <f>COUNTIF($J$7:J2868,J2868)</f>
        <v>320</v>
      </c>
      <c r="C2868" s="60" t="str">
        <f t="shared" si="182"/>
        <v>0</v>
      </c>
      <c r="D2868" s="60">
        <f>COUNTIF($K$7:K2868,K2868)</f>
        <v>0</v>
      </c>
      <c r="E2868" s="61"/>
      <c r="F2868" s="71">
        <v>44649</v>
      </c>
      <c r="G2868" s="266"/>
      <c r="H2868" s="73" t="s">
        <v>1563</v>
      </c>
      <c r="I2868" s="268" t="s">
        <v>18</v>
      </c>
      <c r="J2868" s="64">
        <v>410.01</v>
      </c>
      <c r="K2868" s="65"/>
      <c r="L2868" s="224"/>
      <c r="M2868" s="279">
        <v>19717500</v>
      </c>
      <c r="N2868" s="279"/>
      <c r="O2868" s="61"/>
      <c r="P2868" s="69" t="str">
        <f t="shared" si="183"/>
        <v>Penjualan Intouch</v>
      </c>
      <c r="Q2868" s="61"/>
    </row>
    <row r="2869" spans="1:17" hidden="1" x14ac:dyDescent="0.25">
      <c r="A2869" s="60" t="str">
        <f t="shared" si="181"/>
        <v>321410,01</v>
      </c>
      <c r="B2869" s="60">
        <f>COUNTIF($J$7:J2869,J2869)</f>
        <v>321</v>
      </c>
      <c r="C2869" s="60" t="str">
        <f t="shared" si="182"/>
        <v>0</v>
      </c>
      <c r="D2869" s="60">
        <f>COUNTIF($K$7:K2869,K2869)</f>
        <v>0</v>
      </c>
      <c r="E2869" s="61"/>
      <c r="F2869" s="71">
        <v>44649</v>
      </c>
      <c r="G2869" s="266"/>
      <c r="H2869" s="73" t="s">
        <v>1564</v>
      </c>
      <c r="I2869" s="268" t="s">
        <v>37</v>
      </c>
      <c r="J2869" s="64">
        <v>410.01</v>
      </c>
      <c r="K2869" s="65"/>
      <c r="L2869" s="224"/>
      <c r="M2869" s="279">
        <v>16020000</v>
      </c>
      <c r="N2869" s="279"/>
      <c r="O2869" s="61"/>
      <c r="P2869" s="69" t="str">
        <f t="shared" si="183"/>
        <v>Penjualan Intouch</v>
      </c>
      <c r="Q2869" s="61"/>
    </row>
    <row r="2870" spans="1:17" hidden="1" x14ac:dyDescent="0.25">
      <c r="A2870" s="60" t="str">
        <f t="shared" si="181"/>
        <v>127410,03</v>
      </c>
      <c r="B2870" s="60">
        <f>COUNTIF($J$7:J2870,J2870)</f>
        <v>127</v>
      </c>
      <c r="C2870" s="60" t="str">
        <f t="shared" si="182"/>
        <v>0</v>
      </c>
      <c r="D2870" s="60">
        <f>COUNTIF($K$7:K2870,K2870)</f>
        <v>0</v>
      </c>
      <c r="E2870" s="61"/>
      <c r="F2870" s="71">
        <v>44649</v>
      </c>
      <c r="G2870" s="266"/>
      <c r="H2870" s="73" t="s">
        <v>1565</v>
      </c>
      <c r="I2870" s="268" t="s">
        <v>37</v>
      </c>
      <c r="J2870" s="64">
        <v>410.03</v>
      </c>
      <c r="K2870" s="65"/>
      <c r="L2870" s="224"/>
      <c r="M2870" s="279">
        <v>7875000</v>
      </c>
      <c r="N2870" s="279"/>
      <c r="O2870" s="61"/>
      <c r="P2870" s="69" t="str">
        <f t="shared" si="183"/>
        <v>Penjualan Exam</v>
      </c>
      <c r="Q2870" s="61"/>
    </row>
    <row r="2871" spans="1:17" ht="28.5" hidden="1" x14ac:dyDescent="0.25">
      <c r="A2871" s="60" t="str">
        <f t="shared" si="181"/>
        <v>322410,01</v>
      </c>
      <c r="B2871" s="60">
        <f>COUNTIF($J$7:J2871,J2871)</f>
        <v>322</v>
      </c>
      <c r="C2871" s="60" t="str">
        <f t="shared" si="182"/>
        <v>0</v>
      </c>
      <c r="D2871" s="60">
        <f>COUNTIF($K$7:K2871,K2871)</f>
        <v>0</v>
      </c>
      <c r="E2871" s="61"/>
      <c r="F2871" s="71">
        <v>44649</v>
      </c>
      <c r="G2871" s="266"/>
      <c r="H2871" s="73" t="s">
        <v>1569</v>
      </c>
      <c r="I2871" s="268" t="s">
        <v>34</v>
      </c>
      <c r="J2871" s="64">
        <v>410.01</v>
      </c>
      <c r="K2871" s="65"/>
      <c r="L2871" s="224"/>
      <c r="M2871" s="279">
        <v>3849982.5</v>
      </c>
      <c r="N2871" s="279"/>
      <c r="O2871" s="61"/>
      <c r="P2871" s="69" t="str">
        <f t="shared" si="183"/>
        <v>Penjualan Intouch</v>
      </c>
      <c r="Q2871" s="61"/>
    </row>
    <row r="2872" spans="1:17" hidden="1" x14ac:dyDescent="0.25">
      <c r="A2872" s="60" t="str">
        <f t="shared" si="181"/>
        <v>323410,01</v>
      </c>
      <c r="B2872" s="60">
        <f>COUNTIF($J$7:J2872,J2872)</f>
        <v>323</v>
      </c>
      <c r="C2872" s="60" t="str">
        <f t="shared" si="182"/>
        <v>0</v>
      </c>
      <c r="D2872" s="60">
        <f>COUNTIF($K$7:K2872,K2872)</f>
        <v>0</v>
      </c>
      <c r="E2872" s="61"/>
      <c r="F2872" s="71">
        <v>44649</v>
      </c>
      <c r="G2872" s="266"/>
      <c r="H2872" s="73" t="s">
        <v>1566</v>
      </c>
      <c r="I2872" s="268" t="s">
        <v>26</v>
      </c>
      <c r="J2872" s="64">
        <v>410.01</v>
      </c>
      <c r="K2872" s="65"/>
      <c r="L2872" s="224"/>
      <c r="M2872" s="279">
        <v>9825000</v>
      </c>
      <c r="N2872" s="279"/>
      <c r="O2872" s="61"/>
      <c r="P2872" s="69" t="str">
        <f t="shared" si="183"/>
        <v>Penjualan Intouch</v>
      </c>
      <c r="Q2872" s="61"/>
    </row>
    <row r="2873" spans="1:17" ht="28.5" hidden="1" x14ac:dyDescent="0.25">
      <c r="A2873" s="60" t="str">
        <f t="shared" si="181"/>
        <v>128410,03</v>
      </c>
      <c r="B2873" s="60">
        <f>COUNTIF($J$7:J2873,J2873)</f>
        <v>128</v>
      </c>
      <c r="C2873" s="60" t="str">
        <f t="shared" si="182"/>
        <v>0</v>
      </c>
      <c r="D2873" s="60">
        <f>COUNTIF($K$7:K2873,K2873)</f>
        <v>0</v>
      </c>
      <c r="E2873" s="61"/>
      <c r="F2873" s="71">
        <v>44650</v>
      </c>
      <c r="G2873" s="266"/>
      <c r="H2873" s="73" t="s">
        <v>1567</v>
      </c>
      <c r="I2873" s="268" t="s">
        <v>32</v>
      </c>
      <c r="J2873" s="64">
        <v>410.03</v>
      </c>
      <c r="K2873" s="65"/>
      <c r="L2873" s="224"/>
      <c r="M2873" s="279">
        <v>5060000</v>
      </c>
      <c r="N2873" s="279"/>
      <c r="O2873" s="61"/>
      <c r="P2873" s="69" t="str">
        <f t="shared" si="183"/>
        <v>Penjualan Exam</v>
      </c>
      <c r="Q2873" s="61"/>
    </row>
    <row r="2874" spans="1:17" ht="28.5" hidden="1" x14ac:dyDescent="0.25">
      <c r="A2874" s="60" t="str">
        <f t="shared" si="181"/>
        <v>324410,01</v>
      </c>
      <c r="B2874" s="60">
        <f>COUNTIF($J$7:J2874,J2874)</f>
        <v>324</v>
      </c>
      <c r="C2874" s="60" t="str">
        <f t="shared" si="182"/>
        <v>0</v>
      </c>
      <c r="D2874" s="60">
        <f>COUNTIF($K$7:K2874,K2874)</f>
        <v>0</v>
      </c>
      <c r="E2874" s="61"/>
      <c r="F2874" s="71">
        <v>44650</v>
      </c>
      <c r="G2874" s="266"/>
      <c r="H2874" s="73" t="s">
        <v>1572</v>
      </c>
      <c r="I2874" s="268" t="s">
        <v>28</v>
      </c>
      <c r="J2874" s="64">
        <v>410.01</v>
      </c>
      <c r="K2874" s="65"/>
      <c r="L2874" s="224"/>
      <c r="M2874" s="279">
        <v>1800000</v>
      </c>
      <c r="N2874" s="279"/>
      <c r="O2874" s="61"/>
      <c r="P2874" s="69" t="str">
        <f t="shared" si="183"/>
        <v>Penjualan Intouch</v>
      </c>
      <c r="Q2874" s="61"/>
    </row>
    <row r="2875" spans="1:17" hidden="1" x14ac:dyDescent="0.25">
      <c r="A2875" s="60" t="str">
        <f t="shared" si="181"/>
        <v>325410,01</v>
      </c>
      <c r="B2875" s="60">
        <f>COUNTIF($J$7:J2875,J2875)</f>
        <v>325</v>
      </c>
      <c r="C2875" s="60" t="str">
        <f t="shared" si="182"/>
        <v>0</v>
      </c>
      <c r="D2875" s="60">
        <f>COUNTIF($K$7:K2875,K2875)</f>
        <v>0</v>
      </c>
      <c r="E2875" s="61"/>
      <c r="F2875" s="71">
        <v>44650</v>
      </c>
      <c r="G2875" s="266"/>
      <c r="H2875" s="73" t="s">
        <v>1568</v>
      </c>
      <c r="I2875" s="268" t="s">
        <v>831</v>
      </c>
      <c r="J2875" s="64">
        <v>410.01</v>
      </c>
      <c r="K2875" s="65"/>
      <c r="L2875" s="224"/>
      <c r="M2875" s="279">
        <v>1650000</v>
      </c>
      <c r="N2875" s="279"/>
      <c r="O2875" s="61"/>
      <c r="P2875" s="69" t="str">
        <f t="shared" si="183"/>
        <v>Penjualan Intouch</v>
      </c>
      <c r="Q2875" s="61"/>
    </row>
    <row r="2876" spans="1:17" hidden="1" x14ac:dyDescent="0.25">
      <c r="A2876" s="60" t="str">
        <f t="shared" si="181"/>
        <v>326410,01</v>
      </c>
      <c r="B2876" s="60">
        <f>COUNTIF($J$7:J2876,J2876)</f>
        <v>326</v>
      </c>
      <c r="C2876" s="60" t="str">
        <f t="shared" si="182"/>
        <v>0</v>
      </c>
      <c r="D2876" s="60">
        <f>COUNTIF($K$7:K2876,K2876)</f>
        <v>0</v>
      </c>
      <c r="E2876" s="61"/>
      <c r="F2876" s="71">
        <v>44650</v>
      </c>
      <c r="G2876" s="266"/>
      <c r="H2876" s="73" t="s">
        <v>1570</v>
      </c>
      <c r="I2876" s="268" t="s">
        <v>1571</v>
      </c>
      <c r="J2876" s="64">
        <v>410.01</v>
      </c>
      <c r="K2876" s="65"/>
      <c r="L2876" s="224"/>
      <c r="M2876" s="279">
        <v>1800000</v>
      </c>
      <c r="N2876" s="279"/>
      <c r="O2876" s="61"/>
      <c r="P2876" s="69" t="str">
        <f t="shared" si="183"/>
        <v>Penjualan Intouch</v>
      </c>
      <c r="Q2876" s="61"/>
    </row>
    <row r="2877" spans="1:17" hidden="1" x14ac:dyDescent="0.25">
      <c r="A2877" s="60" t="str">
        <f t="shared" si="181"/>
        <v>129410,03</v>
      </c>
      <c r="B2877" s="60">
        <f>COUNTIF($J$7:J2877,J2877)</f>
        <v>129</v>
      </c>
      <c r="C2877" s="60" t="str">
        <f t="shared" si="182"/>
        <v>0</v>
      </c>
      <c r="D2877" s="60">
        <f>COUNTIF($K$7:K2877,K2877)</f>
        <v>0</v>
      </c>
      <c r="E2877" s="61"/>
      <c r="F2877" s="71">
        <v>44651</v>
      </c>
      <c r="G2877" s="266"/>
      <c r="H2877" s="73" t="s">
        <v>1574</v>
      </c>
      <c r="I2877" s="268" t="s">
        <v>58</v>
      </c>
      <c r="J2877" s="64">
        <v>410.03</v>
      </c>
      <c r="K2877" s="65"/>
      <c r="L2877" s="224"/>
      <c r="M2877" s="279">
        <v>1750000</v>
      </c>
      <c r="N2877" s="279"/>
      <c r="O2877" s="61"/>
      <c r="P2877" s="69" t="str">
        <f t="shared" si="183"/>
        <v>Penjualan Exam</v>
      </c>
      <c r="Q2877" s="61"/>
    </row>
    <row r="2878" spans="1:17" hidden="1" x14ac:dyDescent="0.25">
      <c r="A2878" s="60" t="str">
        <f t="shared" si="181"/>
        <v>130410,03</v>
      </c>
      <c r="B2878" s="60">
        <f>COUNTIF($J$7:J2878,J2878)</f>
        <v>130</v>
      </c>
      <c r="C2878" s="60" t="str">
        <f t="shared" si="182"/>
        <v>0</v>
      </c>
      <c r="D2878" s="60">
        <f>COUNTIF($K$7:K2878,K2878)</f>
        <v>0</v>
      </c>
      <c r="E2878" s="61"/>
      <c r="F2878" s="71">
        <v>44651</v>
      </c>
      <c r="G2878" s="266"/>
      <c r="H2878" s="73" t="s">
        <v>1575</v>
      </c>
      <c r="I2878" s="268" t="s">
        <v>58</v>
      </c>
      <c r="J2878" s="64">
        <v>410.03</v>
      </c>
      <c r="K2878" s="65"/>
      <c r="L2878" s="224"/>
      <c r="M2878" s="279">
        <v>1750000</v>
      </c>
      <c r="N2878" s="279"/>
      <c r="O2878" s="61"/>
      <c r="P2878" s="69" t="str">
        <f t="shared" si="183"/>
        <v>Penjualan Exam</v>
      </c>
      <c r="Q2878" s="61"/>
    </row>
    <row r="2879" spans="1:17" hidden="1" x14ac:dyDescent="0.25">
      <c r="A2879" s="60" t="str">
        <f t="shared" si="181"/>
        <v>327410,01</v>
      </c>
      <c r="B2879" s="60">
        <f>COUNTIF($J$7:J2879,J2879)</f>
        <v>327</v>
      </c>
      <c r="C2879" s="60" t="str">
        <f t="shared" si="182"/>
        <v>0</v>
      </c>
      <c r="D2879" s="60">
        <f>COUNTIF($K$7:K2879,K2879)</f>
        <v>0</v>
      </c>
      <c r="E2879" s="61"/>
      <c r="F2879" s="71">
        <v>44650</v>
      </c>
      <c r="G2879" s="266"/>
      <c r="H2879" s="73" t="s">
        <v>1573</v>
      </c>
      <c r="I2879" s="268" t="s">
        <v>18</v>
      </c>
      <c r="J2879" s="64">
        <v>410.01</v>
      </c>
      <c r="K2879" s="65"/>
      <c r="L2879" s="224"/>
      <c r="M2879" s="279">
        <v>15225000</v>
      </c>
      <c r="N2879" s="279"/>
      <c r="O2879" s="61"/>
      <c r="P2879" s="69" t="str">
        <f t="shared" si="183"/>
        <v>Penjualan Intouch</v>
      </c>
      <c r="Q2879" s="61"/>
    </row>
    <row r="2880" spans="1:17" hidden="1" x14ac:dyDescent="0.25">
      <c r="A2880" s="60" t="str">
        <f t="shared" si="181"/>
        <v>131410,03</v>
      </c>
      <c r="B2880" s="60">
        <f>COUNTIF($J$7:J2880,J2880)</f>
        <v>131</v>
      </c>
      <c r="C2880" s="60" t="str">
        <f t="shared" si="182"/>
        <v>0</v>
      </c>
      <c r="D2880" s="60">
        <f>COUNTIF($K$7:K2880,K2880)</f>
        <v>0</v>
      </c>
      <c r="E2880" s="61"/>
      <c r="F2880" s="71">
        <v>44651</v>
      </c>
      <c r="G2880" s="266"/>
      <c r="H2880" s="73" t="s">
        <v>1576</v>
      </c>
      <c r="I2880" s="268" t="s">
        <v>37</v>
      </c>
      <c r="J2880" s="64">
        <v>410.03</v>
      </c>
      <c r="K2880" s="65"/>
      <c r="L2880" s="224"/>
      <c r="M2880" s="279">
        <v>20125000</v>
      </c>
      <c r="N2880" s="279"/>
      <c r="O2880" s="61"/>
      <c r="P2880" s="69" t="str">
        <f t="shared" si="183"/>
        <v>Penjualan Exam</v>
      </c>
      <c r="Q2880" s="61"/>
    </row>
    <row r="2881" spans="1:17" ht="28.5" hidden="1" x14ac:dyDescent="0.25">
      <c r="A2881" s="60" t="str">
        <f t="shared" si="181"/>
        <v>328410,01</v>
      </c>
      <c r="B2881" s="60">
        <f>COUNTIF($J$7:J2881,J2881)</f>
        <v>328</v>
      </c>
      <c r="C2881" s="60" t="str">
        <f t="shared" si="182"/>
        <v>0</v>
      </c>
      <c r="D2881" s="60">
        <f>COUNTIF($K$7:K2881,K2881)</f>
        <v>0</v>
      </c>
      <c r="E2881" s="61"/>
      <c r="F2881" s="71">
        <v>44651</v>
      </c>
      <c r="G2881" s="266"/>
      <c r="H2881" s="73" t="s">
        <v>1577</v>
      </c>
      <c r="I2881" s="268" t="s">
        <v>28</v>
      </c>
      <c r="J2881" s="64">
        <v>410.01</v>
      </c>
      <c r="K2881" s="65"/>
      <c r="L2881" s="224"/>
      <c r="M2881" s="279">
        <v>11400000</v>
      </c>
      <c r="N2881" s="279"/>
      <c r="O2881" s="61"/>
      <c r="P2881" s="69" t="str">
        <f t="shared" si="183"/>
        <v>Penjualan Intouch</v>
      </c>
      <c r="Q2881" s="61"/>
    </row>
    <row r="2882" spans="1:17" hidden="1" x14ac:dyDescent="0.25">
      <c r="A2882" s="60" t="str">
        <f t="shared" si="181"/>
        <v>12410,02</v>
      </c>
      <c r="B2882" s="60">
        <f>COUNTIF($J$7:J2882,J2882)</f>
        <v>12</v>
      </c>
      <c r="C2882" s="60" t="str">
        <f t="shared" si="182"/>
        <v>0</v>
      </c>
      <c r="D2882" s="60">
        <f>COUNTIF($K$7:K2882,K2882)</f>
        <v>0</v>
      </c>
      <c r="E2882" s="61"/>
      <c r="F2882" s="271">
        <v>44650</v>
      </c>
      <c r="G2882" s="266"/>
      <c r="H2882" s="280" t="s">
        <v>1578</v>
      </c>
      <c r="I2882" s="281" t="s">
        <v>1579</v>
      </c>
      <c r="J2882" s="64">
        <v>410.02</v>
      </c>
      <c r="K2882" s="65"/>
      <c r="L2882" s="224"/>
      <c r="M2882" s="279">
        <v>247500000</v>
      </c>
      <c r="N2882" s="279"/>
      <c r="O2882" s="61"/>
      <c r="P2882" s="69" t="str">
        <f t="shared" si="183"/>
        <v>Penjualan Condom</v>
      </c>
      <c r="Q2882" s="61"/>
    </row>
    <row r="2883" spans="1:17" hidden="1" x14ac:dyDescent="0.25">
      <c r="A2883" s="60" t="str">
        <f t="shared" si="181"/>
        <v>13410,02</v>
      </c>
      <c r="B2883" s="60">
        <f>COUNTIF($J$7:J2883,J2883)</f>
        <v>13</v>
      </c>
      <c r="C2883" s="60" t="str">
        <f t="shared" si="182"/>
        <v>0</v>
      </c>
      <c r="D2883" s="60">
        <f>COUNTIF($K$7:K2883,K2883)</f>
        <v>0</v>
      </c>
      <c r="E2883" s="61"/>
      <c r="F2883" s="271">
        <v>44651</v>
      </c>
      <c r="G2883" s="266"/>
      <c r="H2883" s="280" t="s">
        <v>1580</v>
      </c>
      <c r="I2883" s="281" t="s">
        <v>1581</v>
      </c>
      <c r="J2883" s="64">
        <v>410.02</v>
      </c>
      <c r="K2883" s="65"/>
      <c r="L2883" s="224"/>
      <c r="M2883" s="279">
        <v>2625000</v>
      </c>
      <c r="N2883" s="279"/>
      <c r="O2883" s="61"/>
      <c r="P2883" s="69" t="str">
        <f t="shared" si="183"/>
        <v>Penjualan Condom</v>
      </c>
      <c r="Q2883" s="61"/>
    </row>
    <row r="2884" spans="1:17" hidden="1" x14ac:dyDescent="0.25">
      <c r="A2884" s="60" t="str">
        <f t="shared" si="181"/>
        <v>5610,31</v>
      </c>
      <c r="B2884" s="60">
        <f>COUNTIF($J$7:J2884,J2884)</f>
        <v>5</v>
      </c>
      <c r="C2884" s="60" t="str">
        <f t="shared" si="182"/>
        <v>0</v>
      </c>
      <c r="D2884" s="60">
        <f>COUNTIF($K$7:K2884,K2884)</f>
        <v>0</v>
      </c>
      <c r="E2884" s="61"/>
      <c r="F2884" s="71">
        <v>44621</v>
      </c>
      <c r="G2884" s="266"/>
      <c r="H2884" s="73" t="s">
        <v>150</v>
      </c>
      <c r="I2884" s="61" t="s">
        <v>1582</v>
      </c>
      <c r="J2884" s="238">
        <v>610.30999999999995</v>
      </c>
      <c r="K2884" s="89"/>
      <c r="L2884" s="224">
        <v>120000</v>
      </c>
      <c r="M2884" s="224"/>
      <c r="N2884" s="224"/>
      <c r="O2884" s="61"/>
      <c r="P2884" s="69" t="str">
        <f t="shared" si="183"/>
        <v>Biaya Instalasi &amp; System</v>
      </c>
      <c r="Q2884" s="61"/>
    </row>
    <row r="2885" spans="1:17" hidden="1" x14ac:dyDescent="0.25">
      <c r="A2885" s="60" t="str">
        <f t="shared" si="181"/>
        <v>19117,01</v>
      </c>
      <c r="B2885" s="60">
        <f>COUNTIF($J$7:J2885,J2885)</f>
        <v>19</v>
      </c>
      <c r="C2885" s="60" t="str">
        <f t="shared" si="182"/>
        <v>0</v>
      </c>
      <c r="D2885" s="60">
        <f>COUNTIF($K$7:K2885,K2885)</f>
        <v>0</v>
      </c>
      <c r="E2885" s="61"/>
      <c r="F2885" s="71">
        <v>44621</v>
      </c>
      <c r="G2885" s="266"/>
      <c r="H2885" s="73" t="s">
        <v>150</v>
      </c>
      <c r="I2885" s="61" t="s">
        <v>1582</v>
      </c>
      <c r="J2885" s="67">
        <v>117.01</v>
      </c>
      <c r="K2885" s="89"/>
      <c r="L2885" s="222">
        <v>12000</v>
      </c>
      <c r="M2885" s="224"/>
      <c r="N2885" s="224"/>
      <c r="O2885" s="61" t="s">
        <v>816</v>
      </c>
      <c r="P2885" s="69" t="str">
        <f t="shared" si="183"/>
        <v>Pajak Dibayar Di Muka - PPN Masukan</v>
      </c>
      <c r="Q2885" s="61"/>
    </row>
    <row r="2886" spans="1:17" hidden="1" x14ac:dyDescent="0.25">
      <c r="A2886" s="60" t="str">
        <f t="shared" si="181"/>
        <v>68220,03</v>
      </c>
      <c r="B2886" s="60">
        <f>COUNTIF($J$7:J2886,J2886)</f>
        <v>68</v>
      </c>
      <c r="C2886" s="60" t="str">
        <f t="shared" si="182"/>
        <v>0</v>
      </c>
      <c r="D2886" s="60">
        <f>COUNTIF($K$7:K2886,K2886)</f>
        <v>0</v>
      </c>
      <c r="E2886" s="61"/>
      <c r="F2886" s="71">
        <v>44621</v>
      </c>
      <c r="G2886" s="266"/>
      <c r="H2886" s="73" t="s">
        <v>150</v>
      </c>
      <c r="I2886" s="61" t="s">
        <v>1582</v>
      </c>
      <c r="J2886" s="67">
        <v>220.03</v>
      </c>
      <c r="K2886" s="89"/>
      <c r="L2886" s="224"/>
      <c r="M2886" s="224">
        <v>132000</v>
      </c>
      <c r="N2886" s="224"/>
      <c r="O2886" s="61"/>
      <c r="P2886" s="69" t="str">
        <f t="shared" si="183"/>
        <v>Hutang BIaya</v>
      </c>
      <c r="Q2886" s="61"/>
    </row>
    <row r="2887" spans="1:17" hidden="1" x14ac:dyDescent="0.25">
      <c r="A2887" s="60" t="str">
        <f t="shared" ref="A2887:A2950" si="184">B2887&amp;J2887</f>
        <v>3610,18</v>
      </c>
      <c r="B2887" s="60">
        <f>COUNTIF($J$7:J2887,J2887)</f>
        <v>3</v>
      </c>
      <c r="C2887" s="60" t="str">
        <f t="shared" ref="C2887:C2950" si="185">D2887&amp;K2887</f>
        <v>0</v>
      </c>
      <c r="D2887" s="60">
        <f>COUNTIF($K$7:K2887,K2887)</f>
        <v>0</v>
      </c>
      <c r="E2887" s="61"/>
      <c r="F2887" s="71">
        <v>44621</v>
      </c>
      <c r="G2887" s="266"/>
      <c r="H2887" s="73" t="s">
        <v>150</v>
      </c>
      <c r="I2887" s="61" t="s">
        <v>1583</v>
      </c>
      <c r="J2887" s="221">
        <v>610.17999999999995</v>
      </c>
      <c r="K2887" s="89"/>
      <c r="L2887" s="224">
        <f>M2888+M2889</f>
        <v>1950000</v>
      </c>
      <c r="M2887" s="224"/>
      <c r="N2887" s="224"/>
      <c r="O2887" s="61"/>
      <c r="P2887" s="69" t="str">
        <f t="shared" ref="P2887:P2950" si="186">IF(J2887=0,"-",+VLOOKUP(J2887,DAF_AKUN,2,FALSE))</f>
        <v>Biaya Profesional</v>
      </c>
      <c r="Q2887" s="61"/>
    </row>
    <row r="2888" spans="1:17" hidden="1" x14ac:dyDescent="0.25">
      <c r="A2888" s="60" t="str">
        <f t="shared" si="184"/>
        <v>17211,04</v>
      </c>
      <c r="B2888" s="60">
        <f>COUNTIF($J$7:J2888,J2888)</f>
        <v>17</v>
      </c>
      <c r="C2888" s="60" t="str">
        <f t="shared" si="185"/>
        <v>0</v>
      </c>
      <c r="D2888" s="60">
        <f>COUNTIF($K$7:K2888,K2888)</f>
        <v>0</v>
      </c>
      <c r="E2888" s="61"/>
      <c r="F2888" s="71">
        <v>44621</v>
      </c>
      <c r="G2888" s="266"/>
      <c r="H2888" s="73" t="s">
        <v>150</v>
      </c>
      <c r="I2888" s="61" t="s">
        <v>1583</v>
      </c>
      <c r="J2888" s="67">
        <v>211.04</v>
      </c>
      <c r="K2888" s="89"/>
      <c r="L2888" s="224"/>
      <c r="M2888" s="224">
        <v>39000</v>
      </c>
      <c r="N2888" s="224"/>
      <c r="O2888" s="61"/>
      <c r="P2888" s="69" t="str">
        <f t="shared" si="186"/>
        <v>Hutang PPh 23</v>
      </c>
      <c r="Q2888" s="61"/>
    </row>
    <row r="2889" spans="1:17" hidden="1" x14ac:dyDescent="0.25">
      <c r="A2889" s="60" t="str">
        <f t="shared" si="184"/>
        <v>69220,03</v>
      </c>
      <c r="B2889" s="60">
        <f>COUNTIF($J$7:J2889,J2889)</f>
        <v>69</v>
      </c>
      <c r="C2889" s="60" t="str">
        <f t="shared" si="185"/>
        <v>0</v>
      </c>
      <c r="D2889" s="60">
        <f>COUNTIF($K$7:K2889,K2889)</f>
        <v>0</v>
      </c>
      <c r="E2889" s="61"/>
      <c r="F2889" s="71">
        <v>44621</v>
      </c>
      <c r="G2889" s="266"/>
      <c r="H2889" s="73" t="s">
        <v>150</v>
      </c>
      <c r="I2889" s="61" t="s">
        <v>1583</v>
      </c>
      <c r="J2889" s="67">
        <v>220.03</v>
      </c>
      <c r="K2889" s="89"/>
      <c r="L2889" s="224"/>
      <c r="M2889" s="224">
        <f>1911000</f>
        <v>1911000</v>
      </c>
      <c r="N2889" s="224"/>
      <c r="O2889" s="61"/>
      <c r="P2889" s="69" t="str">
        <f t="shared" si="186"/>
        <v>Hutang BIaya</v>
      </c>
      <c r="Q2889" s="61"/>
    </row>
    <row r="2890" spans="1:17" hidden="1" x14ac:dyDescent="0.25">
      <c r="A2890" s="60" t="str">
        <f t="shared" si="184"/>
        <v>9512,02</v>
      </c>
      <c r="B2890" s="60">
        <f>COUNTIF($J$7:J2890,J2890)</f>
        <v>9</v>
      </c>
      <c r="C2890" s="60" t="str">
        <f t="shared" si="185"/>
        <v>0</v>
      </c>
      <c r="D2890" s="60">
        <f>COUNTIF($K$7:K2890,K2890)</f>
        <v>0</v>
      </c>
      <c r="E2890" s="61"/>
      <c r="F2890" s="71">
        <v>44621</v>
      </c>
      <c r="G2890" s="266"/>
      <c r="H2890" s="73" t="s">
        <v>150</v>
      </c>
      <c r="I2890" s="61" t="s">
        <v>1584</v>
      </c>
      <c r="J2890" s="238">
        <v>512.02</v>
      </c>
      <c r="K2890" s="89"/>
      <c r="L2890" s="224">
        <f>M2891+M2892</f>
        <v>21376624.5</v>
      </c>
      <c r="M2890" s="224"/>
      <c r="N2890" s="224"/>
      <c r="O2890" s="61"/>
      <c r="P2890" s="69" t="str">
        <f t="shared" si="186"/>
        <v>Beban Komisi</v>
      </c>
      <c r="Q2890" s="61"/>
    </row>
    <row r="2891" spans="1:17" hidden="1" x14ac:dyDescent="0.25">
      <c r="A2891" s="60" t="str">
        <f t="shared" si="184"/>
        <v>21211,02</v>
      </c>
      <c r="B2891" s="60">
        <f>COUNTIF($J$7:J2891,J2891)</f>
        <v>21</v>
      </c>
      <c r="C2891" s="60" t="str">
        <f t="shared" si="185"/>
        <v>0</v>
      </c>
      <c r="D2891" s="60">
        <f>COUNTIF($K$7:K2891,K2891)</f>
        <v>0</v>
      </c>
      <c r="E2891" s="61"/>
      <c r="F2891" s="71">
        <v>44621</v>
      </c>
      <c r="G2891" s="266"/>
      <c r="H2891" s="73" t="s">
        <v>150</v>
      </c>
      <c r="I2891" s="61" t="s">
        <v>1584</v>
      </c>
      <c r="J2891" s="67">
        <v>211.02</v>
      </c>
      <c r="K2891" s="89"/>
      <c r="L2891" s="224"/>
      <c r="M2891" s="224">
        <v>534415.61</v>
      </c>
      <c r="N2891" s="224"/>
      <c r="O2891" s="61" t="s">
        <v>943</v>
      </c>
      <c r="P2891" s="69" t="str">
        <f t="shared" si="186"/>
        <v>Hutang PPh 21</v>
      </c>
      <c r="Q2891" s="61"/>
    </row>
    <row r="2892" spans="1:17" hidden="1" x14ac:dyDescent="0.25">
      <c r="A2892" s="60" t="str">
        <f t="shared" si="184"/>
        <v>70220,03</v>
      </c>
      <c r="B2892" s="60">
        <f>COUNTIF($J$7:J2892,J2892)</f>
        <v>70</v>
      </c>
      <c r="C2892" s="60" t="str">
        <f t="shared" si="185"/>
        <v>0</v>
      </c>
      <c r="D2892" s="60">
        <f>COUNTIF($K$7:K2892,K2892)</f>
        <v>0</v>
      </c>
      <c r="E2892" s="61"/>
      <c r="F2892" s="71">
        <v>44621</v>
      </c>
      <c r="G2892" s="266"/>
      <c r="H2892" s="73" t="s">
        <v>150</v>
      </c>
      <c r="I2892" s="61" t="s">
        <v>1584</v>
      </c>
      <c r="J2892" s="67">
        <v>220.03</v>
      </c>
      <c r="K2892" s="89"/>
      <c r="L2892" s="224"/>
      <c r="M2892" s="224">
        <v>20842208.890000001</v>
      </c>
      <c r="N2892" s="224"/>
      <c r="O2892" s="61"/>
      <c r="P2892" s="69" t="str">
        <f t="shared" si="186"/>
        <v>Hutang BIaya</v>
      </c>
      <c r="Q2892" s="61"/>
    </row>
    <row r="2893" spans="1:17" hidden="1" x14ac:dyDescent="0.25">
      <c r="A2893" s="60" t="str">
        <f t="shared" si="184"/>
        <v>9116,01</v>
      </c>
      <c r="B2893" s="60">
        <f>COUNTIF($J$7:J2893,J2893)</f>
        <v>9</v>
      </c>
      <c r="C2893" s="60" t="str">
        <f t="shared" si="185"/>
        <v>0</v>
      </c>
      <c r="D2893" s="60">
        <f>COUNTIF($K$7:K2893,K2893)</f>
        <v>0</v>
      </c>
      <c r="E2893" s="61"/>
      <c r="F2893" s="71">
        <v>44627</v>
      </c>
      <c r="G2893" s="266"/>
      <c r="H2893" s="73" t="s">
        <v>150</v>
      </c>
      <c r="I2893" s="61" t="s">
        <v>1585</v>
      </c>
      <c r="J2893" s="67">
        <v>116.01</v>
      </c>
      <c r="K2893" s="89"/>
      <c r="L2893" s="224">
        <v>802152744</v>
      </c>
      <c r="M2893" s="224"/>
      <c r="N2893" s="224"/>
      <c r="O2893" s="61"/>
      <c r="P2893" s="69" t="str">
        <f t="shared" si="186"/>
        <v>Persediaan Intouch</v>
      </c>
      <c r="Q2893" s="61"/>
    </row>
    <row r="2894" spans="1:17" hidden="1" x14ac:dyDescent="0.25">
      <c r="A2894" s="60" t="str">
        <f t="shared" si="184"/>
        <v>20117,01</v>
      </c>
      <c r="B2894" s="60">
        <f>COUNTIF($J$7:J2894,J2894)</f>
        <v>20</v>
      </c>
      <c r="C2894" s="60" t="str">
        <f t="shared" si="185"/>
        <v>0</v>
      </c>
      <c r="D2894" s="60">
        <f>COUNTIF($K$7:K2894,K2894)</f>
        <v>0</v>
      </c>
      <c r="E2894" s="61"/>
      <c r="F2894" s="71">
        <v>44627</v>
      </c>
      <c r="G2894" s="266"/>
      <c r="H2894" s="73" t="s">
        <v>150</v>
      </c>
      <c r="I2894" s="61" t="s">
        <v>1586</v>
      </c>
      <c r="J2894" s="67">
        <v>117.01</v>
      </c>
      <c r="K2894" s="89"/>
      <c r="L2894" s="130">
        <v>80216000</v>
      </c>
      <c r="M2894" s="224"/>
      <c r="N2894" s="224"/>
      <c r="O2894" s="61" t="s">
        <v>816</v>
      </c>
      <c r="P2894" s="69" t="str">
        <f t="shared" si="186"/>
        <v>Pajak Dibayar Di Muka - PPN Masukan</v>
      </c>
      <c r="Q2894" s="61"/>
    </row>
    <row r="2895" spans="1:17" hidden="1" x14ac:dyDescent="0.25">
      <c r="A2895" s="60" t="str">
        <f t="shared" si="184"/>
        <v>5117,02</v>
      </c>
      <c r="B2895" s="60">
        <f>COUNTIF($J$7:J2895,J2895)</f>
        <v>5</v>
      </c>
      <c r="C2895" s="60" t="str">
        <f t="shared" si="185"/>
        <v>0</v>
      </c>
      <c r="D2895" s="60">
        <f>COUNTIF($K$7:K2895,K2895)</f>
        <v>0</v>
      </c>
      <c r="E2895" s="61"/>
      <c r="F2895" s="71">
        <v>44627</v>
      </c>
      <c r="G2895" s="266"/>
      <c r="H2895" s="73" t="s">
        <v>150</v>
      </c>
      <c r="I2895" s="61" t="s">
        <v>1587</v>
      </c>
      <c r="J2895" s="67">
        <v>117.02</v>
      </c>
      <c r="K2895" s="89"/>
      <c r="L2895" s="224">
        <v>60162000</v>
      </c>
      <c r="M2895" s="224"/>
      <c r="N2895" s="224"/>
      <c r="O2895" s="61"/>
      <c r="P2895" s="69" t="str">
        <f t="shared" si="186"/>
        <v>Pajak Dibayar Di Muka - PPh 22</v>
      </c>
      <c r="Q2895" s="61"/>
    </row>
    <row r="2896" spans="1:17" hidden="1" x14ac:dyDescent="0.25">
      <c r="A2896" s="60" t="str">
        <f t="shared" si="184"/>
        <v>486211,01</v>
      </c>
      <c r="B2896" s="60">
        <f>COUNTIF($J$7:J2896,J2896)</f>
        <v>486</v>
      </c>
      <c r="C2896" s="60" t="str">
        <f t="shared" si="185"/>
        <v>0</v>
      </c>
      <c r="D2896" s="60">
        <f>COUNTIF($K$7:K2896,K2896)</f>
        <v>0</v>
      </c>
      <c r="E2896" s="61"/>
      <c r="F2896" s="71">
        <v>44627</v>
      </c>
      <c r="G2896" s="266"/>
      <c r="H2896" s="73" t="s">
        <v>150</v>
      </c>
      <c r="I2896" s="61" t="s">
        <v>1586</v>
      </c>
      <c r="J2896" s="67">
        <v>211.01</v>
      </c>
      <c r="K2896" s="89"/>
      <c r="L2896" s="224"/>
      <c r="M2896" s="224">
        <v>80216000</v>
      </c>
      <c r="N2896" s="224"/>
      <c r="O2896" s="61"/>
      <c r="P2896" s="69" t="str">
        <f t="shared" si="186"/>
        <v>Hutang Pajak PPN</v>
      </c>
      <c r="Q2896" s="61"/>
    </row>
    <row r="2897" spans="1:18" hidden="1" x14ac:dyDescent="0.25">
      <c r="A2897" s="60" t="str">
        <f t="shared" si="184"/>
        <v>9211,03</v>
      </c>
      <c r="B2897" s="60">
        <f>COUNTIF($J$7:J2897,J2897)</f>
        <v>9</v>
      </c>
      <c r="C2897" s="60" t="str">
        <f t="shared" si="185"/>
        <v>0</v>
      </c>
      <c r="D2897" s="60">
        <f>COUNTIF($K$7:K2897,K2897)</f>
        <v>0</v>
      </c>
      <c r="E2897" s="61"/>
      <c r="F2897" s="71">
        <v>44627</v>
      </c>
      <c r="G2897" s="266"/>
      <c r="H2897" s="73" t="s">
        <v>150</v>
      </c>
      <c r="I2897" s="61" t="s">
        <v>1587</v>
      </c>
      <c r="J2897" s="67">
        <v>211.03</v>
      </c>
      <c r="K2897" s="89"/>
      <c r="L2897" s="224"/>
      <c r="M2897" s="224">
        <v>60162000</v>
      </c>
      <c r="N2897" s="224"/>
      <c r="O2897" s="61"/>
      <c r="P2897" s="69" t="str">
        <f t="shared" si="186"/>
        <v>Hutang PPh 22</v>
      </c>
      <c r="Q2897" s="61"/>
    </row>
    <row r="2898" spans="1:18" hidden="1" x14ac:dyDescent="0.25">
      <c r="A2898" s="60" t="str">
        <f t="shared" si="184"/>
        <v>10210,01</v>
      </c>
      <c r="B2898" s="60">
        <f>COUNTIF($J$7:J2898,J2898)</f>
        <v>10</v>
      </c>
      <c r="C2898" s="60" t="str">
        <f t="shared" si="185"/>
        <v>1210,01,51</v>
      </c>
      <c r="D2898" s="60">
        <f>COUNTIF($K$7:K2898,K2898)</f>
        <v>1</v>
      </c>
      <c r="E2898" s="61"/>
      <c r="F2898" s="71">
        <v>44627</v>
      </c>
      <c r="G2898" s="72" t="s">
        <v>149</v>
      </c>
      <c r="H2898" s="73" t="s">
        <v>150</v>
      </c>
      <c r="I2898" s="61" t="s">
        <v>1585</v>
      </c>
      <c r="J2898" s="233">
        <v>210.01</v>
      </c>
      <c r="K2898" s="80" t="s">
        <v>1588</v>
      </c>
      <c r="L2898" s="224"/>
      <c r="M2898" s="282">
        <v>802152744</v>
      </c>
      <c r="N2898" s="282"/>
      <c r="O2898" s="61"/>
      <c r="P2898" s="69" t="str">
        <f t="shared" si="186"/>
        <v>Hutang Usaha</v>
      </c>
      <c r="Q2898" s="61"/>
    </row>
    <row r="2899" spans="1:18" hidden="1" x14ac:dyDescent="0.25">
      <c r="A2899" s="60" t="str">
        <f t="shared" si="184"/>
        <v>3117,04</v>
      </c>
      <c r="B2899" s="60">
        <f>COUNTIF($J$7:J2899,J2899)</f>
        <v>3</v>
      </c>
      <c r="C2899" s="60" t="str">
        <f t="shared" si="185"/>
        <v>0</v>
      </c>
      <c r="D2899" s="60">
        <f>COUNTIF($K$7:K2899,K2899)</f>
        <v>0</v>
      </c>
      <c r="E2899" s="61"/>
      <c r="F2899" s="71">
        <v>44630</v>
      </c>
      <c r="G2899" s="266"/>
      <c r="H2899" s="73" t="s">
        <v>150</v>
      </c>
      <c r="I2899" s="61" t="s">
        <v>1589</v>
      </c>
      <c r="J2899" s="67">
        <v>117.04</v>
      </c>
      <c r="K2899" s="89"/>
      <c r="L2899" s="224">
        <v>18433780</v>
      </c>
      <c r="M2899" s="224"/>
      <c r="N2899" s="224"/>
      <c r="O2899" s="61"/>
      <c r="P2899" s="69" t="str">
        <f t="shared" si="186"/>
        <v>Pajak Dibayar Di Muka - PPh 25</v>
      </c>
      <c r="Q2899" s="61"/>
    </row>
    <row r="2900" spans="1:18" hidden="1" x14ac:dyDescent="0.25">
      <c r="A2900" s="60" t="str">
        <f t="shared" si="184"/>
        <v>5211,05</v>
      </c>
      <c r="B2900" s="60">
        <f>COUNTIF($J$7:J2900,J2900)</f>
        <v>5</v>
      </c>
      <c r="C2900" s="60" t="str">
        <f t="shared" si="185"/>
        <v>0</v>
      </c>
      <c r="D2900" s="60">
        <f>COUNTIF($K$7:K2900,K2900)</f>
        <v>0</v>
      </c>
      <c r="E2900" s="61"/>
      <c r="F2900" s="71">
        <v>44630</v>
      </c>
      <c r="G2900" s="266"/>
      <c r="H2900" s="73" t="s">
        <v>150</v>
      </c>
      <c r="I2900" s="61" t="s">
        <v>1589</v>
      </c>
      <c r="J2900" s="67">
        <v>211.05</v>
      </c>
      <c r="K2900" s="89"/>
      <c r="L2900" s="224"/>
      <c r="M2900" s="224">
        <f>L2899</f>
        <v>18433780</v>
      </c>
      <c r="N2900" s="224"/>
      <c r="O2900" s="61"/>
      <c r="P2900" s="69" t="str">
        <f t="shared" si="186"/>
        <v>Hutang PPh 25</v>
      </c>
      <c r="Q2900" s="61"/>
    </row>
    <row r="2901" spans="1:18" hidden="1" x14ac:dyDescent="0.25">
      <c r="A2901" s="60" t="str">
        <f t="shared" si="184"/>
        <v>10116,01</v>
      </c>
      <c r="B2901" s="60">
        <f>COUNTIF($J$7:J2901,J2901)</f>
        <v>10</v>
      </c>
      <c r="C2901" s="60" t="str">
        <f t="shared" si="185"/>
        <v>0</v>
      </c>
      <c r="D2901" s="60">
        <f>COUNTIF($K$7:K2901,K2901)</f>
        <v>0</v>
      </c>
      <c r="E2901" s="61"/>
      <c r="F2901" s="71">
        <v>44634</v>
      </c>
      <c r="G2901" s="266"/>
      <c r="H2901" s="73" t="s">
        <v>150</v>
      </c>
      <c r="I2901" s="61" t="s">
        <v>1590</v>
      </c>
      <c r="J2901" s="67">
        <v>116.01</v>
      </c>
      <c r="K2901" s="89"/>
      <c r="L2901" s="224">
        <v>666333637</v>
      </c>
      <c r="M2901" s="224"/>
      <c r="N2901" s="224"/>
      <c r="O2901" s="61" t="s">
        <v>1591</v>
      </c>
      <c r="P2901" s="69" t="str">
        <f t="shared" si="186"/>
        <v>Persediaan Intouch</v>
      </c>
      <c r="Q2901" s="61"/>
    </row>
    <row r="2902" spans="1:18" hidden="1" x14ac:dyDescent="0.25">
      <c r="A2902" s="60" t="str">
        <f t="shared" si="184"/>
        <v>21117,01</v>
      </c>
      <c r="B2902" s="60">
        <f>COUNTIF($J$7:J2902,J2902)</f>
        <v>21</v>
      </c>
      <c r="C2902" s="60" t="str">
        <f t="shared" si="185"/>
        <v>0</v>
      </c>
      <c r="D2902" s="60">
        <f>COUNTIF($K$7:K2902,K2902)</f>
        <v>0</v>
      </c>
      <c r="E2902" s="61"/>
      <c r="F2902" s="71">
        <v>44634</v>
      </c>
      <c r="G2902" s="266"/>
      <c r="H2902" s="73" t="s">
        <v>150</v>
      </c>
      <c r="I2902" s="61" t="s">
        <v>1592</v>
      </c>
      <c r="J2902" s="67">
        <v>117.01</v>
      </c>
      <c r="K2902" s="89"/>
      <c r="L2902" s="130">
        <v>66634000</v>
      </c>
      <c r="M2902" s="224"/>
      <c r="N2902" s="224"/>
      <c r="O2902" s="61" t="s">
        <v>816</v>
      </c>
      <c r="P2902" s="69" t="str">
        <f t="shared" si="186"/>
        <v>Pajak Dibayar Di Muka - PPN Masukan</v>
      </c>
      <c r="Q2902" s="61"/>
    </row>
    <row r="2903" spans="1:18" hidden="1" x14ac:dyDescent="0.25">
      <c r="A2903" s="60" t="str">
        <f t="shared" si="184"/>
        <v>6117,02</v>
      </c>
      <c r="B2903" s="60">
        <f>COUNTIF($J$7:J2903,J2903)</f>
        <v>6</v>
      </c>
      <c r="C2903" s="60" t="str">
        <f t="shared" si="185"/>
        <v>0</v>
      </c>
      <c r="D2903" s="60">
        <f>COUNTIF($K$7:K2903,K2903)</f>
        <v>0</v>
      </c>
      <c r="E2903" s="61"/>
      <c r="F2903" s="71">
        <v>44634</v>
      </c>
      <c r="G2903" s="266"/>
      <c r="H2903" s="73" t="s">
        <v>150</v>
      </c>
      <c r="I2903" s="61" t="s">
        <v>1593</v>
      </c>
      <c r="J2903" s="67">
        <v>117.02</v>
      </c>
      <c r="K2903" s="89"/>
      <c r="L2903" s="224">
        <v>49976000</v>
      </c>
      <c r="M2903" s="224"/>
      <c r="N2903" s="224"/>
      <c r="O2903" s="61"/>
      <c r="P2903" s="69" t="str">
        <f t="shared" si="186"/>
        <v>Pajak Dibayar Di Muka - PPh 22</v>
      </c>
      <c r="Q2903" s="61"/>
    </row>
    <row r="2904" spans="1:18" hidden="1" x14ac:dyDescent="0.25">
      <c r="A2904" s="60" t="str">
        <f t="shared" si="184"/>
        <v>487211,01</v>
      </c>
      <c r="B2904" s="60">
        <f>COUNTIF($J$7:J2904,J2904)</f>
        <v>487</v>
      </c>
      <c r="C2904" s="60" t="str">
        <f t="shared" si="185"/>
        <v>0</v>
      </c>
      <c r="D2904" s="60">
        <f>COUNTIF($K$7:K2904,K2904)</f>
        <v>0</v>
      </c>
      <c r="E2904" s="61"/>
      <c r="F2904" s="71">
        <v>44634</v>
      </c>
      <c r="G2904" s="266"/>
      <c r="H2904" s="73" t="s">
        <v>150</v>
      </c>
      <c r="I2904" s="61" t="s">
        <v>1590</v>
      </c>
      <c r="J2904" s="67">
        <v>211.01</v>
      </c>
      <c r="K2904" s="89"/>
      <c r="L2904" s="224"/>
      <c r="M2904" s="224">
        <v>66634000</v>
      </c>
      <c r="N2904" s="224"/>
      <c r="O2904" s="61"/>
      <c r="P2904" s="69" t="str">
        <f t="shared" si="186"/>
        <v>Hutang Pajak PPN</v>
      </c>
      <c r="Q2904" s="61"/>
    </row>
    <row r="2905" spans="1:18" hidden="1" x14ac:dyDescent="0.25">
      <c r="A2905" s="60" t="str">
        <f t="shared" si="184"/>
        <v>10211,03</v>
      </c>
      <c r="B2905" s="60">
        <f>COUNTIF($J$7:J2905,J2905)</f>
        <v>10</v>
      </c>
      <c r="C2905" s="60" t="str">
        <f t="shared" si="185"/>
        <v>0</v>
      </c>
      <c r="D2905" s="60">
        <f>COUNTIF($K$7:K2905,K2905)</f>
        <v>0</v>
      </c>
      <c r="E2905" s="61"/>
      <c r="F2905" s="71">
        <v>44634</v>
      </c>
      <c r="G2905" s="266"/>
      <c r="H2905" s="73" t="s">
        <v>150</v>
      </c>
      <c r="I2905" s="61" t="s">
        <v>1590</v>
      </c>
      <c r="J2905" s="67">
        <v>211.03</v>
      </c>
      <c r="K2905" s="89"/>
      <c r="L2905" s="224"/>
      <c r="M2905" s="224">
        <v>49976000</v>
      </c>
      <c r="N2905" s="224"/>
      <c r="O2905" s="61"/>
      <c r="P2905" s="69" t="str">
        <f t="shared" si="186"/>
        <v>Hutang PPh 22</v>
      </c>
      <c r="Q2905" s="61"/>
    </row>
    <row r="2906" spans="1:18" hidden="1" x14ac:dyDescent="0.25">
      <c r="A2906" s="60" t="str">
        <f t="shared" si="184"/>
        <v>11210,01</v>
      </c>
      <c r="B2906" s="60">
        <f>COUNTIF($J$7:J2906,J2906)</f>
        <v>11</v>
      </c>
      <c r="C2906" s="60" t="str">
        <f t="shared" si="185"/>
        <v>1210,01,52</v>
      </c>
      <c r="D2906" s="60">
        <f>COUNTIF($K$7:K2906,K2906)</f>
        <v>1</v>
      </c>
      <c r="E2906" s="61"/>
      <c r="F2906" s="71">
        <v>44634</v>
      </c>
      <c r="G2906" s="266"/>
      <c r="H2906" s="73" t="s">
        <v>150</v>
      </c>
      <c r="I2906" s="61" t="s">
        <v>1590</v>
      </c>
      <c r="J2906" s="233">
        <v>210.01</v>
      </c>
      <c r="K2906" s="80" t="s">
        <v>1594</v>
      </c>
      <c r="L2906" s="224"/>
      <c r="M2906" s="223">
        <f>L2901</f>
        <v>666333637</v>
      </c>
      <c r="N2906" s="223"/>
      <c r="O2906" s="61"/>
      <c r="P2906" s="69" t="str">
        <f t="shared" si="186"/>
        <v>Hutang Usaha</v>
      </c>
      <c r="Q2906" s="61"/>
    </row>
    <row r="2907" spans="1:18" hidden="1" x14ac:dyDescent="0.25">
      <c r="A2907" s="60" t="str">
        <f t="shared" si="184"/>
        <v>61511,03</v>
      </c>
      <c r="B2907" s="60">
        <f>COUNTIF($J$7:J2907,J2907)</f>
        <v>61</v>
      </c>
      <c r="C2907" s="60" t="str">
        <f t="shared" si="185"/>
        <v>0</v>
      </c>
      <c r="D2907" s="60">
        <f>COUNTIF($K$7:K2907,K2907)</f>
        <v>0</v>
      </c>
      <c r="E2907" s="61"/>
      <c r="F2907" s="71">
        <v>44634</v>
      </c>
      <c r="G2907" s="266"/>
      <c r="H2907" s="73" t="s">
        <v>150</v>
      </c>
      <c r="I2907" s="61" t="s">
        <v>1595</v>
      </c>
      <c r="J2907" s="67">
        <v>511.03</v>
      </c>
      <c r="K2907" s="65"/>
      <c r="L2907" s="66">
        <v>9000000</v>
      </c>
      <c r="M2907" s="67"/>
      <c r="N2907" s="67"/>
      <c r="O2907" s="61"/>
      <c r="P2907" s="69" t="str">
        <f t="shared" si="186"/>
        <v>Biaya Pengiriman Barang Ekspedisi</v>
      </c>
      <c r="Q2907" s="61"/>
    </row>
    <row r="2908" spans="1:18" hidden="1" x14ac:dyDescent="0.25">
      <c r="A2908" s="60" t="str">
        <f t="shared" si="184"/>
        <v>18211,04</v>
      </c>
      <c r="B2908" s="60">
        <f>COUNTIF($J$7:J2908,J2908)</f>
        <v>18</v>
      </c>
      <c r="C2908" s="60" t="str">
        <f t="shared" si="185"/>
        <v>0</v>
      </c>
      <c r="D2908" s="60">
        <f>COUNTIF($K$7:K2908,K2908)</f>
        <v>0</v>
      </c>
      <c r="E2908" s="61"/>
      <c r="F2908" s="71">
        <v>44634</v>
      </c>
      <c r="G2908" s="266"/>
      <c r="H2908" s="73" t="s">
        <v>150</v>
      </c>
      <c r="I2908" s="61" t="s">
        <v>1596</v>
      </c>
      <c r="J2908" s="67">
        <v>211.04</v>
      </c>
      <c r="K2908" s="65"/>
      <c r="L2908" s="66"/>
      <c r="M2908" s="67">
        <v>180000</v>
      </c>
      <c r="N2908" s="67"/>
      <c r="O2908" s="61"/>
      <c r="P2908" s="69" t="str">
        <f t="shared" si="186"/>
        <v>Hutang PPh 23</v>
      </c>
      <c r="Q2908" s="61"/>
    </row>
    <row r="2909" spans="1:18" hidden="1" x14ac:dyDescent="0.25">
      <c r="A2909" s="60" t="str">
        <f t="shared" si="184"/>
        <v>62511,03</v>
      </c>
      <c r="B2909" s="60">
        <f>COUNTIF($J$7:J2909,J2909)</f>
        <v>62</v>
      </c>
      <c r="C2909" s="60" t="str">
        <f t="shared" si="185"/>
        <v>0</v>
      </c>
      <c r="D2909" s="60">
        <f>COUNTIF($K$7:K2909,K2909)</f>
        <v>0</v>
      </c>
      <c r="E2909" s="61"/>
      <c r="F2909" s="71">
        <v>44634</v>
      </c>
      <c r="G2909" s="266"/>
      <c r="H2909" s="73" t="s">
        <v>150</v>
      </c>
      <c r="I2909" s="61" t="s">
        <v>1597</v>
      </c>
      <c r="J2909" s="67">
        <v>511.03</v>
      </c>
      <c r="K2909" s="65"/>
      <c r="L2909" s="66">
        <v>759000</v>
      </c>
      <c r="M2909" s="67"/>
      <c r="N2909" s="67"/>
      <c r="O2909" s="61"/>
      <c r="P2909" s="69" t="str">
        <f t="shared" si="186"/>
        <v>Biaya Pengiriman Barang Ekspedisi</v>
      </c>
      <c r="Q2909" s="61"/>
    </row>
    <row r="2910" spans="1:18" hidden="1" x14ac:dyDescent="0.25">
      <c r="A2910" s="60" t="str">
        <f t="shared" si="184"/>
        <v>63511,03</v>
      </c>
      <c r="B2910" s="60">
        <f>COUNTIF($J$7:J2910,J2910)</f>
        <v>63</v>
      </c>
      <c r="C2910" s="60" t="str">
        <f t="shared" si="185"/>
        <v>0</v>
      </c>
      <c r="D2910" s="60">
        <f>COUNTIF($K$7:K2910,K2910)</f>
        <v>0</v>
      </c>
      <c r="E2910" s="61"/>
      <c r="F2910" s="71">
        <v>44634</v>
      </c>
      <c r="G2910" s="266"/>
      <c r="H2910" s="73" t="s">
        <v>150</v>
      </c>
      <c r="I2910" s="61" t="s">
        <v>1598</v>
      </c>
      <c r="J2910" s="67">
        <v>511.03</v>
      </c>
      <c r="K2910" s="65"/>
      <c r="L2910" s="66">
        <f>1875000+300000+300000+559091+300000</f>
        <v>3334091</v>
      </c>
      <c r="M2910" s="67"/>
      <c r="N2910" s="67"/>
      <c r="O2910" s="61"/>
      <c r="P2910" s="69" t="str">
        <f t="shared" si="186"/>
        <v>Biaya Pengiriman Barang Ekspedisi</v>
      </c>
      <c r="Q2910" s="61"/>
    </row>
    <row r="2911" spans="1:18" hidden="1" x14ac:dyDescent="0.25">
      <c r="A2911" s="60" t="str">
        <f t="shared" si="184"/>
        <v>22117,01</v>
      </c>
      <c r="B2911" s="60">
        <f>COUNTIF($J$7:J2911,J2911)</f>
        <v>22</v>
      </c>
      <c r="C2911" s="60" t="str">
        <f t="shared" si="185"/>
        <v>0</v>
      </c>
      <c r="D2911" s="60">
        <f>COUNTIF($K$7:K2911,K2911)</f>
        <v>0</v>
      </c>
      <c r="E2911" s="61"/>
      <c r="F2911" s="71">
        <v>44634</v>
      </c>
      <c r="G2911" s="266"/>
      <c r="H2911" s="73" t="s">
        <v>150</v>
      </c>
      <c r="I2911" s="61" t="s">
        <v>1599</v>
      </c>
      <c r="J2911" s="67">
        <v>117.01</v>
      </c>
      <c r="K2911" s="65"/>
      <c r="L2911" s="283">
        <v>55909</v>
      </c>
      <c r="M2911" s="67"/>
      <c r="N2911" s="67"/>
      <c r="O2911" s="61" t="s">
        <v>816</v>
      </c>
      <c r="P2911" s="69" t="str">
        <f t="shared" si="186"/>
        <v>Pajak Dibayar Di Muka - PPN Masukan</v>
      </c>
      <c r="Q2911" s="61"/>
      <c r="R2911" s="13">
        <f>450000+165000</f>
        <v>615000</v>
      </c>
    </row>
    <row r="2912" spans="1:18" hidden="1" x14ac:dyDescent="0.25">
      <c r="A2912" s="60" t="str">
        <f t="shared" si="184"/>
        <v>71220,03</v>
      </c>
      <c r="B2912" s="60">
        <f>COUNTIF($J$7:J2912,J2912)</f>
        <v>71</v>
      </c>
      <c r="C2912" s="60" t="str">
        <f t="shared" si="185"/>
        <v>0</v>
      </c>
      <c r="D2912" s="60">
        <f>COUNTIF($K$7:K2912,K2912)</f>
        <v>0</v>
      </c>
      <c r="E2912" s="61"/>
      <c r="F2912" s="71">
        <v>44634</v>
      </c>
      <c r="G2912" s="266"/>
      <c r="H2912" s="73" t="s">
        <v>150</v>
      </c>
      <c r="I2912" s="61" t="s">
        <v>1595</v>
      </c>
      <c r="J2912" s="235">
        <v>220.03</v>
      </c>
      <c r="K2912" s="65"/>
      <c r="L2912" s="66"/>
      <c r="M2912" s="67">
        <f>L2907+L2909+L2910+L2911-M2908</f>
        <v>12969000</v>
      </c>
      <c r="N2912" s="67"/>
      <c r="O2912" s="61"/>
      <c r="P2912" s="69" t="str">
        <f t="shared" si="186"/>
        <v>Hutang BIaya</v>
      </c>
      <c r="Q2912" s="61"/>
      <c r="R2912" s="270" t="e">
        <f>#REF!*11%</f>
        <v>#REF!</v>
      </c>
    </row>
    <row r="2913" spans="1:18" hidden="1" x14ac:dyDescent="0.25">
      <c r="A2913" s="60" t="str">
        <f t="shared" si="184"/>
        <v>11116,01</v>
      </c>
      <c r="B2913" s="60">
        <f>COUNTIF($J$7:J2913,J2913)</f>
        <v>11</v>
      </c>
      <c r="C2913" s="60" t="str">
        <f t="shared" si="185"/>
        <v>0</v>
      </c>
      <c r="D2913" s="60">
        <f>COUNTIF($K$7:K2913,K2913)</f>
        <v>0</v>
      </c>
      <c r="E2913" s="61"/>
      <c r="F2913" s="71">
        <v>44643</v>
      </c>
      <c r="G2913" s="266"/>
      <c r="H2913" s="73" t="s">
        <v>150</v>
      </c>
      <c r="I2913" s="61" t="s">
        <v>1600</v>
      </c>
      <c r="J2913" s="67">
        <v>116.01</v>
      </c>
      <c r="K2913" s="89"/>
      <c r="L2913" s="66">
        <v>559447214</v>
      </c>
      <c r="M2913" s="67"/>
      <c r="N2913" s="67"/>
      <c r="O2913" s="61" t="s">
        <v>1601</v>
      </c>
      <c r="P2913" s="69" t="str">
        <f t="shared" si="186"/>
        <v>Persediaan Intouch</v>
      </c>
      <c r="Q2913" s="61"/>
      <c r="R2913" s="270"/>
    </row>
    <row r="2914" spans="1:18" hidden="1" x14ac:dyDescent="0.25">
      <c r="A2914" s="60" t="str">
        <f t="shared" si="184"/>
        <v>23117,01</v>
      </c>
      <c r="B2914" s="60">
        <f>COUNTIF($J$7:J2914,J2914)</f>
        <v>23</v>
      </c>
      <c r="C2914" s="60" t="str">
        <f t="shared" si="185"/>
        <v>0</v>
      </c>
      <c r="D2914" s="60">
        <f>COUNTIF($K$7:K2914,K2914)</f>
        <v>0</v>
      </c>
      <c r="E2914" s="61"/>
      <c r="F2914" s="71">
        <v>44643</v>
      </c>
      <c r="G2914" s="266"/>
      <c r="H2914" s="73" t="s">
        <v>150</v>
      </c>
      <c r="I2914" s="61" t="s">
        <v>1602</v>
      </c>
      <c r="J2914" s="67">
        <v>117.01</v>
      </c>
      <c r="K2914" s="89"/>
      <c r="L2914" s="97">
        <v>55945000</v>
      </c>
      <c r="M2914" s="67"/>
      <c r="N2914" s="67"/>
      <c r="O2914" s="61" t="s">
        <v>816</v>
      </c>
      <c r="P2914" s="69" t="str">
        <f t="shared" si="186"/>
        <v>Pajak Dibayar Di Muka - PPN Masukan</v>
      </c>
      <c r="Q2914" s="61"/>
      <c r="R2914" s="270"/>
    </row>
    <row r="2915" spans="1:18" hidden="1" x14ac:dyDescent="0.25">
      <c r="A2915" s="60" t="str">
        <f t="shared" si="184"/>
        <v>7117,02</v>
      </c>
      <c r="B2915" s="60">
        <f>COUNTIF($J$7:J2915,J2915)</f>
        <v>7</v>
      </c>
      <c r="C2915" s="60" t="str">
        <f t="shared" si="185"/>
        <v>0</v>
      </c>
      <c r="D2915" s="60">
        <f>COUNTIF($K$7:K2915,K2915)</f>
        <v>0</v>
      </c>
      <c r="E2915" s="61"/>
      <c r="F2915" s="71">
        <v>44643</v>
      </c>
      <c r="G2915" s="266"/>
      <c r="H2915" s="73" t="s">
        <v>150</v>
      </c>
      <c r="I2915" s="61" t="s">
        <v>1603</v>
      </c>
      <c r="J2915" s="67">
        <v>117.02</v>
      </c>
      <c r="K2915" s="89"/>
      <c r="L2915" s="66">
        <v>41959000</v>
      </c>
      <c r="M2915" s="67"/>
      <c r="N2915" s="67"/>
      <c r="O2915" s="61"/>
      <c r="P2915" s="69" t="str">
        <f t="shared" si="186"/>
        <v>Pajak Dibayar Di Muka - PPh 22</v>
      </c>
      <c r="Q2915" s="61"/>
      <c r="R2915" s="270"/>
    </row>
    <row r="2916" spans="1:18" hidden="1" x14ac:dyDescent="0.25">
      <c r="A2916" s="60" t="str">
        <f t="shared" si="184"/>
        <v>488211,01</v>
      </c>
      <c r="B2916" s="60">
        <f>COUNTIF($J$7:J2916,J2916)</f>
        <v>488</v>
      </c>
      <c r="C2916" s="60" t="str">
        <f t="shared" si="185"/>
        <v>0</v>
      </c>
      <c r="D2916" s="60">
        <f>COUNTIF($K$7:K2916,K2916)</f>
        <v>0</v>
      </c>
      <c r="E2916" s="61"/>
      <c r="F2916" s="71">
        <v>44643</v>
      </c>
      <c r="G2916" s="266"/>
      <c r="H2916" s="73" t="s">
        <v>150</v>
      </c>
      <c r="I2916" s="61" t="s">
        <v>1602</v>
      </c>
      <c r="J2916" s="67">
        <v>211.01</v>
      </c>
      <c r="K2916" s="89"/>
      <c r="L2916" s="66"/>
      <c r="M2916" s="66">
        <v>55945000</v>
      </c>
      <c r="N2916" s="66"/>
      <c r="O2916" s="61"/>
      <c r="P2916" s="69" t="str">
        <f t="shared" si="186"/>
        <v>Hutang Pajak PPN</v>
      </c>
      <c r="Q2916" s="61"/>
      <c r="R2916" s="270"/>
    </row>
    <row r="2917" spans="1:18" hidden="1" x14ac:dyDescent="0.25">
      <c r="A2917" s="60" t="str">
        <f t="shared" si="184"/>
        <v>11211,03</v>
      </c>
      <c r="B2917" s="60">
        <f>COUNTIF($J$7:J2917,J2917)</f>
        <v>11</v>
      </c>
      <c r="C2917" s="60" t="str">
        <f t="shared" si="185"/>
        <v>0</v>
      </c>
      <c r="D2917" s="60">
        <f>COUNTIF($K$7:K2917,K2917)</f>
        <v>0</v>
      </c>
      <c r="E2917" s="61"/>
      <c r="F2917" s="71">
        <v>44643</v>
      </c>
      <c r="G2917" s="266"/>
      <c r="H2917" s="73" t="s">
        <v>150</v>
      </c>
      <c r="I2917" s="61" t="s">
        <v>1603</v>
      </c>
      <c r="J2917" s="67">
        <v>211.03</v>
      </c>
      <c r="K2917" s="89"/>
      <c r="L2917" s="66"/>
      <c r="M2917" s="66">
        <v>41959000</v>
      </c>
      <c r="N2917" s="66"/>
      <c r="O2917" s="61"/>
      <c r="P2917" s="69" t="str">
        <f t="shared" si="186"/>
        <v>Hutang PPh 22</v>
      </c>
      <c r="Q2917" s="61"/>
      <c r="R2917" s="270"/>
    </row>
    <row r="2918" spans="1:18" hidden="1" x14ac:dyDescent="0.25">
      <c r="A2918" s="60" t="str">
        <f t="shared" si="184"/>
        <v>12210,01</v>
      </c>
      <c r="B2918" s="60">
        <f>COUNTIF($J$7:J2918,J2918)</f>
        <v>12</v>
      </c>
      <c r="C2918" s="60" t="str">
        <f t="shared" si="185"/>
        <v>2210,01,52</v>
      </c>
      <c r="D2918" s="60">
        <f>COUNTIF($K$7:K2918,K2918)</f>
        <v>2</v>
      </c>
      <c r="E2918" s="61"/>
      <c r="F2918" s="71">
        <v>44643</v>
      </c>
      <c r="G2918" s="266"/>
      <c r="H2918" s="73" t="s">
        <v>150</v>
      </c>
      <c r="I2918" s="61" t="s">
        <v>1600</v>
      </c>
      <c r="J2918" s="233">
        <v>210.01</v>
      </c>
      <c r="K2918" s="80" t="s">
        <v>1594</v>
      </c>
      <c r="L2918" s="66"/>
      <c r="M2918" s="67">
        <f>L2913</f>
        <v>559447214</v>
      </c>
      <c r="N2918" s="67"/>
      <c r="O2918" s="61"/>
      <c r="P2918" s="69" t="str">
        <f t="shared" si="186"/>
        <v>Hutang Usaha</v>
      </c>
      <c r="Q2918" s="61"/>
      <c r="R2918" s="270"/>
    </row>
    <row r="2919" spans="1:18" hidden="1" x14ac:dyDescent="0.25">
      <c r="A2919" s="60" t="str">
        <f t="shared" si="184"/>
        <v>64511,03</v>
      </c>
      <c r="B2919" s="60">
        <f>COUNTIF($J$7:J2919,J2919)</f>
        <v>64</v>
      </c>
      <c r="C2919" s="60" t="str">
        <f t="shared" si="185"/>
        <v>0</v>
      </c>
      <c r="D2919" s="60">
        <f>COUNTIF($K$7:K2919,K2919)</f>
        <v>0</v>
      </c>
      <c r="E2919" s="61"/>
      <c r="F2919" s="71">
        <v>44651</v>
      </c>
      <c r="G2919" s="266"/>
      <c r="H2919" s="73" t="s">
        <v>150</v>
      </c>
      <c r="I2919" s="61" t="s">
        <v>1604</v>
      </c>
      <c r="J2919" s="67">
        <v>511.03</v>
      </c>
      <c r="K2919" s="65"/>
      <c r="L2919" s="66">
        <v>9000000</v>
      </c>
      <c r="M2919" s="67"/>
      <c r="N2919" s="67"/>
      <c r="O2919" s="61"/>
      <c r="P2919" s="69" t="str">
        <f t="shared" si="186"/>
        <v>Biaya Pengiriman Barang Ekspedisi</v>
      </c>
      <c r="Q2919" s="61"/>
      <c r="R2919" s="270"/>
    </row>
    <row r="2920" spans="1:18" hidden="1" x14ac:dyDescent="0.25">
      <c r="A2920" s="60" t="str">
        <f t="shared" si="184"/>
        <v>19211,04</v>
      </c>
      <c r="B2920" s="60">
        <f>COUNTIF($J$7:J2920,J2920)</f>
        <v>19</v>
      </c>
      <c r="C2920" s="60" t="str">
        <f t="shared" si="185"/>
        <v>0</v>
      </c>
      <c r="D2920" s="60">
        <f>COUNTIF($K$7:K2920,K2920)</f>
        <v>0</v>
      </c>
      <c r="E2920" s="61"/>
      <c r="F2920" s="71">
        <v>44651</v>
      </c>
      <c r="G2920" s="266"/>
      <c r="H2920" s="73" t="s">
        <v>150</v>
      </c>
      <c r="I2920" s="61" t="s">
        <v>1604</v>
      </c>
      <c r="J2920" s="67">
        <v>211.04</v>
      </c>
      <c r="K2920" s="65"/>
      <c r="L2920" s="66"/>
      <c r="M2920" s="67">
        <v>180000</v>
      </c>
      <c r="N2920" s="67"/>
      <c r="O2920" s="61"/>
      <c r="P2920" s="69" t="str">
        <f t="shared" si="186"/>
        <v>Hutang PPh 23</v>
      </c>
      <c r="Q2920" s="61"/>
      <c r="R2920" s="270"/>
    </row>
    <row r="2921" spans="1:18" hidden="1" x14ac:dyDescent="0.25">
      <c r="A2921" s="60" t="str">
        <f t="shared" si="184"/>
        <v>65511,03</v>
      </c>
      <c r="B2921" s="60">
        <f>COUNTIF($J$7:J2921,J2921)</f>
        <v>65</v>
      </c>
      <c r="C2921" s="60" t="str">
        <f t="shared" si="185"/>
        <v>0</v>
      </c>
      <c r="D2921" s="60">
        <f>COUNTIF($K$7:K2921,K2921)</f>
        <v>0</v>
      </c>
      <c r="E2921" s="61"/>
      <c r="F2921" s="71">
        <v>44651</v>
      </c>
      <c r="G2921" s="266"/>
      <c r="H2921" s="73" t="s">
        <v>150</v>
      </c>
      <c r="I2921" s="61" t="s">
        <v>1605</v>
      </c>
      <c r="J2921" s="67">
        <v>511.03</v>
      </c>
      <c r="K2921" s="65"/>
      <c r="L2921" s="66">
        <v>478500</v>
      </c>
      <c r="M2921" s="67"/>
      <c r="N2921" s="67"/>
      <c r="O2921" s="61"/>
      <c r="P2921" s="69" t="str">
        <f t="shared" si="186"/>
        <v>Biaya Pengiriman Barang Ekspedisi</v>
      </c>
      <c r="Q2921" s="61"/>
      <c r="R2921" s="270"/>
    </row>
    <row r="2922" spans="1:18" hidden="1" x14ac:dyDescent="0.25">
      <c r="A2922" s="60" t="str">
        <f t="shared" si="184"/>
        <v>66511,03</v>
      </c>
      <c r="B2922" s="60">
        <f>COUNTIF($J$7:J2922,J2922)</f>
        <v>66</v>
      </c>
      <c r="C2922" s="60" t="str">
        <f t="shared" si="185"/>
        <v>0</v>
      </c>
      <c r="D2922" s="60">
        <f>COUNTIF($K$7:K2922,K2922)</f>
        <v>0</v>
      </c>
      <c r="E2922" s="61"/>
      <c r="F2922" s="71">
        <v>44651</v>
      </c>
      <c r="G2922" s="266"/>
      <c r="H2922" s="73" t="s">
        <v>150</v>
      </c>
      <c r="I2922" s="61" t="s">
        <v>1606</v>
      </c>
      <c r="J2922" s="67">
        <v>511.03</v>
      </c>
      <c r="K2922" s="65"/>
      <c r="L2922" s="66">
        <f>1850000+296000+296000+551636+300000</f>
        <v>3293636</v>
      </c>
      <c r="M2922" s="67"/>
      <c r="N2922" s="67"/>
      <c r="O2922" s="61"/>
      <c r="P2922" s="69" t="str">
        <f t="shared" si="186"/>
        <v>Biaya Pengiriman Barang Ekspedisi</v>
      </c>
      <c r="Q2922" s="61"/>
      <c r="R2922" s="270"/>
    </row>
    <row r="2923" spans="1:18" hidden="1" x14ac:dyDescent="0.25">
      <c r="A2923" s="60" t="str">
        <f t="shared" si="184"/>
        <v>24117,01</v>
      </c>
      <c r="B2923" s="60">
        <f>COUNTIF($J$7:J2923,J2923)</f>
        <v>24</v>
      </c>
      <c r="C2923" s="60" t="str">
        <f t="shared" si="185"/>
        <v>0</v>
      </c>
      <c r="D2923" s="60">
        <f>COUNTIF($K$7:K2923,K2923)</f>
        <v>0</v>
      </c>
      <c r="E2923" s="61"/>
      <c r="F2923" s="71">
        <v>44651</v>
      </c>
      <c r="G2923" s="266"/>
      <c r="H2923" s="73" t="s">
        <v>150</v>
      </c>
      <c r="I2923" s="61" t="s">
        <v>1606</v>
      </c>
      <c r="J2923" s="67">
        <v>117.01</v>
      </c>
      <c r="K2923" s="65"/>
      <c r="L2923" s="284">
        <v>55164</v>
      </c>
      <c r="M2923" s="67"/>
      <c r="N2923" s="67"/>
      <c r="O2923" s="61" t="s">
        <v>816</v>
      </c>
      <c r="P2923" s="69" t="str">
        <f t="shared" si="186"/>
        <v>Pajak Dibayar Di Muka - PPN Masukan</v>
      </c>
      <c r="Q2923" s="61"/>
      <c r="R2923" s="270">
        <f>444000+162800</f>
        <v>606800</v>
      </c>
    </row>
    <row r="2924" spans="1:18" hidden="1" x14ac:dyDescent="0.25">
      <c r="A2924" s="60" t="str">
        <f t="shared" si="184"/>
        <v>72220,03</v>
      </c>
      <c r="B2924" s="60">
        <f>COUNTIF($J$7:J2924,J2924)</f>
        <v>72</v>
      </c>
      <c r="C2924" s="60" t="str">
        <f t="shared" si="185"/>
        <v>0</v>
      </c>
      <c r="D2924" s="60">
        <f>COUNTIF($K$7:K2924,K2924)</f>
        <v>0</v>
      </c>
      <c r="E2924" s="61"/>
      <c r="F2924" s="71">
        <v>44651</v>
      </c>
      <c r="G2924" s="266"/>
      <c r="H2924" s="73" t="s">
        <v>150</v>
      </c>
      <c r="I2924" s="61" t="s">
        <v>1604</v>
      </c>
      <c r="J2924" s="235">
        <v>220.03</v>
      </c>
      <c r="K2924" s="65"/>
      <c r="L2924" s="66"/>
      <c r="M2924" s="67">
        <f>L2919+L2921+L2922+L2923-M2920</f>
        <v>12647300</v>
      </c>
      <c r="N2924" s="67"/>
      <c r="O2924" s="61"/>
      <c r="P2924" s="69" t="str">
        <f t="shared" si="186"/>
        <v>Hutang BIaya</v>
      </c>
      <c r="Q2924" s="61"/>
      <c r="R2924" s="270"/>
    </row>
    <row r="2925" spans="1:18" hidden="1" x14ac:dyDescent="0.25">
      <c r="A2925" s="60" t="str">
        <f t="shared" si="184"/>
        <v>6610,31</v>
      </c>
      <c r="B2925" s="60">
        <f>COUNTIF($J$7:J2925,J2925)</f>
        <v>6</v>
      </c>
      <c r="C2925" s="60" t="str">
        <f t="shared" si="185"/>
        <v>0</v>
      </c>
      <c r="D2925" s="60">
        <f>COUNTIF($K$7:K2925,K2925)</f>
        <v>0</v>
      </c>
      <c r="E2925" s="61"/>
      <c r="F2925" s="71">
        <v>44648</v>
      </c>
      <c r="G2925" s="266"/>
      <c r="H2925" s="73" t="s">
        <v>150</v>
      </c>
      <c r="I2925" s="262" t="s">
        <v>1607</v>
      </c>
      <c r="J2925" s="221">
        <v>610.30999999999995</v>
      </c>
      <c r="K2925" s="75"/>
      <c r="L2925" s="224">
        <v>120000</v>
      </c>
      <c r="M2925" s="67"/>
      <c r="N2925" s="67"/>
      <c r="O2925" s="61"/>
      <c r="P2925" s="69" t="str">
        <f t="shared" si="186"/>
        <v>Biaya Instalasi &amp; System</v>
      </c>
      <c r="Q2925" s="61"/>
      <c r="R2925" s="270"/>
    </row>
    <row r="2926" spans="1:18" hidden="1" x14ac:dyDescent="0.25">
      <c r="A2926" s="60" t="str">
        <f t="shared" si="184"/>
        <v>25117,01</v>
      </c>
      <c r="B2926" s="60">
        <f>COUNTIF($J$7:J2926,J2926)</f>
        <v>25</v>
      </c>
      <c r="C2926" s="60" t="str">
        <f t="shared" si="185"/>
        <v>0</v>
      </c>
      <c r="D2926" s="60">
        <f>COUNTIF($K$7:K2926,K2926)</f>
        <v>0</v>
      </c>
      <c r="E2926" s="61"/>
      <c r="F2926" s="71">
        <v>44648</v>
      </c>
      <c r="G2926" s="266"/>
      <c r="H2926" s="73" t="s">
        <v>150</v>
      </c>
      <c r="I2926" s="262" t="s">
        <v>1607</v>
      </c>
      <c r="J2926" s="67">
        <v>117.01</v>
      </c>
      <c r="K2926" s="75"/>
      <c r="L2926" s="285">
        <v>12000</v>
      </c>
      <c r="M2926" s="61"/>
      <c r="N2926" s="61"/>
      <c r="O2926" s="61" t="s">
        <v>816</v>
      </c>
      <c r="P2926" s="69" t="str">
        <f t="shared" si="186"/>
        <v>Pajak Dibayar Di Muka - PPN Masukan</v>
      </c>
      <c r="Q2926" s="61"/>
      <c r="R2926" s="270"/>
    </row>
    <row r="2927" spans="1:18" hidden="1" x14ac:dyDescent="0.25">
      <c r="A2927" s="60" t="str">
        <f t="shared" si="184"/>
        <v>73220,03</v>
      </c>
      <c r="B2927" s="60">
        <f>COUNTIF($J$7:J2927,J2927)</f>
        <v>73</v>
      </c>
      <c r="C2927" s="60" t="str">
        <f t="shared" si="185"/>
        <v>0</v>
      </c>
      <c r="D2927" s="60">
        <f>COUNTIF($K$7:K2927,K2927)</f>
        <v>0</v>
      </c>
      <c r="E2927" s="61"/>
      <c r="F2927" s="71">
        <v>44648</v>
      </c>
      <c r="G2927" s="266"/>
      <c r="H2927" s="73" t="s">
        <v>150</v>
      </c>
      <c r="I2927" s="262" t="s">
        <v>1607</v>
      </c>
      <c r="J2927" s="235">
        <v>220.03</v>
      </c>
      <c r="K2927" s="75"/>
      <c r="L2927" s="224"/>
      <c r="M2927" s="67">
        <v>132000</v>
      </c>
      <c r="N2927" s="67"/>
      <c r="O2927" s="61"/>
      <c r="P2927" s="69" t="str">
        <f t="shared" si="186"/>
        <v>Hutang BIaya</v>
      </c>
      <c r="Q2927" s="61"/>
      <c r="R2927" s="270"/>
    </row>
    <row r="2928" spans="1:18" hidden="1" x14ac:dyDescent="0.25">
      <c r="A2928" s="60" t="str">
        <f t="shared" si="184"/>
        <v>67511,03</v>
      </c>
      <c r="B2928" s="60">
        <f>COUNTIF($J$7:J2928,J2928)</f>
        <v>67</v>
      </c>
      <c r="C2928" s="60" t="str">
        <f t="shared" si="185"/>
        <v>0</v>
      </c>
      <c r="D2928" s="60">
        <f>COUNTIF($K$7:K2928,K2928)</f>
        <v>0</v>
      </c>
      <c r="E2928" s="61"/>
      <c r="F2928" s="71">
        <v>44651</v>
      </c>
      <c r="G2928" s="266"/>
      <c r="H2928" s="73" t="s">
        <v>150</v>
      </c>
      <c r="I2928" s="61" t="s">
        <v>1608</v>
      </c>
      <c r="J2928" s="67">
        <v>511.03</v>
      </c>
      <c r="K2928" s="65"/>
      <c r="L2928" s="66">
        <v>9000000</v>
      </c>
      <c r="M2928" s="67"/>
      <c r="N2928" s="67"/>
      <c r="O2928" s="61"/>
      <c r="P2928" s="69" t="str">
        <f t="shared" si="186"/>
        <v>Biaya Pengiriman Barang Ekspedisi</v>
      </c>
      <c r="Q2928" s="61"/>
      <c r="R2928" s="270"/>
    </row>
    <row r="2929" spans="1:18" hidden="1" x14ac:dyDescent="0.25">
      <c r="A2929" s="60" t="str">
        <f t="shared" si="184"/>
        <v>20211,04</v>
      </c>
      <c r="B2929" s="60">
        <f>COUNTIF($J$7:J2929,J2929)</f>
        <v>20</v>
      </c>
      <c r="C2929" s="60" t="str">
        <f t="shared" si="185"/>
        <v>0</v>
      </c>
      <c r="D2929" s="60">
        <f>COUNTIF($K$7:K2929,K2929)</f>
        <v>0</v>
      </c>
      <c r="E2929" s="61"/>
      <c r="F2929" s="71">
        <v>44651</v>
      </c>
      <c r="G2929" s="266"/>
      <c r="H2929" s="73" t="s">
        <v>150</v>
      </c>
      <c r="I2929" s="61" t="s">
        <v>1608</v>
      </c>
      <c r="J2929" s="67">
        <v>211.04</v>
      </c>
      <c r="K2929" s="65"/>
      <c r="L2929" s="66"/>
      <c r="M2929" s="67">
        <v>180000</v>
      </c>
      <c r="N2929" s="67"/>
      <c r="O2929" s="61"/>
      <c r="P2929" s="69" t="str">
        <f t="shared" si="186"/>
        <v>Hutang PPh 23</v>
      </c>
      <c r="Q2929" s="61"/>
      <c r="R2929" s="270"/>
    </row>
    <row r="2930" spans="1:18" hidden="1" x14ac:dyDescent="0.25">
      <c r="A2930" s="60" t="str">
        <f t="shared" si="184"/>
        <v>68511,03</v>
      </c>
      <c r="B2930" s="60">
        <f>COUNTIF($J$7:J2930,J2930)</f>
        <v>68</v>
      </c>
      <c r="C2930" s="60" t="str">
        <f t="shared" si="185"/>
        <v>0</v>
      </c>
      <c r="D2930" s="60">
        <f>COUNTIF($K$7:K2930,K2930)</f>
        <v>0</v>
      </c>
      <c r="E2930" s="61"/>
      <c r="F2930" s="71">
        <v>44651</v>
      </c>
      <c r="G2930" s="266"/>
      <c r="H2930" s="73" t="s">
        <v>150</v>
      </c>
      <c r="I2930" s="61" t="s">
        <v>1609</v>
      </c>
      <c r="J2930" s="67">
        <v>511.03</v>
      </c>
      <c r="K2930" s="65"/>
      <c r="L2930" s="66">
        <v>478500</v>
      </c>
      <c r="M2930" s="67"/>
      <c r="N2930" s="67"/>
      <c r="O2930" s="61"/>
      <c r="P2930" s="69" t="str">
        <f t="shared" si="186"/>
        <v>Biaya Pengiriman Barang Ekspedisi</v>
      </c>
      <c r="Q2930" s="61"/>
      <c r="R2930" s="270"/>
    </row>
    <row r="2931" spans="1:18" hidden="1" x14ac:dyDescent="0.25">
      <c r="A2931" s="60" t="str">
        <f t="shared" si="184"/>
        <v>69511,03</v>
      </c>
      <c r="B2931" s="60">
        <f>COUNTIF($J$7:J2931,J2931)</f>
        <v>69</v>
      </c>
      <c r="C2931" s="60" t="str">
        <f t="shared" si="185"/>
        <v>0</v>
      </c>
      <c r="D2931" s="60">
        <f>COUNTIF($K$7:K2931,K2931)</f>
        <v>0</v>
      </c>
      <c r="E2931" s="61"/>
      <c r="F2931" s="71">
        <v>44651</v>
      </c>
      <c r="G2931" s="266"/>
      <c r="H2931" s="73" t="s">
        <v>150</v>
      </c>
      <c r="I2931" s="61" t="s">
        <v>1610</v>
      </c>
      <c r="J2931" s="67">
        <v>511.03</v>
      </c>
      <c r="K2931" s="65"/>
      <c r="L2931" s="66">
        <f>1850000+296000+296000+551636+300000</f>
        <v>3293636</v>
      </c>
      <c r="M2931" s="67"/>
      <c r="N2931" s="67"/>
      <c r="O2931" s="61"/>
      <c r="P2931" s="69" t="str">
        <f t="shared" si="186"/>
        <v>Biaya Pengiriman Barang Ekspedisi</v>
      </c>
      <c r="Q2931" s="61"/>
      <c r="R2931" s="270"/>
    </row>
    <row r="2932" spans="1:18" hidden="1" x14ac:dyDescent="0.25">
      <c r="A2932" s="60" t="str">
        <f t="shared" si="184"/>
        <v>26117,01</v>
      </c>
      <c r="B2932" s="60">
        <f>COUNTIF($J$7:J2932,J2932)</f>
        <v>26</v>
      </c>
      <c r="C2932" s="60" t="str">
        <f t="shared" si="185"/>
        <v>0</v>
      </c>
      <c r="D2932" s="60">
        <f>COUNTIF($K$7:K2932,K2932)</f>
        <v>0</v>
      </c>
      <c r="E2932" s="61"/>
      <c r="F2932" s="71">
        <v>44651</v>
      </c>
      <c r="G2932" s="266"/>
      <c r="H2932" s="73" t="s">
        <v>150</v>
      </c>
      <c r="I2932" s="61" t="s">
        <v>1610</v>
      </c>
      <c r="J2932" s="67">
        <v>117.01</v>
      </c>
      <c r="K2932" s="65"/>
      <c r="L2932" s="284">
        <v>55164</v>
      </c>
      <c r="M2932" s="67"/>
      <c r="N2932" s="67"/>
      <c r="O2932" s="61" t="s">
        <v>816</v>
      </c>
      <c r="P2932" s="69" t="str">
        <f t="shared" si="186"/>
        <v>Pajak Dibayar Di Muka - PPN Masukan</v>
      </c>
      <c r="Q2932" s="61"/>
      <c r="R2932" s="270"/>
    </row>
    <row r="2933" spans="1:18" hidden="1" x14ac:dyDescent="0.25">
      <c r="A2933" s="60" t="str">
        <f t="shared" si="184"/>
        <v>74220,03</v>
      </c>
      <c r="B2933" s="60">
        <f>COUNTIF($J$7:J2933,J2933)</f>
        <v>74</v>
      </c>
      <c r="C2933" s="60" t="str">
        <f t="shared" si="185"/>
        <v>0</v>
      </c>
      <c r="D2933" s="60">
        <f>COUNTIF($K$7:K2933,K2933)</f>
        <v>0</v>
      </c>
      <c r="E2933" s="61"/>
      <c r="F2933" s="71">
        <v>44651</v>
      </c>
      <c r="G2933" s="266"/>
      <c r="H2933" s="73" t="s">
        <v>150</v>
      </c>
      <c r="I2933" s="61" t="s">
        <v>1608</v>
      </c>
      <c r="J2933" s="235">
        <v>220.03</v>
      </c>
      <c r="K2933" s="65"/>
      <c r="L2933" s="66"/>
      <c r="M2933" s="67">
        <f>L2928+L2930+L2931+L2932-M2929</f>
        <v>12647300</v>
      </c>
      <c r="N2933" s="67"/>
      <c r="O2933" s="61"/>
      <c r="P2933" s="69" t="str">
        <f t="shared" si="186"/>
        <v>Hutang BIaya</v>
      </c>
      <c r="Q2933" s="61"/>
      <c r="R2933" s="270"/>
    </row>
    <row r="2934" spans="1:18" hidden="1" x14ac:dyDescent="0.25">
      <c r="A2934" s="60" t="str">
        <f t="shared" si="184"/>
        <v>1121,05</v>
      </c>
      <c r="B2934" s="60">
        <f>COUNTIF($J$7:J2934,J2934)</f>
        <v>1</v>
      </c>
      <c r="C2934" s="60" t="str">
        <f t="shared" si="185"/>
        <v>0</v>
      </c>
      <c r="D2934" s="60">
        <f>COUNTIF($K$7:K2934,K2934)</f>
        <v>0</v>
      </c>
      <c r="E2934" s="61"/>
      <c r="F2934" s="71">
        <v>44648</v>
      </c>
      <c r="G2934" s="266"/>
      <c r="H2934" s="73" t="s">
        <v>150</v>
      </c>
      <c r="I2934" s="286" t="s">
        <v>1611</v>
      </c>
      <c r="J2934" s="287">
        <v>121.05</v>
      </c>
      <c r="K2934" s="288"/>
      <c r="L2934" s="289">
        <v>111390000</v>
      </c>
      <c r="M2934" s="290"/>
      <c r="N2934" s="290"/>
      <c r="O2934" s="291"/>
      <c r="P2934" s="69" t="str">
        <f t="shared" si="186"/>
        <v>Kendaraan</v>
      </c>
      <c r="Q2934" s="61"/>
      <c r="R2934" s="270"/>
    </row>
    <row r="2935" spans="1:18" hidden="1" x14ac:dyDescent="0.25">
      <c r="A2935" s="60" t="str">
        <f t="shared" si="184"/>
        <v>27117,01</v>
      </c>
      <c r="B2935" s="60">
        <f>COUNTIF($J$7:J2935,J2935)</f>
        <v>27</v>
      </c>
      <c r="C2935" s="60" t="str">
        <f t="shared" si="185"/>
        <v>0</v>
      </c>
      <c r="D2935" s="60">
        <f>COUNTIF($K$7:K2935,K2935)</f>
        <v>0</v>
      </c>
      <c r="E2935" s="61"/>
      <c r="F2935" s="71">
        <v>44648</v>
      </c>
      <c r="G2935" s="266"/>
      <c r="H2935" s="73" t="s">
        <v>150</v>
      </c>
      <c r="I2935" s="286" t="s">
        <v>1611</v>
      </c>
      <c r="J2935" s="290">
        <v>117.01</v>
      </c>
      <c r="K2935" s="288"/>
      <c r="L2935" s="289">
        <v>11139000</v>
      </c>
      <c r="M2935" s="290"/>
      <c r="N2935" s="290"/>
      <c r="O2935" s="61" t="s">
        <v>816</v>
      </c>
      <c r="P2935" s="69" t="str">
        <f t="shared" si="186"/>
        <v>Pajak Dibayar Di Muka - PPN Masukan</v>
      </c>
      <c r="Q2935" s="61"/>
      <c r="R2935" s="270"/>
    </row>
    <row r="2936" spans="1:18" ht="45" hidden="1" x14ac:dyDescent="0.25">
      <c r="A2936" s="60" t="str">
        <f t="shared" si="184"/>
        <v>1810,05</v>
      </c>
      <c r="B2936" s="60">
        <f>COUNTIF($J$7:J2936,J2936)</f>
        <v>1</v>
      </c>
      <c r="C2936" s="60" t="str">
        <f t="shared" si="185"/>
        <v>0</v>
      </c>
      <c r="D2936" s="60">
        <f>COUNTIF($K$7:K2936,K2936)</f>
        <v>0</v>
      </c>
      <c r="E2936" s="61"/>
      <c r="F2936" s="71">
        <v>44648</v>
      </c>
      <c r="G2936" s="266"/>
      <c r="H2936" s="73" t="s">
        <v>150</v>
      </c>
      <c r="I2936" s="286" t="s">
        <v>1612</v>
      </c>
      <c r="J2936" s="292">
        <v>810.05</v>
      </c>
      <c r="K2936" s="288"/>
      <c r="L2936" s="289">
        <v>22471000</v>
      </c>
      <c r="M2936" s="290"/>
      <c r="N2936" s="290"/>
      <c r="O2936" s="291" t="s">
        <v>1613</v>
      </c>
      <c r="P2936" s="69" t="str">
        <f t="shared" si="186"/>
        <v>Biaya lain-lain</v>
      </c>
      <c r="Q2936" s="61"/>
      <c r="R2936" s="270"/>
    </row>
    <row r="2937" spans="1:18" ht="30" hidden="1" x14ac:dyDescent="0.25">
      <c r="A2937" s="60" t="str">
        <f t="shared" si="184"/>
        <v>1118,03</v>
      </c>
      <c r="B2937" s="60">
        <f>COUNTIF($J$7:J2937,J2937)</f>
        <v>1</v>
      </c>
      <c r="C2937" s="60" t="str">
        <f t="shared" si="185"/>
        <v>0</v>
      </c>
      <c r="D2937" s="60">
        <f>COUNTIF($K$7:K2937,K2937)</f>
        <v>0</v>
      </c>
      <c r="E2937" s="61"/>
      <c r="F2937" s="71">
        <v>44648</v>
      </c>
      <c r="G2937" s="266"/>
      <c r="H2937" s="73" t="s">
        <v>150</v>
      </c>
      <c r="I2937" s="286" t="s">
        <v>1614</v>
      </c>
      <c r="J2937" s="287">
        <v>118.03</v>
      </c>
      <c r="K2937" s="288"/>
      <c r="L2937" s="289"/>
      <c r="M2937" s="290">
        <v>145000000</v>
      </c>
      <c r="N2937" s="290"/>
      <c r="O2937" s="291"/>
      <c r="P2937" s="69" t="str">
        <f t="shared" si="186"/>
        <v>Biaya Dibayar Dimuka Lainnya</v>
      </c>
      <c r="Q2937" s="61"/>
      <c r="R2937" s="270"/>
    </row>
    <row r="2938" spans="1:18" hidden="1" x14ac:dyDescent="0.25">
      <c r="A2938" s="60" t="str">
        <f t="shared" si="184"/>
        <v>7610,05</v>
      </c>
      <c r="B2938" s="60">
        <f>COUNTIF($J$7:J2938,J2938)</f>
        <v>7</v>
      </c>
      <c r="C2938" s="60" t="str">
        <f t="shared" si="185"/>
        <v>0</v>
      </c>
      <c r="D2938" s="60">
        <f>COUNTIF($K$7:K2938,K2938)</f>
        <v>0</v>
      </c>
      <c r="E2938" s="61"/>
      <c r="F2938" s="239">
        <v>44621.465949074074</v>
      </c>
      <c r="G2938" s="232"/>
      <c r="H2938" s="73" t="s">
        <v>1615</v>
      </c>
      <c r="I2938" s="243" t="s">
        <v>1028</v>
      </c>
      <c r="J2938" s="221">
        <v>610.04999999999995</v>
      </c>
      <c r="K2938" s="65"/>
      <c r="L2938" s="224">
        <v>1003736</v>
      </c>
      <c r="M2938" s="231"/>
      <c r="N2938" s="231"/>
      <c r="O2938" s="61"/>
      <c r="P2938" s="69" t="str">
        <f t="shared" si="186"/>
        <v>Biaya Listrik</v>
      </c>
      <c r="Q2938" s="61"/>
    </row>
    <row r="2939" spans="1:18" hidden="1" x14ac:dyDescent="0.25">
      <c r="A2939" s="60" t="str">
        <f t="shared" si="184"/>
        <v>75220,03</v>
      </c>
      <c r="B2939" s="60">
        <f>COUNTIF($J$7:J2939,J2939)</f>
        <v>75</v>
      </c>
      <c r="C2939" s="60" t="str">
        <f t="shared" si="185"/>
        <v>0</v>
      </c>
      <c r="D2939" s="60">
        <f>COUNTIF($K$7:K2939,K2939)</f>
        <v>0</v>
      </c>
      <c r="E2939" s="61"/>
      <c r="F2939" s="239">
        <v>44621</v>
      </c>
      <c r="G2939" s="232"/>
      <c r="H2939" s="73" t="s">
        <v>1615</v>
      </c>
      <c r="I2939" s="243" t="s">
        <v>1616</v>
      </c>
      <c r="J2939" s="67">
        <v>220.03</v>
      </c>
      <c r="K2939" s="65"/>
      <c r="L2939" s="224">
        <v>132000</v>
      </c>
      <c r="M2939" s="231"/>
      <c r="N2939" s="231"/>
      <c r="O2939" s="61"/>
      <c r="P2939" s="69" t="str">
        <f t="shared" si="186"/>
        <v>Hutang BIaya</v>
      </c>
      <c r="Q2939" s="61"/>
    </row>
    <row r="2940" spans="1:18" hidden="1" x14ac:dyDescent="0.25">
      <c r="A2940" s="60" t="str">
        <f t="shared" si="184"/>
        <v>71810,01</v>
      </c>
      <c r="B2940" s="60">
        <f>COUNTIF($J$7:J2940,J2940)</f>
        <v>71</v>
      </c>
      <c r="C2940" s="60" t="str">
        <f t="shared" si="185"/>
        <v>0</v>
      </c>
      <c r="D2940" s="60">
        <f>COUNTIF($K$7:K2940,K2940)</f>
        <v>0</v>
      </c>
      <c r="E2940" s="61"/>
      <c r="F2940" s="239">
        <v>44621.465960648151</v>
      </c>
      <c r="G2940" s="232"/>
      <c r="H2940" s="73" t="s">
        <v>1615</v>
      </c>
      <c r="I2940" s="243" t="s">
        <v>282</v>
      </c>
      <c r="J2940" s="67">
        <v>810.01</v>
      </c>
      <c r="K2940" s="65"/>
      <c r="L2940" s="224">
        <v>6500</v>
      </c>
      <c r="M2940" s="231"/>
      <c r="N2940" s="231"/>
      <c r="O2940" s="61"/>
      <c r="P2940" s="69" t="str">
        <f t="shared" si="186"/>
        <v>Biaya Admin Transfer dan Rek</v>
      </c>
      <c r="Q2940" s="61"/>
    </row>
    <row r="2941" spans="1:18" hidden="1" x14ac:dyDescent="0.25">
      <c r="A2941" s="60" t="str">
        <f t="shared" si="184"/>
        <v>8610,05</v>
      </c>
      <c r="B2941" s="60">
        <f>COUNTIF($J$7:J2941,J2941)</f>
        <v>8</v>
      </c>
      <c r="C2941" s="60" t="str">
        <f t="shared" si="185"/>
        <v>0</v>
      </c>
      <c r="D2941" s="60">
        <f>COUNTIF($K$7:K2941,K2941)</f>
        <v>0</v>
      </c>
      <c r="E2941" s="61"/>
      <c r="F2941" s="239">
        <v>44621.46597222222</v>
      </c>
      <c r="G2941" s="232"/>
      <c r="H2941" s="73" t="s">
        <v>1615</v>
      </c>
      <c r="I2941" s="243" t="s">
        <v>1617</v>
      </c>
      <c r="J2941" s="221">
        <v>610.04999999999995</v>
      </c>
      <c r="K2941" s="65"/>
      <c r="L2941" s="224">
        <v>503348</v>
      </c>
      <c r="M2941" s="231"/>
      <c r="N2941" s="231"/>
      <c r="O2941" s="61"/>
      <c r="P2941" s="69" t="str">
        <f t="shared" si="186"/>
        <v>Biaya Listrik</v>
      </c>
      <c r="Q2941" s="61"/>
    </row>
    <row r="2942" spans="1:18" hidden="1" x14ac:dyDescent="0.25">
      <c r="A2942" s="60" t="str">
        <f t="shared" si="184"/>
        <v>9610,05</v>
      </c>
      <c r="B2942" s="60">
        <f>COUNTIF($J$7:J2942,J2942)</f>
        <v>9</v>
      </c>
      <c r="C2942" s="60" t="str">
        <f t="shared" si="185"/>
        <v>0</v>
      </c>
      <c r="D2942" s="60">
        <f>COUNTIF($K$7:K2942,K2942)</f>
        <v>0</v>
      </c>
      <c r="E2942" s="61"/>
      <c r="F2942" s="239">
        <v>44621.597291666665</v>
      </c>
      <c r="G2942" s="232"/>
      <c r="H2942" s="73" t="s">
        <v>1615</v>
      </c>
      <c r="I2942" s="243" t="s">
        <v>230</v>
      </c>
      <c r="J2942" s="221">
        <v>610.04999999999995</v>
      </c>
      <c r="K2942" s="65"/>
      <c r="L2942" s="224">
        <v>503095</v>
      </c>
      <c r="M2942" s="231"/>
      <c r="N2942" s="231"/>
      <c r="O2942" s="61"/>
      <c r="P2942" s="69" t="str">
        <f t="shared" si="186"/>
        <v>Biaya Listrik</v>
      </c>
      <c r="Q2942" s="61"/>
    </row>
    <row r="2943" spans="1:18" hidden="1" x14ac:dyDescent="0.25">
      <c r="A2943" s="60" t="str">
        <f t="shared" si="184"/>
        <v>288111,01</v>
      </c>
      <c r="B2943" s="60">
        <f>COUNTIF($J$7:J2943,J2943)</f>
        <v>288</v>
      </c>
      <c r="C2943" s="60" t="str">
        <f t="shared" si="185"/>
        <v>0</v>
      </c>
      <c r="D2943" s="60">
        <f>COUNTIF($K$7:K2943,K2943)</f>
        <v>0</v>
      </c>
      <c r="E2943" s="61"/>
      <c r="F2943" s="239">
        <v>44621.465949074074</v>
      </c>
      <c r="G2943" s="232"/>
      <c r="H2943" s="73" t="s">
        <v>1615</v>
      </c>
      <c r="I2943" s="243" t="s">
        <v>1618</v>
      </c>
      <c r="J2943" s="67">
        <v>111.01</v>
      </c>
      <c r="K2943" s="242"/>
      <c r="L2943" s="224"/>
      <c r="M2943" s="223">
        <v>1003736</v>
      </c>
      <c r="N2943" s="223"/>
      <c r="O2943" s="243"/>
      <c r="P2943" s="69" t="str">
        <f t="shared" si="186"/>
        <v>BNI IDR 768</v>
      </c>
      <c r="Q2943" s="61"/>
    </row>
    <row r="2944" spans="1:18" hidden="1" x14ac:dyDescent="0.25">
      <c r="A2944" s="60" t="str">
        <f t="shared" si="184"/>
        <v>289111,01</v>
      </c>
      <c r="B2944" s="60">
        <f>COUNTIF($J$7:J2944,J2944)</f>
        <v>289</v>
      </c>
      <c r="C2944" s="60" t="str">
        <f t="shared" si="185"/>
        <v>0</v>
      </c>
      <c r="D2944" s="60">
        <f>COUNTIF($K$7:K2944,K2944)</f>
        <v>0</v>
      </c>
      <c r="E2944" s="61"/>
      <c r="F2944" s="239">
        <v>44621</v>
      </c>
      <c r="G2944" s="232"/>
      <c r="H2944" s="73" t="s">
        <v>1615</v>
      </c>
      <c r="I2944" s="243" t="s">
        <v>1619</v>
      </c>
      <c r="J2944" s="67">
        <v>111.01</v>
      </c>
      <c r="K2944" s="242"/>
      <c r="L2944" s="224"/>
      <c r="M2944" s="223">
        <v>132000</v>
      </c>
      <c r="N2944" s="223"/>
      <c r="O2944" s="243"/>
      <c r="P2944" s="69" t="str">
        <f t="shared" si="186"/>
        <v>BNI IDR 768</v>
      </c>
      <c r="Q2944" s="61"/>
    </row>
    <row r="2945" spans="1:17" hidden="1" x14ac:dyDescent="0.25">
      <c r="A2945" s="60" t="str">
        <f t="shared" si="184"/>
        <v>290111,01</v>
      </c>
      <c r="B2945" s="60">
        <f>COUNTIF($J$7:J2945,J2945)</f>
        <v>290</v>
      </c>
      <c r="C2945" s="60" t="str">
        <f t="shared" si="185"/>
        <v>0</v>
      </c>
      <c r="D2945" s="60">
        <f>COUNTIF($K$7:K2945,K2945)</f>
        <v>0</v>
      </c>
      <c r="E2945" s="61"/>
      <c r="F2945" s="239">
        <v>44621.465960648151</v>
      </c>
      <c r="G2945" s="232"/>
      <c r="H2945" s="73" t="s">
        <v>1615</v>
      </c>
      <c r="I2945" s="243" t="s">
        <v>282</v>
      </c>
      <c r="J2945" s="67">
        <v>111.01</v>
      </c>
      <c r="K2945" s="242"/>
      <c r="L2945" s="224"/>
      <c r="M2945" s="223">
        <v>6500</v>
      </c>
      <c r="N2945" s="223"/>
      <c r="O2945" s="243"/>
      <c r="P2945" s="69" t="str">
        <f t="shared" si="186"/>
        <v>BNI IDR 768</v>
      </c>
      <c r="Q2945" s="61"/>
    </row>
    <row r="2946" spans="1:17" hidden="1" x14ac:dyDescent="0.25">
      <c r="A2946" s="60" t="str">
        <f t="shared" si="184"/>
        <v>291111,01</v>
      </c>
      <c r="B2946" s="60">
        <f>COUNTIF($J$7:J2946,J2946)</f>
        <v>291</v>
      </c>
      <c r="C2946" s="60" t="str">
        <f t="shared" si="185"/>
        <v>0</v>
      </c>
      <c r="D2946" s="60">
        <f>COUNTIF($K$7:K2946,K2946)</f>
        <v>0</v>
      </c>
      <c r="E2946" s="61"/>
      <c r="F2946" s="239">
        <v>44621.46597222222</v>
      </c>
      <c r="G2946" s="232"/>
      <c r="H2946" s="73" t="s">
        <v>1615</v>
      </c>
      <c r="I2946" s="243" t="s">
        <v>1620</v>
      </c>
      <c r="J2946" s="67">
        <v>111.01</v>
      </c>
      <c r="K2946" s="242"/>
      <c r="L2946" s="224"/>
      <c r="M2946" s="223">
        <v>503348</v>
      </c>
      <c r="N2946" s="223"/>
      <c r="O2946" s="243"/>
      <c r="P2946" s="69" t="str">
        <f t="shared" si="186"/>
        <v>BNI IDR 768</v>
      </c>
      <c r="Q2946" s="61"/>
    </row>
    <row r="2947" spans="1:17" hidden="1" x14ac:dyDescent="0.25">
      <c r="A2947" s="60" t="str">
        <f t="shared" si="184"/>
        <v>292111,01</v>
      </c>
      <c r="B2947" s="60">
        <f>COUNTIF($J$7:J2947,J2947)</f>
        <v>292</v>
      </c>
      <c r="C2947" s="60" t="str">
        <f t="shared" si="185"/>
        <v>0</v>
      </c>
      <c r="D2947" s="60">
        <f>COUNTIF($K$7:K2947,K2947)</f>
        <v>0</v>
      </c>
      <c r="E2947" s="61"/>
      <c r="F2947" s="239">
        <v>44621.597291666665</v>
      </c>
      <c r="G2947" s="232"/>
      <c r="H2947" s="73" t="s">
        <v>1615</v>
      </c>
      <c r="I2947" s="243" t="s">
        <v>1621</v>
      </c>
      <c r="J2947" s="67">
        <v>111.01</v>
      </c>
      <c r="K2947" s="242"/>
      <c r="L2947" s="224"/>
      <c r="M2947" s="223">
        <v>503095</v>
      </c>
      <c r="N2947" s="223"/>
      <c r="O2947" s="243"/>
      <c r="P2947" s="69" t="str">
        <f t="shared" si="186"/>
        <v>BNI IDR 768</v>
      </c>
      <c r="Q2947" s="61"/>
    </row>
    <row r="2948" spans="1:17" hidden="1" x14ac:dyDescent="0.25">
      <c r="A2948" s="60" t="str">
        <f t="shared" si="184"/>
        <v>293111,01</v>
      </c>
      <c r="B2948" s="60">
        <f>COUNTIF($J$7:J2948,J2948)</f>
        <v>293</v>
      </c>
      <c r="C2948" s="60" t="str">
        <f t="shared" si="185"/>
        <v>0</v>
      </c>
      <c r="D2948" s="60">
        <f>COUNTIF($K$7:K2948,K2948)</f>
        <v>0</v>
      </c>
      <c r="E2948" s="61"/>
      <c r="F2948" s="239">
        <v>44621.623865740738</v>
      </c>
      <c r="G2948" s="232"/>
      <c r="H2948" s="73" t="s">
        <v>1615</v>
      </c>
      <c r="I2948" s="243" t="s">
        <v>1622</v>
      </c>
      <c r="J2948" s="67">
        <v>111.01</v>
      </c>
      <c r="K2948" s="242"/>
      <c r="L2948" s="224">
        <v>1207000</v>
      </c>
      <c r="M2948" s="223"/>
      <c r="N2948" s="223"/>
      <c r="O2948" s="243"/>
      <c r="P2948" s="69" t="str">
        <f t="shared" si="186"/>
        <v>BNI IDR 768</v>
      </c>
      <c r="Q2948" s="61"/>
    </row>
    <row r="2949" spans="1:17" hidden="1" x14ac:dyDescent="0.25">
      <c r="A2949" s="60" t="str">
        <f t="shared" si="184"/>
        <v>59119</v>
      </c>
      <c r="B2949" s="60">
        <f>COUNTIF($J$7:J2949,J2949)</f>
        <v>59</v>
      </c>
      <c r="C2949" s="60" t="str">
        <f t="shared" si="185"/>
        <v>22119,01</v>
      </c>
      <c r="D2949" s="60">
        <f>COUNTIF($K$7:K2949,K2949)</f>
        <v>22</v>
      </c>
      <c r="E2949" s="61"/>
      <c r="F2949" s="239">
        <v>44621.623865740738</v>
      </c>
      <c r="G2949" s="232"/>
      <c r="H2949" s="73" t="s">
        <v>1615</v>
      </c>
      <c r="I2949" s="243" t="s">
        <v>1622</v>
      </c>
      <c r="J2949" s="67">
        <v>119</v>
      </c>
      <c r="K2949" s="80">
        <v>119.01</v>
      </c>
      <c r="L2949" s="224"/>
      <c r="M2949" s="223">
        <v>1207000</v>
      </c>
      <c r="N2949" s="223"/>
      <c r="O2949" s="243"/>
      <c r="P2949" s="69" t="str">
        <f t="shared" si="186"/>
        <v>Uang Muka Biaya Pengiriman dan Perjalanan Dinas Marketing</v>
      </c>
      <c r="Q2949" s="61"/>
    </row>
    <row r="2950" spans="1:17" hidden="1" x14ac:dyDescent="0.25">
      <c r="A2950" s="60" t="str">
        <f t="shared" si="184"/>
        <v>60119</v>
      </c>
      <c r="B2950" s="60">
        <f>COUNTIF($J$7:J2950,J2950)</f>
        <v>60</v>
      </c>
      <c r="C2950" s="60" t="str">
        <f t="shared" si="185"/>
        <v>25119,02</v>
      </c>
      <c r="D2950" s="60">
        <f>COUNTIF($K$7:K2950,K2950)</f>
        <v>25</v>
      </c>
      <c r="E2950" s="61"/>
      <c r="F2950" s="239">
        <v>44621.623865740738</v>
      </c>
      <c r="G2950" s="232"/>
      <c r="H2950" s="73" t="s">
        <v>1615</v>
      </c>
      <c r="I2950" s="243" t="s">
        <v>1623</v>
      </c>
      <c r="J2950" s="67">
        <v>119</v>
      </c>
      <c r="K2950" s="242">
        <v>119.02</v>
      </c>
      <c r="L2950" s="224">
        <v>2000000</v>
      </c>
      <c r="M2950" s="223"/>
      <c r="N2950" s="223"/>
      <c r="O2950" s="243"/>
      <c r="P2950" s="69" t="str">
        <f t="shared" si="186"/>
        <v>Uang Muka Biaya Pengiriman dan Perjalanan Dinas Marketing</v>
      </c>
      <c r="Q2950" s="61"/>
    </row>
    <row r="2951" spans="1:17" hidden="1" x14ac:dyDescent="0.25">
      <c r="A2951" s="60" t="str">
        <f t="shared" ref="A2951:A3014" si="187">B2951&amp;J2951</f>
        <v>61119</v>
      </c>
      <c r="B2951" s="60">
        <f>COUNTIF($J$7:J2951,J2951)</f>
        <v>61</v>
      </c>
      <c r="C2951" s="60" t="str">
        <f t="shared" ref="C2951:C3014" si="188">D2951&amp;K2951</f>
        <v>23119,01</v>
      </c>
      <c r="D2951" s="60">
        <f>COUNTIF($K$7:K2951,K2951)</f>
        <v>23</v>
      </c>
      <c r="E2951" s="61"/>
      <c r="F2951" s="239">
        <v>44621.623888888891</v>
      </c>
      <c r="G2951" s="232"/>
      <c r="H2951" s="73" t="s">
        <v>1615</v>
      </c>
      <c r="I2951" s="243" t="s">
        <v>1624</v>
      </c>
      <c r="J2951" s="67">
        <v>119</v>
      </c>
      <c r="K2951" s="242">
        <v>119.01</v>
      </c>
      <c r="L2951" s="224">
        <v>2000000</v>
      </c>
      <c r="M2951" s="223"/>
      <c r="N2951" s="223"/>
      <c r="O2951" s="243"/>
      <c r="P2951" s="69" t="str">
        <f t="shared" ref="P2951:P3014" si="189">IF(J2951=0,"-",+VLOOKUP(J2951,DAF_AKUN,2,FALSE))</f>
        <v>Uang Muka Biaya Pengiriman dan Perjalanan Dinas Marketing</v>
      </c>
      <c r="Q2951" s="61"/>
    </row>
    <row r="2952" spans="1:17" hidden="1" x14ac:dyDescent="0.25">
      <c r="A2952" s="60" t="str">
        <f t="shared" si="187"/>
        <v>17512,03</v>
      </c>
      <c r="B2952" s="60">
        <f>COUNTIF($J$7:J2952,J2952)</f>
        <v>17</v>
      </c>
      <c r="C2952" s="60" t="str">
        <f t="shared" si="188"/>
        <v>0</v>
      </c>
      <c r="D2952" s="60">
        <f>COUNTIF($K$7:K2952,K2952)</f>
        <v>0</v>
      </c>
      <c r="E2952" s="61"/>
      <c r="F2952" s="239">
        <v>44621.623888888891</v>
      </c>
      <c r="G2952" s="232"/>
      <c r="H2952" s="73" t="s">
        <v>1615</v>
      </c>
      <c r="I2952" s="243" t="s">
        <v>1625</v>
      </c>
      <c r="J2952" s="238">
        <v>512.03</v>
      </c>
      <c r="K2952" s="242"/>
      <c r="L2952" s="224">
        <v>300000</v>
      </c>
      <c r="M2952" s="223"/>
      <c r="N2952" s="223"/>
      <c r="O2952" s="243"/>
      <c r="P2952" s="69" t="str">
        <f t="shared" si="189"/>
        <v>Beban Gasoline Marketing (Bensin, Parkir, Tol)</v>
      </c>
      <c r="Q2952" s="61"/>
    </row>
    <row r="2953" spans="1:17" hidden="1" x14ac:dyDescent="0.25">
      <c r="A2953" s="60" t="str">
        <f t="shared" si="187"/>
        <v>62119</v>
      </c>
      <c r="B2953" s="60">
        <f>COUNTIF($J$7:J2953,J2953)</f>
        <v>62</v>
      </c>
      <c r="C2953" s="60" t="str">
        <f t="shared" si="188"/>
        <v>3119,03</v>
      </c>
      <c r="D2953" s="60">
        <f>COUNTIF($K$7:K2953,K2953)</f>
        <v>3</v>
      </c>
      <c r="E2953" s="61"/>
      <c r="F2953" s="239">
        <v>44622.399560185186</v>
      </c>
      <c r="G2953" s="232"/>
      <c r="H2953" s="73" t="s">
        <v>1615</v>
      </c>
      <c r="I2953" s="243" t="s">
        <v>1626</v>
      </c>
      <c r="J2953" s="67">
        <v>119</v>
      </c>
      <c r="K2953" s="242">
        <v>119.03</v>
      </c>
      <c r="L2953" s="224">
        <v>1000000</v>
      </c>
      <c r="M2953" s="223"/>
      <c r="N2953" s="223"/>
      <c r="O2953" s="243"/>
      <c r="P2953" s="69" t="str">
        <f t="shared" si="189"/>
        <v>Uang Muka Biaya Pengiriman dan Perjalanan Dinas Marketing</v>
      </c>
      <c r="Q2953" s="61"/>
    </row>
    <row r="2954" spans="1:17" hidden="1" x14ac:dyDescent="0.25">
      <c r="A2954" s="60" t="str">
        <f t="shared" si="187"/>
        <v>294111,01</v>
      </c>
      <c r="B2954" s="60">
        <f>COUNTIF($J$7:J2954,J2954)</f>
        <v>294</v>
      </c>
      <c r="C2954" s="60" t="str">
        <f t="shared" si="188"/>
        <v>0</v>
      </c>
      <c r="D2954" s="60">
        <f>COUNTIF($K$7:K2954,K2954)</f>
        <v>0</v>
      </c>
      <c r="E2954" s="61"/>
      <c r="F2954" s="239">
        <v>44621.623865740738</v>
      </c>
      <c r="G2954" s="232"/>
      <c r="H2954" s="73" t="s">
        <v>1615</v>
      </c>
      <c r="I2954" s="243" t="s">
        <v>1627</v>
      </c>
      <c r="J2954" s="67">
        <v>111.01</v>
      </c>
      <c r="K2954" s="242"/>
      <c r="L2954" s="224"/>
      <c r="M2954" s="223">
        <v>2000000</v>
      </c>
      <c r="N2954" s="223"/>
      <c r="O2954" s="243"/>
      <c r="P2954" s="69" t="str">
        <f t="shared" si="189"/>
        <v>BNI IDR 768</v>
      </c>
      <c r="Q2954" s="61"/>
    </row>
    <row r="2955" spans="1:17" hidden="1" x14ac:dyDescent="0.25">
      <c r="A2955" s="60" t="str">
        <f t="shared" si="187"/>
        <v>295111,01</v>
      </c>
      <c r="B2955" s="60">
        <f>COUNTIF($J$7:J2955,J2955)</f>
        <v>295</v>
      </c>
      <c r="C2955" s="60" t="str">
        <f t="shared" si="188"/>
        <v>0</v>
      </c>
      <c r="D2955" s="60">
        <f>COUNTIF($K$7:K2955,K2955)</f>
        <v>0</v>
      </c>
      <c r="E2955" s="61"/>
      <c r="F2955" s="239">
        <v>44621.623888888891</v>
      </c>
      <c r="G2955" s="232"/>
      <c r="H2955" s="73" t="s">
        <v>1615</v>
      </c>
      <c r="I2955" s="243" t="s">
        <v>1628</v>
      </c>
      <c r="J2955" s="67">
        <v>111.01</v>
      </c>
      <c r="K2955" s="242"/>
      <c r="L2955" s="224"/>
      <c r="M2955" s="223">
        <v>2000000</v>
      </c>
      <c r="N2955" s="223"/>
      <c r="O2955" s="243"/>
      <c r="P2955" s="69" t="str">
        <f t="shared" si="189"/>
        <v>BNI IDR 768</v>
      </c>
      <c r="Q2955" s="61"/>
    </row>
    <row r="2956" spans="1:17" hidden="1" x14ac:dyDescent="0.25">
      <c r="A2956" s="60" t="str">
        <f t="shared" si="187"/>
        <v>296111,01</v>
      </c>
      <c r="B2956" s="60">
        <f>COUNTIF($J$7:J2956,J2956)</f>
        <v>296</v>
      </c>
      <c r="C2956" s="60" t="str">
        <f t="shared" si="188"/>
        <v>0</v>
      </c>
      <c r="D2956" s="60">
        <f>COUNTIF($K$7:K2956,K2956)</f>
        <v>0</v>
      </c>
      <c r="E2956" s="61"/>
      <c r="F2956" s="239">
        <v>44621.623888888891</v>
      </c>
      <c r="G2956" s="232"/>
      <c r="H2956" s="73" t="s">
        <v>1615</v>
      </c>
      <c r="I2956" s="243" t="s">
        <v>1629</v>
      </c>
      <c r="J2956" s="67">
        <v>111.01</v>
      </c>
      <c r="K2956" s="242"/>
      <c r="L2956" s="224"/>
      <c r="M2956" s="223">
        <v>300000</v>
      </c>
      <c r="N2956" s="223"/>
      <c r="O2956" s="243"/>
      <c r="P2956" s="69" t="str">
        <f t="shared" si="189"/>
        <v>BNI IDR 768</v>
      </c>
      <c r="Q2956" s="61"/>
    </row>
    <row r="2957" spans="1:17" hidden="1" x14ac:dyDescent="0.25">
      <c r="A2957" s="60" t="str">
        <f t="shared" si="187"/>
        <v>297111,01</v>
      </c>
      <c r="B2957" s="60">
        <f>COUNTIF($J$7:J2957,J2957)</f>
        <v>297</v>
      </c>
      <c r="C2957" s="60" t="str">
        <f t="shared" si="188"/>
        <v>0</v>
      </c>
      <c r="D2957" s="60">
        <f>COUNTIF($K$7:K2957,K2957)</f>
        <v>0</v>
      </c>
      <c r="E2957" s="61"/>
      <c r="F2957" s="239">
        <v>44622.399560185186</v>
      </c>
      <c r="G2957" s="232"/>
      <c r="H2957" s="73" t="s">
        <v>1615</v>
      </c>
      <c r="I2957" s="243" t="s">
        <v>1630</v>
      </c>
      <c r="J2957" s="67">
        <v>111.01</v>
      </c>
      <c r="K2957" s="242"/>
      <c r="L2957" s="224"/>
      <c r="M2957" s="223">
        <v>1000000</v>
      </c>
      <c r="N2957" s="223"/>
      <c r="O2957" s="243"/>
      <c r="P2957" s="69" t="str">
        <f t="shared" si="189"/>
        <v>BNI IDR 768</v>
      </c>
      <c r="Q2957" s="61"/>
    </row>
    <row r="2958" spans="1:17" hidden="1" x14ac:dyDescent="0.25">
      <c r="A2958" s="60" t="str">
        <f t="shared" si="187"/>
        <v>298111,01</v>
      </c>
      <c r="B2958" s="60">
        <f>COUNTIF($J$7:J2958,J2958)</f>
        <v>298</v>
      </c>
      <c r="C2958" s="60" t="str">
        <f t="shared" si="188"/>
        <v>0</v>
      </c>
      <c r="D2958" s="60">
        <f>COUNTIF($K$7:K2958,K2958)</f>
        <v>0</v>
      </c>
      <c r="E2958" s="61"/>
      <c r="F2958" s="239">
        <v>44622.470717592594</v>
      </c>
      <c r="G2958" s="232"/>
      <c r="H2958" s="73" t="s">
        <v>1615</v>
      </c>
      <c r="I2958" s="243" t="s">
        <v>323</v>
      </c>
      <c r="J2958" s="67">
        <v>111.01</v>
      </c>
      <c r="K2958" s="242"/>
      <c r="L2958" s="224">
        <v>10942486</v>
      </c>
      <c r="M2958" s="223"/>
      <c r="N2958" s="223"/>
      <c r="O2958" s="243"/>
      <c r="P2958" s="69" t="str">
        <f t="shared" si="189"/>
        <v>BNI IDR 768</v>
      </c>
      <c r="Q2958" s="61"/>
    </row>
    <row r="2959" spans="1:17" hidden="1" x14ac:dyDescent="0.25">
      <c r="A2959" s="60" t="str">
        <f t="shared" si="187"/>
        <v>299111,01</v>
      </c>
      <c r="B2959" s="60">
        <f>COUNTIF($J$7:J2959,J2959)</f>
        <v>299</v>
      </c>
      <c r="C2959" s="60" t="str">
        <f t="shared" si="188"/>
        <v>0</v>
      </c>
      <c r="D2959" s="60">
        <f>COUNTIF($K$7:K2959,K2959)</f>
        <v>0</v>
      </c>
      <c r="E2959" s="61"/>
      <c r="F2959" s="239">
        <v>44622.523599537039</v>
      </c>
      <c r="G2959" s="232"/>
      <c r="H2959" s="73" t="s">
        <v>1615</v>
      </c>
      <c r="I2959" s="243" t="s">
        <v>381</v>
      </c>
      <c r="J2959" s="67">
        <v>111.01</v>
      </c>
      <c r="K2959" s="242"/>
      <c r="L2959" s="224">
        <v>33547461</v>
      </c>
      <c r="M2959" s="223"/>
      <c r="N2959" s="223"/>
      <c r="O2959" s="243"/>
      <c r="P2959" s="69" t="str">
        <f t="shared" si="189"/>
        <v>BNI IDR 768</v>
      </c>
      <c r="Q2959" s="61"/>
    </row>
    <row r="2960" spans="1:17" hidden="1" x14ac:dyDescent="0.25">
      <c r="A2960" s="60" t="str">
        <f t="shared" si="187"/>
        <v>300111,01</v>
      </c>
      <c r="B2960" s="60">
        <f>COUNTIF($J$7:J2960,J2960)</f>
        <v>300</v>
      </c>
      <c r="C2960" s="60" t="str">
        <f t="shared" si="188"/>
        <v>0</v>
      </c>
      <c r="D2960" s="60">
        <f>COUNTIF($K$7:K2960,K2960)</f>
        <v>0</v>
      </c>
      <c r="E2960" s="61"/>
      <c r="F2960" s="239">
        <v>44622.742314814815</v>
      </c>
      <c r="G2960" s="232"/>
      <c r="H2960" s="73" t="s">
        <v>1615</v>
      </c>
      <c r="I2960" s="243" t="s">
        <v>1631</v>
      </c>
      <c r="J2960" s="67">
        <v>111.01</v>
      </c>
      <c r="K2960" s="242"/>
      <c r="L2960" s="224">
        <v>7257467</v>
      </c>
      <c r="M2960" s="223"/>
      <c r="N2960" s="223"/>
      <c r="O2960" s="243"/>
      <c r="P2960" s="69" t="str">
        <f t="shared" si="189"/>
        <v>BNI IDR 768</v>
      </c>
      <c r="Q2960" s="61"/>
    </row>
    <row r="2961" spans="1:17" hidden="1" x14ac:dyDescent="0.25">
      <c r="A2961" s="60" t="str">
        <f t="shared" si="187"/>
        <v>621112</v>
      </c>
      <c r="B2961" s="60">
        <f>COUNTIF($J$7:J2961,J2961)</f>
        <v>621</v>
      </c>
      <c r="C2961" s="60" t="str">
        <f t="shared" si="188"/>
        <v>90112,4</v>
      </c>
      <c r="D2961" s="60">
        <f>COUNTIF($K$7:K2961,K2961)</f>
        <v>90</v>
      </c>
      <c r="E2961" s="61"/>
      <c r="F2961" s="239">
        <v>44622.470717592594</v>
      </c>
      <c r="G2961" s="164" t="s">
        <v>149</v>
      </c>
      <c r="H2961" s="73" t="s">
        <v>1615</v>
      </c>
      <c r="I2961" s="243" t="s">
        <v>323</v>
      </c>
      <c r="J2961" s="265">
        <v>112</v>
      </c>
      <c r="K2961" s="80">
        <v>112.4</v>
      </c>
      <c r="L2961" s="224"/>
      <c r="M2961" s="223">
        <v>10942486</v>
      </c>
      <c r="N2961" s="223"/>
      <c r="O2961" s="243"/>
      <c r="P2961" s="69" t="str">
        <f t="shared" si="189"/>
        <v>Piutang Usaha</v>
      </c>
      <c r="Q2961" s="61"/>
    </row>
    <row r="2962" spans="1:17" hidden="1" x14ac:dyDescent="0.25">
      <c r="A2962" s="60" t="str">
        <f t="shared" si="187"/>
        <v>622112</v>
      </c>
      <c r="B2962" s="60">
        <f>COUNTIF($J$7:J2962,J2962)</f>
        <v>622</v>
      </c>
      <c r="C2962" s="60" t="str">
        <f t="shared" si="188"/>
        <v>38112,45</v>
      </c>
      <c r="D2962" s="60">
        <f>COUNTIF($K$7:K2962,K2962)</f>
        <v>38</v>
      </c>
      <c r="E2962" s="61"/>
      <c r="F2962" s="239">
        <v>44622.523599537039</v>
      </c>
      <c r="G2962" s="164" t="s">
        <v>149</v>
      </c>
      <c r="H2962" s="73" t="s">
        <v>1615</v>
      </c>
      <c r="I2962" s="243" t="s">
        <v>381</v>
      </c>
      <c r="J2962" s="265">
        <v>112</v>
      </c>
      <c r="K2962" s="80">
        <v>112.45</v>
      </c>
      <c r="L2962" s="224"/>
      <c r="M2962" s="223">
        <v>33547461</v>
      </c>
      <c r="N2962" s="223"/>
      <c r="O2962" s="243"/>
      <c r="P2962" s="69" t="str">
        <f t="shared" si="189"/>
        <v>Piutang Usaha</v>
      </c>
      <c r="Q2962" s="61"/>
    </row>
    <row r="2963" spans="1:17" hidden="1" x14ac:dyDescent="0.25">
      <c r="A2963" s="60" t="str">
        <f t="shared" si="187"/>
        <v>623112</v>
      </c>
      <c r="B2963" s="60">
        <f>COUNTIF($J$7:J2963,J2963)</f>
        <v>623</v>
      </c>
      <c r="C2963" s="60" t="str">
        <f t="shared" si="188"/>
        <v>39112,45</v>
      </c>
      <c r="D2963" s="60">
        <f>COUNTIF($K$7:K2963,K2963)</f>
        <v>39</v>
      </c>
      <c r="E2963" s="61"/>
      <c r="F2963" s="239">
        <v>44622.742314814815</v>
      </c>
      <c r="G2963" s="164" t="s">
        <v>149</v>
      </c>
      <c r="H2963" s="73" t="s">
        <v>1615</v>
      </c>
      <c r="I2963" s="243" t="s">
        <v>1631</v>
      </c>
      <c r="J2963" s="265">
        <v>112</v>
      </c>
      <c r="K2963" s="80">
        <v>112.45</v>
      </c>
      <c r="L2963" s="224"/>
      <c r="M2963" s="223">
        <v>7257467</v>
      </c>
      <c r="N2963" s="223"/>
      <c r="O2963" s="243"/>
      <c r="P2963" s="69" t="str">
        <f t="shared" si="189"/>
        <v>Piutang Usaha</v>
      </c>
      <c r="Q2963" s="61"/>
    </row>
    <row r="2964" spans="1:17" hidden="1" x14ac:dyDescent="0.25">
      <c r="A2964" s="60" t="str">
        <f t="shared" si="187"/>
        <v>1610,08</v>
      </c>
      <c r="B2964" s="60">
        <f>COUNTIF($J$7:J2964,J2964)</f>
        <v>1</v>
      </c>
      <c r="C2964" s="60" t="str">
        <f t="shared" si="188"/>
        <v>0</v>
      </c>
      <c r="D2964" s="60">
        <f>COUNTIF($K$7:K2964,K2964)</f>
        <v>0</v>
      </c>
      <c r="E2964" s="61"/>
      <c r="F2964" s="239">
        <v>44622.742314814815</v>
      </c>
      <c r="G2964" s="232"/>
      <c r="H2964" s="73" t="s">
        <v>1615</v>
      </c>
      <c r="I2964" s="243" t="s">
        <v>1632</v>
      </c>
      <c r="J2964" s="221">
        <v>610.08000000000004</v>
      </c>
      <c r="K2964" s="242"/>
      <c r="L2964" s="224">
        <v>125000</v>
      </c>
      <c r="M2964" s="223"/>
      <c r="N2964" s="223"/>
      <c r="O2964" s="243"/>
      <c r="P2964" s="69" t="str">
        <f t="shared" si="189"/>
        <v>Biaya Cetakan dan Fotocopy</v>
      </c>
      <c r="Q2964" s="61"/>
    </row>
    <row r="2965" spans="1:17" hidden="1" x14ac:dyDescent="0.25">
      <c r="A2965" s="60" t="str">
        <f t="shared" si="187"/>
        <v>5610,03</v>
      </c>
      <c r="B2965" s="60">
        <f>COUNTIF($J$7:J2965,J2965)</f>
        <v>5</v>
      </c>
      <c r="C2965" s="60" t="str">
        <f t="shared" si="188"/>
        <v>0</v>
      </c>
      <c r="D2965" s="60">
        <f>COUNTIF($K$7:K2965,K2965)</f>
        <v>0</v>
      </c>
      <c r="E2965" s="61"/>
      <c r="F2965" s="239">
        <v>44622.742314814815</v>
      </c>
      <c r="G2965" s="232"/>
      <c r="H2965" s="73" t="s">
        <v>1615</v>
      </c>
      <c r="I2965" s="243" t="s">
        <v>1633</v>
      </c>
      <c r="J2965" s="221">
        <v>610.03</v>
      </c>
      <c r="K2965" s="242"/>
      <c r="L2965" s="224">
        <v>1785519</v>
      </c>
      <c r="M2965" s="223"/>
      <c r="N2965" s="223"/>
      <c r="O2965" s="243"/>
      <c r="P2965" s="69" t="str">
        <f t="shared" si="189"/>
        <v>Biaya BPJS Kesehatan Dan Ketenagakerjaan</v>
      </c>
      <c r="Q2965" s="61"/>
    </row>
    <row r="2966" spans="1:17" hidden="1" x14ac:dyDescent="0.25">
      <c r="A2966" s="60" t="str">
        <f t="shared" si="187"/>
        <v>21211,04</v>
      </c>
      <c r="B2966" s="60">
        <f>COUNTIF($J$7:J2966,J2966)</f>
        <v>21</v>
      </c>
      <c r="C2966" s="60" t="str">
        <f t="shared" si="188"/>
        <v>0</v>
      </c>
      <c r="D2966" s="60">
        <f>COUNTIF($K$7:K2966,K2966)</f>
        <v>0</v>
      </c>
      <c r="E2966" s="61"/>
      <c r="F2966" s="239">
        <v>44622.742314814815</v>
      </c>
      <c r="G2966" s="232"/>
      <c r="H2966" s="73" t="s">
        <v>1615</v>
      </c>
      <c r="I2966" s="243" t="s">
        <v>1634</v>
      </c>
      <c r="J2966" s="67">
        <v>211.04</v>
      </c>
      <c r="K2966" s="242"/>
      <c r="L2966" s="222">
        <v>408000</v>
      </c>
      <c r="M2966" s="223"/>
      <c r="N2966" s="223"/>
      <c r="O2966" s="243"/>
      <c r="P2966" s="69" t="str">
        <f t="shared" si="189"/>
        <v>Hutang PPh 23</v>
      </c>
      <c r="Q2966" s="61"/>
    </row>
    <row r="2967" spans="1:17" hidden="1" x14ac:dyDescent="0.25">
      <c r="A2967" s="60" t="str">
        <f t="shared" si="187"/>
        <v>76220,03</v>
      </c>
      <c r="B2967" s="60">
        <f>COUNTIF($J$7:J2967,J2967)</f>
        <v>76</v>
      </c>
      <c r="C2967" s="60" t="str">
        <f t="shared" si="188"/>
        <v>0</v>
      </c>
      <c r="D2967" s="60">
        <f>COUNTIF($K$7:K2967,K2967)</f>
        <v>0</v>
      </c>
      <c r="E2967" s="61"/>
      <c r="F2967" s="239">
        <v>44622</v>
      </c>
      <c r="G2967" s="232"/>
      <c r="H2967" s="73" t="s">
        <v>1615</v>
      </c>
      <c r="I2967" s="243" t="s">
        <v>1635</v>
      </c>
      <c r="J2967" s="67">
        <v>220.03</v>
      </c>
      <c r="K2967" s="242"/>
      <c r="L2967" s="224">
        <v>633750</v>
      </c>
      <c r="M2967" s="223"/>
      <c r="N2967" s="223"/>
      <c r="O2967" s="243"/>
      <c r="P2967" s="69" t="str">
        <f t="shared" si="189"/>
        <v>Hutang BIaya</v>
      </c>
      <c r="Q2967" s="61"/>
    </row>
    <row r="2968" spans="1:17" hidden="1" x14ac:dyDescent="0.25">
      <c r="A2968" s="60" t="str">
        <f t="shared" si="187"/>
        <v>72810,01</v>
      </c>
      <c r="B2968" s="60">
        <f>COUNTIF($J$7:J2968,J2968)</f>
        <v>72</v>
      </c>
      <c r="C2968" s="60" t="str">
        <f t="shared" si="188"/>
        <v>0</v>
      </c>
      <c r="D2968" s="60">
        <f>COUNTIF($K$7:K2968,K2968)</f>
        <v>0</v>
      </c>
      <c r="E2968" s="61"/>
      <c r="F2968" s="239">
        <v>44622.742314814815</v>
      </c>
      <c r="G2968" s="232"/>
      <c r="H2968" s="73" t="s">
        <v>1615</v>
      </c>
      <c r="I2968" s="243" t="s">
        <v>282</v>
      </c>
      <c r="J2968" s="67">
        <v>810.01</v>
      </c>
      <c r="K2968" s="242"/>
      <c r="L2968" s="224">
        <v>6500</v>
      </c>
      <c r="M2968" s="223"/>
      <c r="N2968" s="223"/>
      <c r="O2968" s="243"/>
      <c r="P2968" s="69" t="str">
        <f t="shared" si="189"/>
        <v>Biaya Admin Transfer dan Rek</v>
      </c>
      <c r="Q2968" s="61"/>
    </row>
    <row r="2969" spans="1:17" hidden="1" x14ac:dyDescent="0.25">
      <c r="A2969" s="60" t="str">
        <f t="shared" si="187"/>
        <v>2115</v>
      </c>
      <c r="B2969" s="60">
        <f>COUNTIF($J$7:J2969,J2969)</f>
        <v>2</v>
      </c>
      <c r="C2969" s="60" t="str">
        <f t="shared" si="188"/>
        <v>0</v>
      </c>
      <c r="D2969" s="60">
        <f>COUNTIF($K$7:K2969,K2969)</f>
        <v>0</v>
      </c>
      <c r="E2969" s="61"/>
      <c r="F2969" s="239">
        <v>44622</v>
      </c>
      <c r="G2969" s="232"/>
      <c r="H2969" s="73" t="s">
        <v>1615</v>
      </c>
      <c r="I2969" s="243" t="s">
        <v>1636</v>
      </c>
      <c r="J2969" s="67">
        <v>115</v>
      </c>
      <c r="K2969" s="242"/>
      <c r="L2969" s="224">
        <v>6500000</v>
      </c>
      <c r="M2969" s="223"/>
      <c r="N2969" s="223"/>
      <c r="O2969" s="243"/>
      <c r="P2969" s="69" t="str">
        <f t="shared" si="189"/>
        <v>Piutang Pihak ke 3 - PT Proteksi</v>
      </c>
      <c r="Q2969" s="61"/>
    </row>
    <row r="2970" spans="1:17" hidden="1" x14ac:dyDescent="0.25">
      <c r="A2970" s="60" t="str">
        <f t="shared" si="187"/>
        <v>73810,01</v>
      </c>
      <c r="B2970" s="60">
        <f>COUNTIF($J$7:J2970,J2970)</f>
        <v>73</v>
      </c>
      <c r="C2970" s="60" t="str">
        <f t="shared" si="188"/>
        <v>0</v>
      </c>
      <c r="D2970" s="60">
        <f>COUNTIF($K$7:K2970,K2970)</f>
        <v>0</v>
      </c>
      <c r="E2970" s="61"/>
      <c r="F2970" s="239">
        <v>44622.742326388892</v>
      </c>
      <c r="G2970" s="232"/>
      <c r="H2970" s="73" t="s">
        <v>1615</v>
      </c>
      <c r="I2970" s="243" t="s">
        <v>282</v>
      </c>
      <c r="J2970" s="67">
        <v>810.01</v>
      </c>
      <c r="K2970" s="242"/>
      <c r="L2970" s="224">
        <v>6500</v>
      </c>
      <c r="M2970" s="223"/>
      <c r="N2970" s="223"/>
      <c r="O2970" s="243"/>
      <c r="P2970" s="69" t="str">
        <f t="shared" si="189"/>
        <v>Biaya Admin Transfer dan Rek</v>
      </c>
      <c r="Q2970" s="61"/>
    </row>
    <row r="2971" spans="1:17" hidden="1" x14ac:dyDescent="0.25">
      <c r="A2971" s="60" t="str">
        <f t="shared" si="187"/>
        <v>6610,03</v>
      </c>
      <c r="B2971" s="60">
        <f>COUNTIF($J$7:J2971,J2971)</f>
        <v>6</v>
      </c>
      <c r="C2971" s="60" t="str">
        <f t="shared" si="188"/>
        <v>0</v>
      </c>
      <c r="D2971" s="60">
        <f>COUNTIF($K$7:K2971,K2971)</f>
        <v>0</v>
      </c>
      <c r="E2971" s="61"/>
      <c r="F2971" s="239">
        <v>44622.742326388892</v>
      </c>
      <c r="G2971" s="232"/>
      <c r="H2971" s="73" t="s">
        <v>1615</v>
      </c>
      <c r="I2971" s="243" t="s">
        <v>1637</v>
      </c>
      <c r="J2971" s="221">
        <v>610.03</v>
      </c>
      <c r="K2971" s="242"/>
      <c r="L2971" s="224">
        <v>2674435</v>
      </c>
      <c r="M2971" s="223"/>
      <c r="N2971" s="223"/>
      <c r="O2971" s="243"/>
      <c r="P2971" s="69" t="str">
        <f t="shared" si="189"/>
        <v>Biaya BPJS Kesehatan Dan Ketenagakerjaan</v>
      </c>
      <c r="Q2971" s="61"/>
    </row>
    <row r="2972" spans="1:17" hidden="1" x14ac:dyDescent="0.25">
      <c r="A2972" s="60" t="str">
        <f t="shared" si="187"/>
        <v>22211,02</v>
      </c>
      <c r="B2972" s="60">
        <f>COUNTIF($J$7:J2972,J2972)</f>
        <v>22</v>
      </c>
      <c r="C2972" s="60" t="str">
        <f t="shared" si="188"/>
        <v>0</v>
      </c>
      <c r="D2972" s="60">
        <f>COUNTIF($K$7:K2972,K2972)</f>
        <v>0</v>
      </c>
      <c r="E2972" s="61"/>
      <c r="F2972" s="239">
        <v>44622.742326388892</v>
      </c>
      <c r="G2972" s="232"/>
      <c r="H2972" s="73" t="s">
        <v>1615</v>
      </c>
      <c r="I2972" s="243" t="s">
        <v>1638</v>
      </c>
      <c r="J2972" s="67">
        <v>211.02</v>
      </c>
      <c r="K2972" s="242"/>
      <c r="L2972" s="224">
        <v>269850</v>
      </c>
      <c r="M2972" s="223"/>
      <c r="N2972" s="223"/>
      <c r="O2972" s="243"/>
      <c r="P2972" s="69" t="str">
        <f t="shared" si="189"/>
        <v>Hutang PPh 21</v>
      </c>
      <c r="Q2972" s="61"/>
    </row>
    <row r="2973" spans="1:17" hidden="1" x14ac:dyDescent="0.25">
      <c r="A2973" s="60" t="str">
        <f t="shared" si="187"/>
        <v>6211,05</v>
      </c>
      <c r="B2973" s="60">
        <f>COUNTIF($J$7:J2973,J2973)</f>
        <v>6</v>
      </c>
      <c r="C2973" s="60" t="str">
        <f t="shared" si="188"/>
        <v>0</v>
      </c>
      <c r="D2973" s="60">
        <f>COUNTIF($K$7:K2973,K2973)</f>
        <v>0</v>
      </c>
      <c r="E2973" s="61"/>
      <c r="F2973" s="239">
        <v>44622.742337962962</v>
      </c>
      <c r="G2973" s="232"/>
      <c r="H2973" s="73" t="s">
        <v>1615</v>
      </c>
      <c r="I2973" s="243" t="s">
        <v>1639</v>
      </c>
      <c r="J2973" s="67">
        <v>211.05</v>
      </c>
      <c r="K2973" s="242"/>
      <c r="L2973" s="224">
        <v>18433780</v>
      </c>
      <c r="M2973" s="223"/>
      <c r="N2973" s="223"/>
      <c r="O2973" s="243"/>
      <c r="P2973" s="69" t="str">
        <f t="shared" si="189"/>
        <v>Hutang PPh 25</v>
      </c>
      <c r="Q2973" s="61"/>
    </row>
    <row r="2974" spans="1:17" hidden="1" x14ac:dyDescent="0.25">
      <c r="A2974" s="60" t="str">
        <f t="shared" si="187"/>
        <v>9610,06</v>
      </c>
      <c r="B2974" s="60">
        <f>COUNTIF($J$7:J2974,J2974)</f>
        <v>9</v>
      </c>
      <c r="C2974" s="60" t="str">
        <f t="shared" si="188"/>
        <v>0</v>
      </c>
      <c r="D2974" s="60">
        <f>COUNTIF($K$7:K2974,K2974)</f>
        <v>0</v>
      </c>
      <c r="E2974" s="61"/>
      <c r="F2974" s="239">
        <v>44622.742337962962</v>
      </c>
      <c r="G2974" s="232"/>
      <c r="H2974" s="73" t="s">
        <v>1615</v>
      </c>
      <c r="I2974" s="243" t="s">
        <v>1059</v>
      </c>
      <c r="J2974" s="221">
        <v>610.05999999999995</v>
      </c>
      <c r="K2974" s="242"/>
      <c r="L2974" s="224">
        <v>440000</v>
      </c>
      <c r="M2974" s="223"/>
      <c r="N2974" s="223"/>
      <c r="O2974" s="243"/>
      <c r="P2974" s="69" t="str">
        <f t="shared" si="189"/>
        <v>Biaya Telp, Pulsa  &amp; Internet</v>
      </c>
      <c r="Q2974" s="61"/>
    </row>
    <row r="2975" spans="1:17" hidden="1" x14ac:dyDescent="0.25">
      <c r="A2975" s="60" t="str">
        <f t="shared" si="187"/>
        <v>74810,01</v>
      </c>
      <c r="B2975" s="60">
        <f>COUNTIF($J$7:J2975,J2975)</f>
        <v>74</v>
      </c>
      <c r="C2975" s="60" t="str">
        <f t="shared" si="188"/>
        <v>0</v>
      </c>
      <c r="D2975" s="60">
        <f>COUNTIF($K$7:K2975,K2975)</f>
        <v>0</v>
      </c>
      <c r="E2975" s="61"/>
      <c r="F2975" s="239">
        <v>44622.743993055556</v>
      </c>
      <c r="G2975" s="232"/>
      <c r="H2975" s="73" t="s">
        <v>1615</v>
      </c>
      <c r="I2975" s="243" t="s">
        <v>1640</v>
      </c>
      <c r="J2975" s="67">
        <v>810.01</v>
      </c>
      <c r="K2975" s="242"/>
      <c r="L2975" s="224">
        <v>2500</v>
      </c>
      <c r="M2975" s="223"/>
      <c r="N2975" s="223"/>
      <c r="O2975" s="243"/>
      <c r="P2975" s="69" t="str">
        <f t="shared" si="189"/>
        <v>Biaya Admin Transfer dan Rek</v>
      </c>
      <c r="Q2975" s="61"/>
    </row>
    <row r="2976" spans="1:17" hidden="1" x14ac:dyDescent="0.25">
      <c r="A2976" s="60" t="str">
        <f t="shared" si="187"/>
        <v>10610,06</v>
      </c>
      <c r="B2976" s="60">
        <f>COUNTIF($J$7:J2976,J2976)</f>
        <v>10</v>
      </c>
      <c r="C2976" s="60" t="str">
        <f t="shared" si="188"/>
        <v>0</v>
      </c>
      <c r="D2976" s="60">
        <f>COUNTIF($K$7:K2976,K2976)</f>
        <v>0</v>
      </c>
      <c r="E2976" s="61"/>
      <c r="F2976" s="239">
        <v>44622.743993055556</v>
      </c>
      <c r="G2976" s="232"/>
      <c r="H2976" s="73" t="s">
        <v>1615</v>
      </c>
      <c r="I2976" s="243" t="s">
        <v>1058</v>
      </c>
      <c r="J2976" s="221">
        <v>610.05999999999995</v>
      </c>
      <c r="K2976" s="242"/>
      <c r="L2976" s="224">
        <v>493740</v>
      </c>
      <c r="M2976" s="223"/>
      <c r="N2976" s="223"/>
      <c r="O2976" s="243"/>
      <c r="P2976" s="69" t="str">
        <f t="shared" si="189"/>
        <v>Biaya Telp, Pulsa  &amp; Internet</v>
      </c>
      <c r="Q2976" s="61"/>
    </row>
    <row r="2977" spans="1:17" hidden="1" x14ac:dyDescent="0.25">
      <c r="A2977" s="60" t="str">
        <f t="shared" si="187"/>
        <v>11610,06</v>
      </c>
      <c r="B2977" s="60">
        <f>COUNTIF($J$7:J2977,J2977)</f>
        <v>11</v>
      </c>
      <c r="C2977" s="60" t="str">
        <f t="shared" si="188"/>
        <v>0</v>
      </c>
      <c r="D2977" s="60">
        <f>COUNTIF($K$7:K2977,K2977)</f>
        <v>0</v>
      </c>
      <c r="E2977" s="61"/>
      <c r="F2977" s="239">
        <v>44622.743993055556</v>
      </c>
      <c r="G2977" s="232"/>
      <c r="H2977" s="73" t="s">
        <v>1615</v>
      </c>
      <c r="I2977" s="243" t="s">
        <v>1641</v>
      </c>
      <c r="J2977" s="221">
        <v>610.05999999999995</v>
      </c>
      <c r="K2977" s="242"/>
      <c r="L2977" s="224">
        <v>519523</v>
      </c>
      <c r="M2977" s="223"/>
      <c r="N2977" s="223"/>
      <c r="O2977" s="243"/>
      <c r="P2977" s="69" t="str">
        <f t="shared" si="189"/>
        <v>Biaya Telp, Pulsa  &amp; Internet</v>
      </c>
      <c r="Q2977" s="61"/>
    </row>
    <row r="2978" spans="1:17" hidden="1" x14ac:dyDescent="0.25">
      <c r="A2978" s="60" t="str">
        <f t="shared" si="187"/>
        <v>75810,01</v>
      </c>
      <c r="B2978" s="60">
        <f>COUNTIF($J$7:J2978,J2978)</f>
        <v>75</v>
      </c>
      <c r="C2978" s="60" t="str">
        <f t="shared" si="188"/>
        <v>0</v>
      </c>
      <c r="D2978" s="60">
        <f>COUNTIF($K$7:K2978,K2978)</f>
        <v>0</v>
      </c>
      <c r="E2978" s="61"/>
      <c r="F2978" s="239">
        <v>44622.744016203702</v>
      </c>
      <c r="G2978" s="232"/>
      <c r="H2978" s="73" t="s">
        <v>1615</v>
      </c>
      <c r="I2978" s="243" t="s">
        <v>1642</v>
      </c>
      <c r="J2978" s="221">
        <v>810.01</v>
      </c>
      <c r="K2978" s="242"/>
      <c r="L2978" s="224">
        <v>2500</v>
      </c>
      <c r="M2978" s="223"/>
      <c r="N2978" s="223"/>
      <c r="O2978" s="243"/>
      <c r="P2978" s="69" t="str">
        <f t="shared" si="189"/>
        <v>Biaya Admin Transfer dan Rek</v>
      </c>
      <c r="Q2978" s="61"/>
    </row>
    <row r="2979" spans="1:17" hidden="1" x14ac:dyDescent="0.25">
      <c r="A2979" s="60" t="str">
        <f t="shared" si="187"/>
        <v>12610,06</v>
      </c>
      <c r="B2979" s="60">
        <f>COUNTIF($J$7:J2979,J2979)</f>
        <v>12</v>
      </c>
      <c r="C2979" s="60" t="str">
        <f t="shared" si="188"/>
        <v>0</v>
      </c>
      <c r="D2979" s="60">
        <f>COUNTIF($K$7:K2979,K2979)</f>
        <v>0</v>
      </c>
      <c r="E2979" s="61"/>
      <c r="F2979" s="239">
        <v>44622.744016203702</v>
      </c>
      <c r="G2979" s="232"/>
      <c r="H2979" s="73" t="s">
        <v>1615</v>
      </c>
      <c r="I2979" s="243" t="s">
        <v>1053</v>
      </c>
      <c r="J2979" s="221">
        <v>610.05999999999995</v>
      </c>
      <c r="K2979" s="242"/>
      <c r="L2979" s="224">
        <v>432298</v>
      </c>
      <c r="M2979" s="223"/>
      <c r="N2979" s="223"/>
      <c r="O2979" s="243"/>
      <c r="P2979" s="69" t="str">
        <f t="shared" si="189"/>
        <v>Biaya Telp, Pulsa  &amp; Internet</v>
      </c>
      <c r="Q2979" s="61"/>
    </row>
    <row r="2980" spans="1:17" hidden="1" x14ac:dyDescent="0.25">
      <c r="A2980" s="60" t="str">
        <f t="shared" si="187"/>
        <v>76810,01</v>
      </c>
      <c r="B2980" s="60">
        <f>COUNTIF($J$7:J2980,J2980)</f>
        <v>76</v>
      </c>
      <c r="C2980" s="60" t="str">
        <f t="shared" si="188"/>
        <v>0</v>
      </c>
      <c r="D2980" s="60">
        <f>COUNTIF($K$7:K2980,K2980)</f>
        <v>0</v>
      </c>
      <c r="E2980" s="61"/>
      <c r="F2980" s="239">
        <v>44624.488298611112</v>
      </c>
      <c r="G2980" s="232"/>
      <c r="H2980" s="73" t="s">
        <v>1615</v>
      </c>
      <c r="I2980" s="243" t="s">
        <v>1643</v>
      </c>
      <c r="J2980" s="221">
        <v>810.01</v>
      </c>
      <c r="K2980" s="242"/>
      <c r="L2980" s="224">
        <v>2500</v>
      </c>
      <c r="M2980" s="223"/>
      <c r="N2980" s="223"/>
      <c r="O2980" s="243"/>
      <c r="P2980" s="69" t="str">
        <f t="shared" si="189"/>
        <v>Biaya Admin Transfer dan Rek</v>
      </c>
      <c r="Q2980" s="61"/>
    </row>
    <row r="2981" spans="1:17" hidden="1" x14ac:dyDescent="0.25">
      <c r="A2981" s="60" t="str">
        <f t="shared" si="187"/>
        <v>23211,02</v>
      </c>
      <c r="B2981" s="60">
        <f>COUNTIF($J$7:J2981,J2981)</f>
        <v>23</v>
      </c>
      <c r="C2981" s="60" t="str">
        <f t="shared" si="188"/>
        <v>0</v>
      </c>
      <c r="D2981" s="60">
        <f>COUNTIF($K$7:K2981,K2981)</f>
        <v>0</v>
      </c>
      <c r="E2981" s="61"/>
      <c r="F2981" s="239">
        <v>44624.488298611112</v>
      </c>
      <c r="G2981" s="232"/>
      <c r="H2981" s="73" t="s">
        <v>1615</v>
      </c>
      <c r="I2981" s="243" t="s">
        <v>1644</v>
      </c>
      <c r="J2981" s="67">
        <v>211.02</v>
      </c>
      <c r="K2981" s="242"/>
      <c r="L2981" s="224">
        <v>1486155</v>
      </c>
      <c r="M2981" s="223"/>
      <c r="N2981" s="223"/>
      <c r="O2981" s="243"/>
      <c r="P2981" s="69" t="str">
        <f t="shared" si="189"/>
        <v>Hutang PPh 21</v>
      </c>
      <c r="Q2981" s="61"/>
    </row>
    <row r="2982" spans="1:17" hidden="1" x14ac:dyDescent="0.25">
      <c r="A2982" s="60" t="str">
        <f t="shared" si="187"/>
        <v>77220,03</v>
      </c>
      <c r="B2982" s="60">
        <f>COUNTIF($J$7:J2982,J2982)</f>
        <v>77</v>
      </c>
      <c r="C2982" s="60" t="str">
        <f t="shared" si="188"/>
        <v>0</v>
      </c>
      <c r="D2982" s="60">
        <f>COUNTIF($K$7:K2982,K2982)</f>
        <v>0</v>
      </c>
      <c r="E2982" s="61"/>
      <c r="F2982" s="239">
        <v>44624</v>
      </c>
      <c r="G2982" s="232"/>
      <c r="H2982" s="73" t="s">
        <v>1615</v>
      </c>
      <c r="I2982" s="243" t="s">
        <v>948</v>
      </c>
      <c r="J2982" s="67">
        <v>220.03</v>
      </c>
      <c r="K2982" s="242"/>
      <c r="L2982" s="224">
        <v>633750</v>
      </c>
      <c r="M2982" s="223"/>
      <c r="N2982" s="223"/>
      <c r="O2982" s="243"/>
      <c r="P2982" s="69" t="str">
        <f t="shared" si="189"/>
        <v>Hutang BIaya</v>
      </c>
      <c r="Q2982" s="61"/>
    </row>
    <row r="2983" spans="1:17" hidden="1" x14ac:dyDescent="0.25">
      <c r="A2983" s="60" t="str">
        <f t="shared" si="187"/>
        <v>77810,01</v>
      </c>
      <c r="B2983" s="60">
        <f>COUNTIF($J$7:J2983,J2983)</f>
        <v>77</v>
      </c>
      <c r="C2983" s="60" t="str">
        <f t="shared" si="188"/>
        <v>0</v>
      </c>
      <c r="D2983" s="60">
        <f>COUNTIF($K$7:K2983,K2983)</f>
        <v>0</v>
      </c>
      <c r="E2983" s="61"/>
      <c r="F2983" s="239">
        <v>44624.52542824074</v>
      </c>
      <c r="G2983" s="232"/>
      <c r="H2983" s="73" t="s">
        <v>1615</v>
      </c>
      <c r="I2983" s="243" t="s">
        <v>282</v>
      </c>
      <c r="J2983" s="221">
        <v>810.01</v>
      </c>
      <c r="K2983" s="242"/>
      <c r="L2983" s="224">
        <v>6500</v>
      </c>
      <c r="M2983" s="223"/>
      <c r="N2983" s="223"/>
      <c r="O2983" s="243"/>
      <c r="P2983" s="69" t="str">
        <f t="shared" si="189"/>
        <v>Biaya Admin Transfer dan Rek</v>
      </c>
      <c r="Q2983" s="61"/>
    </row>
    <row r="2984" spans="1:17" hidden="1" x14ac:dyDescent="0.25">
      <c r="A2984" s="60" t="str">
        <f t="shared" si="187"/>
        <v>301111,01</v>
      </c>
      <c r="B2984" s="60">
        <f>COUNTIF($J$7:J2984,J2984)</f>
        <v>301</v>
      </c>
      <c r="C2984" s="60" t="str">
        <f t="shared" si="188"/>
        <v>0</v>
      </c>
      <c r="D2984" s="60">
        <f>COUNTIF($K$7:K2984,K2984)</f>
        <v>0</v>
      </c>
      <c r="E2984" s="61"/>
      <c r="F2984" s="239">
        <v>44622.742314814815</v>
      </c>
      <c r="G2984" s="232"/>
      <c r="H2984" s="73" t="s">
        <v>1615</v>
      </c>
      <c r="I2984" s="243" t="s">
        <v>1645</v>
      </c>
      <c r="J2984" s="67">
        <v>111.01</v>
      </c>
      <c r="K2984" s="242"/>
      <c r="L2984" s="224"/>
      <c r="M2984" s="223">
        <v>125000</v>
      </c>
      <c r="N2984" s="223"/>
      <c r="O2984" s="243"/>
      <c r="P2984" s="69" t="str">
        <f t="shared" si="189"/>
        <v>BNI IDR 768</v>
      </c>
      <c r="Q2984" s="61"/>
    </row>
    <row r="2985" spans="1:17" hidden="1" x14ac:dyDescent="0.25">
      <c r="A2985" s="60" t="str">
        <f t="shared" si="187"/>
        <v>302111,01</v>
      </c>
      <c r="B2985" s="60">
        <f>COUNTIF($J$7:J2985,J2985)</f>
        <v>302</v>
      </c>
      <c r="C2985" s="60" t="str">
        <f t="shared" si="188"/>
        <v>0</v>
      </c>
      <c r="D2985" s="60">
        <f>COUNTIF($K$7:K2985,K2985)</f>
        <v>0</v>
      </c>
      <c r="E2985" s="61"/>
      <c r="F2985" s="239">
        <v>44622.742314814815</v>
      </c>
      <c r="G2985" s="232"/>
      <c r="H2985" s="73" t="s">
        <v>1615</v>
      </c>
      <c r="I2985" s="243" t="s">
        <v>1633</v>
      </c>
      <c r="J2985" s="67">
        <v>111.01</v>
      </c>
      <c r="K2985" s="242"/>
      <c r="L2985" s="224"/>
      <c r="M2985" s="223">
        <v>1785519</v>
      </c>
      <c r="N2985" s="223"/>
      <c r="O2985" s="243"/>
      <c r="P2985" s="69" t="str">
        <f t="shared" si="189"/>
        <v>BNI IDR 768</v>
      </c>
      <c r="Q2985" s="61"/>
    </row>
    <row r="2986" spans="1:17" hidden="1" x14ac:dyDescent="0.25">
      <c r="A2986" s="60" t="str">
        <f t="shared" si="187"/>
        <v>303111,01</v>
      </c>
      <c r="B2986" s="60">
        <f>COUNTIF($J$7:J2986,J2986)</f>
        <v>303</v>
      </c>
      <c r="C2986" s="60" t="str">
        <f t="shared" si="188"/>
        <v>0</v>
      </c>
      <c r="D2986" s="60">
        <f>COUNTIF($K$7:K2986,K2986)</f>
        <v>0</v>
      </c>
      <c r="E2986" s="61"/>
      <c r="F2986" s="239">
        <v>44622.742314814815</v>
      </c>
      <c r="G2986" s="232"/>
      <c r="H2986" s="73" t="s">
        <v>1615</v>
      </c>
      <c r="I2986" s="243" t="s">
        <v>1634</v>
      </c>
      <c r="J2986" s="67">
        <v>111.01</v>
      </c>
      <c r="K2986" s="242"/>
      <c r="L2986" s="224"/>
      <c r="M2986" s="223">
        <v>408000</v>
      </c>
      <c r="N2986" s="223"/>
      <c r="O2986" s="243"/>
      <c r="P2986" s="69" t="str">
        <f t="shared" si="189"/>
        <v>BNI IDR 768</v>
      </c>
      <c r="Q2986" s="61"/>
    </row>
    <row r="2987" spans="1:17" hidden="1" x14ac:dyDescent="0.25">
      <c r="A2987" s="60" t="str">
        <f t="shared" si="187"/>
        <v>304111,01</v>
      </c>
      <c r="B2987" s="60">
        <f>COUNTIF($J$7:J2987,J2987)</f>
        <v>304</v>
      </c>
      <c r="C2987" s="60" t="str">
        <f t="shared" si="188"/>
        <v>0</v>
      </c>
      <c r="D2987" s="60">
        <f>COUNTIF($K$7:K2987,K2987)</f>
        <v>0</v>
      </c>
      <c r="E2987" s="61"/>
      <c r="F2987" s="239">
        <v>44622</v>
      </c>
      <c r="G2987" s="232"/>
      <c r="H2987" s="73" t="s">
        <v>1615</v>
      </c>
      <c r="I2987" s="243" t="s">
        <v>1646</v>
      </c>
      <c r="J2987" s="67">
        <v>111.01</v>
      </c>
      <c r="K2987" s="242"/>
      <c r="L2987" s="224"/>
      <c r="M2987" s="223">
        <v>633750</v>
      </c>
      <c r="N2987" s="223"/>
      <c r="O2987" s="243"/>
      <c r="P2987" s="69" t="str">
        <f t="shared" si="189"/>
        <v>BNI IDR 768</v>
      </c>
      <c r="Q2987" s="61"/>
    </row>
    <row r="2988" spans="1:17" hidden="1" x14ac:dyDescent="0.25">
      <c r="A2988" s="60" t="str">
        <f t="shared" si="187"/>
        <v>305111,01</v>
      </c>
      <c r="B2988" s="60">
        <f>COUNTIF($J$7:J2988,J2988)</f>
        <v>305</v>
      </c>
      <c r="C2988" s="60" t="str">
        <f t="shared" si="188"/>
        <v>0</v>
      </c>
      <c r="D2988" s="60">
        <f>COUNTIF($K$7:K2988,K2988)</f>
        <v>0</v>
      </c>
      <c r="E2988" s="61"/>
      <c r="F2988" s="239">
        <v>44622.742314814815</v>
      </c>
      <c r="G2988" s="232"/>
      <c r="H2988" s="73" t="s">
        <v>1615</v>
      </c>
      <c r="I2988" s="243" t="s">
        <v>282</v>
      </c>
      <c r="J2988" s="67">
        <v>111.01</v>
      </c>
      <c r="K2988" s="242"/>
      <c r="L2988" s="224"/>
      <c r="M2988" s="223">
        <v>6500</v>
      </c>
      <c r="N2988" s="223"/>
      <c r="O2988" s="243"/>
      <c r="P2988" s="69" t="str">
        <f t="shared" si="189"/>
        <v>BNI IDR 768</v>
      </c>
      <c r="Q2988" s="61"/>
    </row>
    <row r="2989" spans="1:17" hidden="1" x14ac:dyDescent="0.25">
      <c r="A2989" s="60" t="str">
        <f t="shared" si="187"/>
        <v>306111,01</v>
      </c>
      <c r="B2989" s="60">
        <f>COUNTIF($J$7:J2989,J2989)</f>
        <v>306</v>
      </c>
      <c r="C2989" s="60" t="str">
        <f t="shared" si="188"/>
        <v>0</v>
      </c>
      <c r="D2989" s="60">
        <f>COUNTIF($K$7:K2989,K2989)</f>
        <v>0</v>
      </c>
      <c r="E2989" s="61"/>
      <c r="F2989" s="239">
        <v>44622</v>
      </c>
      <c r="G2989" s="232"/>
      <c r="H2989" s="73" t="s">
        <v>1615</v>
      </c>
      <c r="I2989" s="243" t="s">
        <v>1647</v>
      </c>
      <c r="J2989" s="67">
        <v>111.01</v>
      </c>
      <c r="K2989" s="242"/>
      <c r="L2989" s="224"/>
      <c r="M2989" s="223">
        <v>6500000</v>
      </c>
      <c r="N2989" s="223"/>
      <c r="O2989" s="243"/>
      <c r="P2989" s="69" t="str">
        <f t="shared" si="189"/>
        <v>BNI IDR 768</v>
      </c>
      <c r="Q2989" s="61"/>
    </row>
    <row r="2990" spans="1:17" hidden="1" x14ac:dyDescent="0.25">
      <c r="A2990" s="60" t="str">
        <f t="shared" si="187"/>
        <v>307111,01</v>
      </c>
      <c r="B2990" s="60">
        <f>COUNTIF($J$7:J2990,J2990)</f>
        <v>307</v>
      </c>
      <c r="C2990" s="60" t="str">
        <f t="shared" si="188"/>
        <v>0</v>
      </c>
      <c r="D2990" s="60">
        <f>COUNTIF($K$7:K2990,K2990)</f>
        <v>0</v>
      </c>
      <c r="E2990" s="61"/>
      <c r="F2990" s="239">
        <v>44622.742326388892</v>
      </c>
      <c r="G2990" s="232"/>
      <c r="H2990" s="73" t="s">
        <v>1615</v>
      </c>
      <c r="I2990" s="243" t="s">
        <v>282</v>
      </c>
      <c r="J2990" s="67">
        <v>111.01</v>
      </c>
      <c r="K2990" s="242"/>
      <c r="L2990" s="224"/>
      <c r="M2990" s="223">
        <v>6500</v>
      </c>
      <c r="N2990" s="223"/>
      <c r="O2990" s="243"/>
      <c r="P2990" s="69" t="str">
        <f t="shared" si="189"/>
        <v>BNI IDR 768</v>
      </c>
      <c r="Q2990" s="61"/>
    </row>
    <row r="2991" spans="1:17" hidden="1" x14ac:dyDescent="0.25">
      <c r="A2991" s="60" t="str">
        <f t="shared" si="187"/>
        <v>308111,01</v>
      </c>
      <c r="B2991" s="60">
        <f>COUNTIF($J$7:J2991,J2991)</f>
        <v>308</v>
      </c>
      <c r="C2991" s="60" t="str">
        <f t="shared" si="188"/>
        <v>0</v>
      </c>
      <c r="D2991" s="60">
        <f>COUNTIF($K$7:K2991,K2991)</f>
        <v>0</v>
      </c>
      <c r="E2991" s="61"/>
      <c r="F2991" s="239">
        <v>44622.742326388892</v>
      </c>
      <c r="G2991" s="232"/>
      <c r="H2991" s="73" t="s">
        <v>1615</v>
      </c>
      <c r="I2991" s="243" t="s">
        <v>1637</v>
      </c>
      <c r="J2991" s="67">
        <v>111.01</v>
      </c>
      <c r="K2991" s="242"/>
      <c r="L2991" s="224"/>
      <c r="M2991" s="223">
        <v>2674435</v>
      </c>
      <c r="N2991" s="223"/>
      <c r="O2991" s="243"/>
      <c r="P2991" s="69" t="str">
        <f t="shared" si="189"/>
        <v>BNI IDR 768</v>
      </c>
      <c r="Q2991" s="61"/>
    </row>
    <row r="2992" spans="1:17" hidden="1" x14ac:dyDescent="0.25">
      <c r="A2992" s="60" t="str">
        <f t="shared" si="187"/>
        <v>309111,01</v>
      </c>
      <c r="B2992" s="60">
        <f>COUNTIF($J$7:J2992,J2992)</f>
        <v>309</v>
      </c>
      <c r="C2992" s="60" t="str">
        <f t="shared" si="188"/>
        <v>0</v>
      </c>
      <c r="D2992" s="60">
        <f>COUNTIF($K$7:K2992,K2992)</f>
        <v>0</v>
      </c>
      <c r="E2992" s="61"/>
      <c r="F2992" s="239">
        <v>44622.742326388892</v>
      </c>
      <c r="G2992" s="232"/>
      <c r="H2992" s="73" t="s">
        <v>1615</v>
      </c>
      <c r="I2992" s="243" t="s">
        <v>1638</v>
      </c>
      <c r="J2992" s="67">
        <v>111.01</v>
      </c>
      <c r="K2992" s="242"/>
      <c r="L2992" s="224"/>
      <c r="M2992" s="223">
        <v>269850</v>
      </c>
      <c r="N2992" s="223"/>
      <c r="O2992" s="243"/>
      <c r="P2992" s="69" t="str">
        <f t="shared" si="189"/>
        <v>BNI IDR 768</v>
      </c>
      <c r="Q2992" s="61"/>
    </row>
    <row r="2993" spans="1:17" hidden="1" x14ac:dyDescent="0.25">
      <c r="A2993" s="60" t="str">
        <f t="shared" si="187"/>
        <v>310111,01</v>
      </c>
      <c r="B2993" s="60">
        <f>COUNTIF($J$7:J2993,J2993)</f>
        <v>310</v>
      </c>
      <c r="C2993" s="60" t="str">
        <f t="shared" si="188"/>
        <v>0</v>
      </c>
      <c r="D2993" s="60">
        <f>COUNTIF($K$7:K2993,K2993)</f>
        <v>0</v>
      </c>
      <c r="E2993" s="61"/>
      <c r="F2993" s="239">
        <v>44622.742337962962</v>
      </c>
      <c r="G2993" s="232"/>
      <c r="H2993" s="73" t="s">
        <v>1615</v>
      </c>
      <c r="I2993" s="243" t="s">
        <v>1639</v>
      </c>
      <c r="J2993" s="67">
        <v>111.01</v>
      </c>
      <c r="K2993" s="242"/>
      <c r="L2993" s="224"/>
      <c r="M2993" s="223">
        <v>18433780</v>
      </c>
      <c r="N2993" s="223"/>
      <c r="O2993" s="243"/>
      <c r="P2993" s="69" t="str">
        <f t="shared" si="189"/>
        <v>BNI IDR 768</v>
      </c>
      <c r="Q2993" s="61"/>
    </row>
    <row r="2994" spans="1:17" hidden="1" x14ac:dyDescent="0.25">
      <c r="A2994" s="60" t="str">
        <f t="shared" si="187"/>
        <v>311111,01</v>
      </c>
      <c r="B2994" s="60">
        <f>COUNTIF($J$7:J2994,J2994)</f>
        <v>311</v>
      </c>
      <c r="C2994" s="60" t="str">
        <f t="shared" si="188"/>
        <v>0</v>
      </c>
      <c r="D2994" s="60">
        <f>COUNTIF($K$7:K2994,K2994)</f>
        <v>0</v>
      </c>
      <c r="E2994" s="61"/>
      <c r="F2994" s="239">
        <v>44622.742337962962</v>
      </c>
      <c r="G2994" s="232"/>
      <c r="H2994" s="73" t="s">
        <v>1615</v>
      </c>
      <c r="I2994" s="243" t="s">
        <v>1059</v>
      </c>
      <c r="J2994" s="67">
        <v>111.01</v>
      </c>
      <c r="K2994" s="242"/>
      <c r="L2994" s="224"/>
      <c r="M2994" s="223">
        <v>440000</v>
      </c>
      <c r="N2994" s="223"/>
      <c r="O2994" s="243"/>
      <c r="P2994" s="69" t="str">
        <f t="shared" si="189"/>
        <v>BNI IDR 768</v>
      </c>
      <c r="Q2994" s="61"/>
    </row>
    <row r="2995" spans="1:17" hidden="1" x14ac:dyDescent="0.25">
      <c r="A2995" s="60" t="str">
        <f t="shared" si="187"/>
        <v>312111,01</v>
      </c>
      <c r="B2995" s="60">
        <f>COUNTIF($J$7:J2995,J2995)</f>
        <v>312</v>
      </c>
      <c r="C2995" s="60" t="str">
        <f t="shared" si="188"/>
        <v>0</v>
      </c>
      <c r="D2995" s="60">
        <f>COUNTIF($K$7:K2995,K2995)</f>
        <v>0</v>
      </c>
      <c r="E2995" s="61"/>
      <c r="F2995" s="239">
        <v>44622.743993055556</v>
      </c>
      <c r="G2995" s="232"/>
      <c r="H2995" s="73" t="s">
        <v>1615</v>
      </c>
      <c r="I2995" s="243" t="s">
        <v>1640</v>
      </c>
      <c r="J2995" s="67">
        <v>111.01</v>
      </c>
      <c r="K2995" s="242"/>
      <c r="L2995" s="224"/>
      <c r="M2995" s="223">
        <v>2500</v>
      </c>
      <c r="N2995" s="223"/>
      <c r="O2995" s="243"/>
      <c r="P2995" s="69" t="str">
        <f t="shared" si="189"/>
        <v>BNI IDR 768</v>
      </c>
      <c r="Q2995" s="61"/>
    </row>
    <row r="2996" spans="1:17" hidden="1" x14ac:dyDescent="0.25">
      <c r="A2996" s="60" t="str">
        <f t="shared" si="187"/>
        <v>313111,01</v>
      </c>
      <c r="B2996" s="60">
        <f>COUNTIF($J$7:J2996,J2996)</f>
        <v>313</v>
      </c>
      <c r="C2996" s="60" t="str">
        <f t="shared" si="188"/>
        <v>0</v>
      </c>
      <c r="D2996" s="60">
        <f>COUNTIF($K$7:K2996,K2996)</f>
        <v>0</v>
      </c>
      <c r="E2996" s="61"/>
      <c r="F2996" s="239">
        <v>44622.743993055556</v>
      </c>
      <c r="G2996" s="232"/>
      <c r="H2996" s="73" t="s">
        <v>1615</v>
      </c>
      <c r="I2996" s="243" t="s">
        <v>1058</v>
      </c>
      <c r="J2996" s="67">
        <v>111.01</v>
      </c>
      <c r="K2996" s="242"/>
      <c r="L2996" s="224"/>
      <c r="M2996" s="223">
        <v>493740</v>
      </c>
      <c r="N2996" s="223"/>
      <c r="O2996" s="243"/>
      <c r="P2996" s="69" t="str">
        <f t="shared" si="189"/>
        <v>BNI IDR 768</v>
      </c>
      <c r="Q2996" s="61"/>
    </row>
    <row r="2997" spans="1:17" hidden="1" x14ac:dyDescent="0.25">
      <c r="A2997" s="60" t="str">
        <f t="shared" si="187"/>
        <v>314111,01</v>
      </c>
      <c r="B2997" s="60">
        <f>COUNTIF($J$7:J2997,J2997)</f>
        <v>314</v>
      </c>
      <c r="C2997" s="60" t="str">
        <f t="shared" si="188"/>
        <v>0</v>
      </c>
      <c r="D2997" s="60">
        <f>COUNTIF($K$7:K2997,K2997)</f>
        <v>0</v>
      </c>
      <c r="E2997" s="61"/>
      <c r="F2997" s="239">
        <v>44622.743993055556</v>
      </c>
      <c r="G2997" s="232"/>
      <c r="H2997" s="73" t="s">
        <v>1615</v>
      </c>
      <c r="I2997" s="243" t="s">
        <v>1641</v>
      </c>
      <c r="J2997" s="67">
        <v>111.01</v>
      </c>
      <c r="K2997" s="242"/>
      <c r="L2997" s="224"/>
      <c r="M2997" s="223">
        <v>519523</v>
      </c>
      <c r="N2997" s="223"/>
      <c r="O2997" s="243"/>
      <c r="P2997" s="69" t="str">
        <f t="shared" si="189"/>
        <v>BNI IDR 768</v>
      </c>
      <c r="Q2997" s="61"/>
    </row>
    <row r="2998" spans="1:17" hidden="1" x14ac:dyDescent="0.25">
      <c r="A2998" s="60" t="str">
        <f t="shared" si="187"/>
        <v>315111,01</v>
      </c>
      <c r="B2998" s="60">
        <f>COUNTIF($J$7:J2998,J2998)</f>
        <v>315</v>
      </c>
      <c r="C2998" s="60" t="str">
        <f t="shared" si="188"/>
        <v>0</v>
      </c>
      <c r="D2998" s="60">
        <f>COUNTIF($K$7:K2998,K2998)</f>
        <v>0</v>
      </c>
      <c r="E2998" s="61"/>
      <c r="F2998" s="239">
        <v>44622.744016203702</v>
      </c>
      <c r="G2998" s="232"/>
      <c r="H2998" s="73" t="s">
        <v>1615</v>
      </c>
      <c r="I2998" s="243" t="s">
        <v>1642</v>
      </c>
      <c r="J2998" s="67">
        <v>111.01</v>
      </c>
      <c r="K2998" s="242"/>
      <c r="L2998" s="224"/>
      <c r="M2998" s="223">
        <v>2500</v>
      </c>
      <c r="N2998" s="223"/>
      <c r="O2998" s="243"/>
      <c r="P2998" s="69" t="str">
        <f t="shared" si="189"/>
        <v>BNI IDR 768</v>
      </c>
      <c r="Q2998" s="61"/>
    </row>
    <row r="2999" spans="1:17" hidden="1" x14ac:dyDescent="0.25">
      <c r="A2999" s="60" t="str">
        <f t="shared" si="187"/>
        <v>316111,01</v>
      </c>
      <c r="B2999" s="60">
        <f>COUNTIF($J$7:J2999,J2999)</f>
        <v>316</v>
      </c>
      <c r="C2999" s="60" t="str">
        <f t="shared" si="188"/>
        <v>0</v>
      </c>
      <c r="D2999" s="60">
        <f>COUNTIF($K$7:K2999,K2999)</f>
        <v>0</v>
      </c>
      <c r="E2999" s="61"/>
      <c r="F2999" s="239">
        <v>44622.744016203702</v>
      </c>
      <c r="G2999" s="232"/>
      <c r="H2999" s="73" t="s">
        <v>1615</v>
      </c>
      <c r="I2999" s="243" t="s">
        <v>1053</v>
      </c>
      <c r="J2999" s="67">
        <v>111.01</v>
      </c>
      <c r="K2999" s="242"/>
      <c r="L2999" s="224"/>
      <c r="M2999" s="223">
        <v>432298</v>
      </c>
      <c r="N2999" s="223"/>
      <c r="O2999" s="243"/>
      <c r="P2999" s="69" t="str">
        <f t="shared" si="189"/>
        <v>BNI IDR 768</v>
      </c>
      <c r="Q2999" s="61"/>
    </row>
    <row r="3000" spans="1:17" hidden="1" x14ac:dyDescent="0.25">
      <c r="A3000" s="60" t="str">
        <f t="shared" si="187"/>
        <v>317111,01</v>
      </c>
      <c r="B3000" s="60">
        <f>COUNTIF($J$7:J3000,J3000)</f>
        <v>317</v>
      </c>
      <c r="C3000" s="60" t="str">
        <f t="shared" si="188"/>
        <v>0</v>
      </c>
      <c r="D3000" s="60">
        <f>COUNTIF($K$7:K3000,K3000)</f>
        <v>0</v>
      </c>
      <c r="E3000" s="61"/>
      <c r="F3000" s="239">
        <v>44624.488298611112</v>
      </c>
      <c r="G3000" s="232"/>
      <c r="H3000" s="73" t="s">
        <v>1615</v>
      </c>
      <c r="I3000" s="243" t="s">
        <v>1643</v>
      </c>
      <c r="J3000" s="67">
        <v>111.01</v>
      </c>
      <c r="K3000" s="242"/>
      <c r="L3000" s="224"/>
      <c r="M3000" s="223">
        <v>2500</v>
      </c>
      <c r="N3000" s="223"/>
      <c r="O3000" s="243"/>
      <c r="P3000" s="69" t="str">
        <f t="shared" si="189"/>
        <v>BNI IDR 768</v>
      </c>
      <c r="Q3000" s="61"/>
    </row>
    <row r="3001" spans="1:17" hidden="1" x14ac:dyDescent="0.25">
      <c r="A3001" s="60" t="str">
        <f t="shared" si="187"/>
        <v>318111,01</v>
      </c>
      <c r="B3001" s="60">
        <f>COUNTIF($J$7:J3001,J3001)</f>
        <v>318</v>
      </c>
      <c r="C3001" s="60" t="str">
        <f t="shared" si="188"/>
        <v>0</v>
      </c>
      <c r="D3001" s="60">
        <f>COUNTIF($K$7:K3001,K3001)</f>
        <v>0</v>
      </c>
      <c r="E3001" s="61"/>
      <c r="F3001" s="239">
        <v>44624.488298611112</v>
      </c>
      <c r="G3001" s="232"/>
      <c r="H3001" s="73" t="s">
        <v>1615</v>
      </c>
      <c r="I3001" s="243" t="s">
        <v>1644</v>
      </c>
      <c r="J3001" s="67">
        <v>111.01</v>
      </c>
      <c r="K3001" s="242"/>
      <c r="L3001" s="224"/>
      <c r="M3001" s="223">
        <v>1486155</v>
      </c>
      <c r="N3001" s="223"/>
      <c r="O3001" s="243"/>
      <c r="P3001" s="69" t="str">
        <f t="shared" si="189"/>
        <v>BNI IDR 768</v>
      </c>
      <c r="Q3001" s="61"/>
    </row>
    <row r="3002" spans="1:17" hidden="1" x14ac:dyDescent="0.25">
      <c r="A3002" s="60" t="str">
        <f t="shared" si="187"/>
        <v>319111,01</v>
      </c>
      <c r="B3002" s="60">
        <f>COUNTIF($J$7:J3002,J3002)</f>
        <v>319</v>
      </c>
      <c r="C3002" s="60" t="str">
        <f t="shared" si="188"/>
        <v>0</v>
      </c>
      <c r="D3002" s="60">
        <f>COUNTIF($K$7:K3002,K3002)</f>
        <v>0</v>
      </c>
      <c r="E3002" s="61"/>
      <c r="F3002" s="239">
        <v>44624</v>
      </c>
      <c r="G3002" s="232"/>
      <c r="H3002" s="73" t="s">
        <v>1615</v>
      </c>
      <c r="I3002" s="243" t="s">
        <v>948</v>
      </c>
      <c r="J3002" s="67">
        <v>111.01</v>
      </c>
      <c r="K3002" s="242"/>
      <c r="L3002" s="224"/>
      <c r="M3002" s="223">
        <v>633750</v>
      </c>
      <c r="N3002" s="223"/>
      <c r="O3002" s="243"/>
      <c r="P3002" s="69" t="str">
        <f t="shared" si="189"/>
        <v>BNI IDR 768</v>
      </c>
      <c r="Q3002" s="61"/>
    </row>
    <row r="3003" spans="1:17" hidden="1" x14ac:dyDescent="0.25">
      <c r="A3003" s="60" t="str">
        <f t="shared" si="187"/>
        <v>320111,01</v>
      </c>
      <c r="B3003" s="60">
        <f>COUNTIF($J$7:J3003,J3003)</f>
        <v>320</v>
      </c>
      <c r="C3003" s="60" t="str">
        <f t="shared" si="188"/>
        <v>0</v>
      </c>
      <c r="D3003" s="60">
        <f>COUNTIF($K$7:K3003,K3003)</f>
        <v>0</v>
      </c>
      <c r="E3003" s="61"/>
      <c r="F3003" s="239">
        <v>44624.52542824074</v>
      </c>
      <c r="G3003" s="232"/>
      <c r="H3003" s="73" t="s">
        <v>1615</v>
      </c>
      <c r="I3003" s="243" t="s">
        <v>282</v>
      </c>
      <c r="J3003" s="67">
        <v>111.01</v>
      </c>
      <c r="K3003" s="242"/>
      <c r="L3003" s="224"/>
      <c r="M3003" s="223">
        <v>6500</v>
      </c>
      <c r="N3003" s="223"/>
      <c r="O3003" s="243"/>
      <c r="P3003" s="69" t="str">
        <f t="shared" si="189"/>
        <v>BNI IDR 768</v>
      </c>
      <c r="Q3003" s="61"/>
    </row>
    <row r="3004" spans="1:17" hidden="1" x14ac:dyDescent="0.25">
      <c r="A3004" s="60" t="str">
        <f t="shared" si="187"/>
        <v>321111,01</v>
      </c>
      <c r="B3004" s="60">
        <f>COUNTIF($J$7:J3004,J3004)</f>
        <v>321</v>
      </c>
      <c r="C3004" s="60" t="str">
        <f t="shared" si="188"/>
        <v>0</v>
      </c>
      <c r="D3004" s="60">
        <f>COUNTIF($K$7:K3004,K3004)</f>
        <v>0</v>
      </c>
      <c r="E3004" s="61"/>
      <c r="F3004" s="239">
        <v>44627.463761574072</v>
      </c>
      <c r="G3004" s="232"/>
      <c r="H3004" s="73" t="s">
        <v>1615</v>
      </c>
      <c r="I3004" s="243" t="s">
        <v>1648</v>
      </c>
      <c r="J3004" s="67">
        <v>111.01</v>
      </c>
      <c r="K3004" s="242"/>
      <c r="L3004" s="224">
        <v>28413000</v>
      </c>
      <c r="M3004" s="223"/>
      <c r="N3004" s="223"/>
      <c r="O3004" s="243"/>
      <c r="P3004" s="69" t="str">
        <f t="shared" si="189"/>
        <v>BNI IDR 768</v>
      </c>
      <c r="Q3004" s="61"/>
    </row>
    <row r="3005" spans="1:17" hidden="1" x14ac:dyDescent="0.25">
      <c r="A3005" s="60" t="str">
        <f t="shared" si="187"/>
        <v>624112</v>
      </c>
      <c r="B3005" s="60">
        <f>COUNTIF($J$7:J3005,J3005)</f>
        <v>624</v>
      </c>
      <c r="C3005" s="60" t="str">
        <f t="shared" si="188"/>
        <v>8112,11</v>
      </c>
      <c r="D3005" s="60">
        <f>COUNTIF($K$7:K3005,K3005)</f>
        <v>8</v>
      </c>
      <c r="E3005" s="61"/>
      <c r="F3005" s="239">
        <v>44627.463761574072</v>
      </c>
      <c r="G3005" s="164" t="s">
        <v>149</v>
      </c>
      <c r="H3005" s="73" t="s">
        <v>1615</v>
      </c>
      <c r="I3005" s="243" t="s">
        <v>1648</v>
      </c>
      <c r="J3005" s="265">
        <v>112</v>
      </c>
      <c r="K3005" s="80">
        <v>112.11</v>
      </c>
      <c r="L3005" s="224"/>
      <c r="M3005" s="223">
        <v>28413000</v>
      </c>
      <c r="N3005" s="223"/>
      <c r="O3005" s="243"/>
      <c r="P3005" s="69" t="str">
        <f t="shared" si="189"/>
        <v>Piutang Usaha</v>
      </c>
      <c r="Q3005" s="61"/>
    </row>
    <row r="3006" spans="1:17" hidden="1" x14ac:dyDescent="0.25">
      <c r="A3006" s="60" t="str">
        <f t="shared" si="187"/>
        <v>22211,04</v>
      </c>
      <c r="B3006" s="60">
        <f>COUNTIF($J$7:J3006,J3006)</f>
        <v>22</v>
      </c>
      <c r="C3006" s="60" t="str">
        <f t="shared" si="188"/>
        <v>0</v>
      </c>
      <c r="D3006" s="60">
        <f>COUNTIF($K$7:K3006,K3006)</f>
        <v>0</v>
      </c>
      <c r="E3006" s="61"/>
      <c r="F3006" s="239">
        <v>44627</v>
      </c>
      <c r="G3006" s="232"/>
      <c r="H3006" s="73" t="s">
        <v>1615</v>
      </c>
      <c r="I3006" s="61" t="s">
        <v>1583</v>
      </c>
      <c r="J3006" s="67">
        <v>211.04</v>
      </c>
      <c r="K3006" s="89"/>
      <c r="L3006" s="224">
        <v>39000</v>
      </c>
      <c r="M3006" s="61"/>
      <c r="N3006" s="61"/>
      <c r="O3006" s="243"/>
      <c r="P3006" s="69" t="str">
        <f t="shared" si="189"/>
        <v>Hutang PPh 23</v>
      </c>
      <c r="Q3006" s="61"/>
    </row>
    <row r="3007" spans="1:17" hidden="1" x14ac:dyDescent="0.25">
      <c r="A3007" s="60" t="str">
        <f t="shared" si="187"/>
        <v>78220,03</v>
      </c>
      <c r="B3007" s="60">
        <f>COUNTIF($J$7:J3007,J3007)</f>
        <v>78</v>
      </c>
      <c r="C3007" s="60" t="str">
        <f t="shared" si="188"/>
        <v>0</v>
      </c>
      <c r="D3007" s="60">
        <f>COUNTIF($K$7:K3007,K3007)</f>
        <v>0</v>
      </c>
      <c r="E3007" s="61"/>
      <c r="F3007" s="239">
        <v>44627.472280092596</v>
      </c>
      <c r="G3007" s="232"/>
      <c r="H3007" s="73" t="s">
        <v>1615</v>
      </c>
      <c r="I3007" s="61" t="s">
        <v>1583</v>
      </c>
      <c r="J3007" s="67">
        <v>220.03</v>
      </c>
      <c r="K3007" s="89"/>
      <c r="L3007" s="224">
        <f>1911000</f>
        <v>1911000</v>
      </c>
      <c r="M3007" s="61"/>
      <c r="N3007" s="61"/>
      <c r="O3007" s="243"/>
      <c r="P3007" s="69" t="str">
        <f t="shared" si="189"/>
        <v>Hutang BIaya</v>
      </c>
      <c r="Q3007" s="61"/>
    </row>
    <row r="3008" spans="1:17" hidden="1" x14ac:dyDescent="0.25">
      <c r="A3008" s="60" t="str">
        <f t="shared" si="187"/>
        <v>78810,01</v>
      </c>
      <c r="B3008" s="60">
        <f>COUNTIF($J$7:J3008,J3008)</f>
        <v>78</v>
      </c>
      <c r="C3008" s="60" t="str">
        <f t="shared" si="188"/>
        <v>0</v>
      </c>
      <c r="D3008" s="60">
        <f>COUNTIF($K$7:K3008,K3008)</f>
        <v>0</v>
      </c>
      <c r="E3008" s="61"/>
      <c r="F3008" s="239">
        <v>44627.472280092596</v>
      </c>
      <c r="G3008" s="232"/>
      <c r="H3008" s="73" t="s">
        <v>1615</v>
      </c>
      <c r="I3008" s="61" t="s">
        <v>1206</v>
      </c>
      <c r="J3008" s="67">
        <v>810.01</v>
      </c>
      <c r="K3008" s="89"/>
      <c r="L3008" s="224">
        <v>6500</v>
      </c>
      <c r="M3008" s="61"/>
      <c r="N3008" s="61"/>
      <c r="O3008" s="243"/>
      <c r="P3008" s="69" t="str">
        <f t="shared" si="189"/>
        <v>Biaya Admin Transfer dan Rek</v>
      </c>
      <c r="Q3008" s="61"/>
    </row>
    <row r="3009" spans="1:17" hidden="1" x14ac:dyDescent="0.25">
      <c r="A3009" s="60" t="str">
        <f t="shared" si="187"/>
        <v>25610,09</v>
      </c>
      <c r="B3009" s="60">
        <f>COUNTIF($J$7:J3009,J3009)</f>
        <v>25</v>
      </c>
      <c r="C3009" s="60" t="str">
        <f t="shared" si="188"/>
        <v>0</v>
      </c>
      <c r="D3009" s="60">
        <f>COUNTIF($K$7:K3009,K3009)</f>
        <v>0</v>
      </c>
      <c r="E3009" s="61"/>
      <c r="F3009" s="239">
        <v>44627.472384259258</v>
      </c>
      <c r="G3009" s="232"/>
      <c r="H3009" s="73" t="s">
        <v>1615</v>
      </c>
      <c r="I3009" s="243" t="s">
        <v>1649</v>
      </c>
      <c r="J3009" s="221">
        <v>610.09</v>
      </c>
      <c r="K3009" s="242"/>
      <c r="L3009" s="224">
        <v>92192</v>
      </c>
      <c r="M3009" s="223"/>
      <c r="N3009" s="223"/>
      <c r="O3009" s="243"/>
      <c r="P3009" s="69" t="str">
        <f t="shared" si="189"/>
        <v>Biaya ATK &amp; Perlengkapan Kantor</v>
      </c>
      <c r="Q3009" s="61"/>
    </row>
    <row r="3010" spans="1:17" hidden="1" x14ac:dyDescent="0.25">
      <c r="A3010" s="60" t="str">
        <f t="shared" si="187"/>
        <v>489211,01</v>
      </c>
      <c r="B3010" s="60">
        <f>COUNTIF($J$7:J3010,J3010)</f>
        <v>489</v>
      </c>
      <c r="C3010" s="60" t="str">
        <f t="shared" si="188"/>
        <v>0</v>
      </c>
      <c r="D3010" s="60">
        <f>COUNTIF($K$7:K3010,K3010)</f>
        <v>0</v>
      </c>
      <c r="E3010" s="61"/>
      <c r="F3010" s="239">
        <v>44627.472662037035</v>
      </c>
      <c r="G3010" s="232"/>
      <c r="H3010" s="73" t="s">
        <v>1615</v>
      </c>
      <c r="I3010" s="243" t="s">
        <v>1650</v>
      </c>
      <c r="J3010" s="67">
        <v>211.01</v>
      </c>
      <c r="K3010" s="242"/>
      <c r="L3010" s="224">
        <v>80216000</v>
      </c>
      <c r="M3010" s="223"/>
      <c r="N3010" s="223"/>
      <c r="O3010" s="243"/>
      <c r="P3010" s="69" t="str">
        <f t="shared" si="189"/>
        <v>Hutang Pajak PPN</v>
      </c>
      <c r="Q3010" s="61"/>
    </row>
    <row r="3011" spans="1:17" hidden="1" x14ac:dyDescent="0.25">
      <c r="A3011" s="60" t="str">
        <f t="shared" si="187"/>
        <v>12211,03</v>
      </c>
      <c r="B3011" s="60">
        <f>COUNTIF($J$7:J3011,J3011)</f>
        <v>12</v>
      </c>
      <c r="C3011" s="60" t="str">
        <f t="shared" si="188"/>
        <v>0</v>
      </c>
      <c r="D3011" s="60">
        <f>COUNTIF($K$7:K3011,K3011)</f>
        <v>0</v>
      </c>
      <c r="E3011" s="61"/>
      <c r="F3011" s="239">
        <v>44627.472662037035</v>
      </c>
      <c r="G3011" s="232"/>
      <c r="H3011" s="73" t="s">
        <v>1615</v>
      </c>
      <c r="I3011" s="243" t="s">
        <v>1651</v>
      </c>
      <c r="J3011" s="67">
        <v>211.03</v>
      </c>
      <c r="K3011" s="242"/>
      <c r="L3011" s="224">
        <v>60162000</v>
      </c>
      <c r="M3011" s="223"/>
      <c r="N3011" s="223"/>
      <c r="O3011" s="243"/>
      <c r="P3011" s="69" t="str">
        <f t="shared" si="189"/>
        <v>Hutang PPh 22</v>
      </c>
      <c r="Q3011" s="61"/>
    </row>
    <row r="3012" spans="1:17" hidden="1" x14ac:dyDescent="0.25">
      <c r="A3012" s="60" t="str">
        <f t="shared" si="187"/>
        <v>26610,09</v>
      </c>
      <c r="B3012" s="60">
        <f>COUNTIF($J$7:J3012,J3012)</f>
        <v>26</v>
      </c>
      <c r="C3012" s="60" t="str">
        <f t="shared" si="188"/>
        <v>0</v>
      </c>
      <c r="D3012" s="60">
        <f>COUNTIF($K$7:K3012,K3012)</f>
        <v>0</v>
      </c>
      <c r="E3012" s="61"/>
      <c r="F3012" s="239">
        <v>44627.485752314817</v>
      </c>
      <c r="G3012" s="232"/>
      <c r="H3012" s="73" t="s">
        <v>1615</v>
      </c>
      <c r="I3012" s="243" t="s">
        <v>1652</v>
      </c>
      <c r="J3012" s="221">
        <v>610.09</v>
      </c>
      <c r="K3012" s="242"/>
      <c r="L3012" s="224">
        <v>81787</v>
      </c>
      <c r="M3012" s="223"/>
      <c r="N3012" s="223"/>
      <c r="O3012" s="243"/>
      <c r="P3012" s="69" t="str">
        <f t="shared" si="189"/>
        <v>Biaya ATK &amp; Perlengkapan Kantor</v>
      </c>
      <c r="Q3012" s="61"/>
    </row>
    <row r="3013" spans="1:17" hidden="1" x14ac:dyDescent="0.25">
      <c r="A3013" s="60" t="str">
        <f t="shared" si="187"/>
        <v>5220,01</v>
      </c>
      <c r="B3013" s="60">
        <f>COUNTIF($J$7:J3013,J3013)</f>
        <v>5</v>
      </c>
      <c r="C3013" s="60" t="str">
        <f t="shared" si="188"/>
        <v>0</v>
      </c>
      <c r="D3013" s="60">
        <f>COUNTIF($K$7:K3013,K3013)</f>
        <v>0</v>
      </c>
      <c r="E3013" s="61"/>
      <c r="F3013" s="239">
        <v>44627</v>
      </c>
      <c r="G3013" s="232"/>
      <c r="H3013" s="73" t="s">
        <v>1615</v>
      </c>
      <c r="I3013" s="243" t="s">
        <v>1653</v>
      </c>
      <c r="J3013" s="67">
        <v>220.01</v>
      </c>
      <c r="K3013" s="242"/>
      <c r="L3013" s="224">
        <v>10678000</v>
      </c>
      <c r="M3013" s="223"/>
      <c r="N3013" s="223"/>
      <c r="O3013" s="243"/>
      <c r="P3013" s="69" t="str">
        <f t="shared" si="189"/>
        <v>Hutang Bank/Leasing</v>
      </c>
      <c r="Q3013" s="61"/>
    </row>
    <row r="3014" spans="1:17" hidden="1" x14ac:dyDescent="0.25">
      <c r="A3014" s="60" t="str">
        <f t="shared" si="187"/>
        <v>79810,01</v>
      </c>
      <c r="B3014" s="60">
        <f>COUNTIF($J$7:J3014,J3014)</f>
        <v>79</v>
      </c>
      <c r="C3014" s="60" t="str">
        <f t="shared" si="188"/>
        <v>0</v>
      </c>
      <c r="D3014" s="60">
        <f>COUNTIF($K$7:K3014,K3014)</f>
        <v>0</v>
      </c>
      <c r="E3014" s="61"/>
      <c r="F3014" s="239">
        <v>44627.634664351855</v>
      </c>
      <c r="G3014" s="232"/>
      <c r="H3014" s="73" t="s">
        <v>1615</v>
      </c>
      <c r="I3014" s="243" t="s">
        <v>282</v>
      </c>
      <c r="J3014" s="221">
        <v>810.01</v>
      </c>
      <c r="K3014" s="242"/>
      <c r="L3014" s="224">
        <v>6500</v>
      </c>
      <c r="M3014" s="223"/>
      <c r="N3014" s="223"/>
      <c r="O3014" s="243"/>
      <c r="P3014" s="69" t="str">
        <f t="shared" si="189"/>
        <v>Biaya Admin Transfer dan Rek</v>
      </c>
      <c r="Q3014" s="61"/>
    </row>
    <row r="3015" spans="1:17" hidden="1" x14ac:dyDescent="0.25">
      <c r="A3015" s="60" t="str">
        <f t="shared" ref="A3015:A3078" si="190">B3015&amp;J3015</f>
        <v>322111,01</v>
      </c>
      <c r="B3015" s="60">
        <f>COUNTIF($J$7:J3015,J3015)</f>
        <v>322</v>
      </c>
      <c r="C3015" s="60" t="str">
        <f t="shared" ref="C3015:C3078" si="191">D3015&amp;K3015</f>
        <v>0</v>
      </c>
      <c r="D3015" s="60">
        <f>COUNTIF($K$7:K3015,K3015)</f>
        <v>0</v>
      </c>
      <c r="E3015" s="61"/>
      <c r="F3015" s="239">
        <v>44627.634664351855</v>
      </c>
      <c r="G3015" s="232"/>
      <c r="H3015" s="73" t="s">
        <v>1615</v>
      </c>
      <c r="I3015" s="61" t="s">
        <v>1583</v>
      </c>
      <c r="J3015" s="67">
        <v>111.01</v>
      </c>
      <c r="K3015" s="242"/>
      <c r="L3015" s="224"/>
      <c r="M3015" s="224">
        <v>39000</v>
      </c>
      <c r="N3015" s="224"/>
      <c r="O3015" s="243"/>
      <c r="P3015" s="69" t="str">
        <f t="shared" ref="P3015:P3078" si="192">IF(J3015=0,"-",+VLOOKUP(J3015,DAF_AKUN,2,FALSE))</f>
        <v>BNI IDR 768</v>
      </c>
      <c r="Q3015" s="61"/>
    </row>
    <row r="3016" spans="1:17" hidden="1" x14ac:dyDescent="0.25">
      <c r="A3016" s="60" t="str">
        <f t="shared" si="190"/>
        <v>323111,01</v>
      </c>
      <c r="B3016" s="60">
        <f>COUNTIF($J$7:J3016,J3016)</f>
        <v>323</v>
      </c>
      <c r="C3016" s="60" t="str">
        <f t="shared" si="191"/>
        <v>0</v>
      </c>
      <c r="D3016" s="60">
        <f>COUNTIF($K$7:K3016,K3016)</f>
        <v>0</v>
      </c>
      <c r="E3016" s="61"/>
      <c r="F3016" s="239">
        <v>44627.634664351855</v>
      </c>
      <c r="G3016" s="232"/>
      <c r="H3016" s="73" t="s">
        <v>1615</v>
      </c>
      <c r="I3016" s="61" t="s">
        <v>1583</v>
      </c>
      <c r="J3016" s="67">
        <v>111.01</v>
      </c>
      <c r="K3016" s="242"/>
      <c r="L3016" s="224"/>
      <c r="M3016" s="224">
        <f>1911000</f>
        <v>1911000</v>
      </c>
      <c r="N3016" s="224"/>
      <c r="O3016" s="243"/>
      <c r="P3016" s="69" t="str">
        <f t="shared" si="192"/>
        <v>BNI IDR 768</v>
      </c>
      <c r="Q3016" s="61"/>
    </row>
    <row r="3017" spans="1:17" hidden="1" x14ac:dyDescent="0.25">
      <c r="A3017" s="60" t="str">
        <f t="shared" si="190"/>
        <v>324111,01</v>
      </c>
      <c r="B3017" s="60">
        <f>COUNTIF($J$7:J3017,J3017)</f>
        <v>324</v>
      </c>
      <c r="C3017" s="60" t="str">
        <f t="shared" si="191"/>
        <v>0</v>
      </c>
      <c r="D3017" s="60">
        <f>COUNTIF($K$7:K3017,K3017)</f>
        <v>0</v>
      </c>
      <c r="E3017" s="61"/>
      <c r="F3017" s="239">
        <v>44627.472280092596</v>
      </c>
      <c r="G3017" s="232"/>
      <c r="H3017" s="73" t="s">
        <v>1615</v>
      </c>
      <c r="I3017" s="243" t="s">
        <v>282</v>
      </c>
      <c r="J3017" s="67">
        <v>111.01</v>
      </c>
      <c r="K3017" s="242"/>
      <c r="L3017" s="224"/>
      <c r="M3017" s="223">
        <v>6500</v>
      </c>
      <c r="N3017" s="223"/>
      <c r="O3017" s="243"/>
      <c r="P3017" s="69" t="str">
        <f t="shared" si="192"/>
        <v>BNI IDR 768</v>
      </c>
      <c r="Q3017" s="61"/>
    </row>
    <row r="3018" spans="1:17" hidden="1" x14ac:dyDescent="0.25">
      <c r="A3018" s="60" t="str">
        <f t="shared" si="190"/>
        <v>325111,01</v>
      </c>
      <c r="B3018" s="60">
        <f>COUNTIF($J$7:J3018,J3018)</f>
        <v>325</v>
      </c>
      <c r="C3018" s="60" t="str">
        <f t="shared" si="191"/>
        <v>0</v>
      </c>
      <c r="D3018" s="60">
        <f>COUNTIF($K$7:K3018,K3018)</f>
        <v>0</v>
      </c>
      <c r="E3018" s="61"/>
      <c r="F3018" s="239">
        <v>44627.472384259258</v>
      </c>
      <c r="G3018" s="232"/>
      <c r="H3018" s="73" t="s">
        <v>1615</v>
      </c>
      <c r="I3018" s="243" t="s">
        <v>1654</v>
      </c>
      <c r="J3018" s="67">
        <v>111.01</v>
      </c>
      <c r="K3018" s="242"/>
      <c r="L3018" s="224"/>
      <c r="M3018" s="223">
        <v>92192</v>
      </c>
      <c r="N3018" s="223"/>
      <c r="O3018" s="243"/>
      <c r="P3018" s="69" t="str">
        <f t="shared" si="192"/>
        <v>BNI IDR 768</v>
      </c>
      <c r="Q3018" s="61"/>
    </row>
    <row r="3019" spans="1:17" hidden="1" x14ac:dyDescent="0.25">
      <c r="A3019" s="60" t="str">
        <f t="shared" si="190"/>
        <v>326111,01</v>
      </c>
      <c r="B3019" s="60">
        <f>COUNTIF($J$7:J3019,J3019)</f>
        <v>326</v>
      </c>
      <c r="C3019" s="60" t="str">
        <f t="shared" si="191"/>
        <v>0</v>
      </c>
      <c r="D3019" s="60">
        <f>COUNTIF($K$7:K3019,K3019)</f>
        <v>0</v>
      </c>
      <c r="E3019" s="61"/>
      <c r="F3019" s="239">
        <v>44627.472662037035</v>
      </c>
      <c r="G3019" s="232"/>
      <c r="H3019" s="73" t="s">
        <v>1615</v>
      </c>
      <c r="I3019" s="243" t="s">
        <v>1650</v>
      </c>
      <c r="J3019" s="67">
        <v>111.01</v>
      </c>
      <c r="K3019" s="242"/>
      <c r="L3019" s="224"/>
      <c r="M3019" s="224">
        <v>80216000</v>
      </c>
      <c r="N3019" s="224"/>
      <c r="O3019" s="243"/>
      <c r="P3019" s="69" t="str">
        <f t="shared" si="192"/>
        <v>BNI IDR 768</v>
      </c>
      <c r="Q3019" s="61"/>
    </row>
    <row r="3020" spans="1:17" hidden="1" x14ac:dyDescent="0.25">
      <c r="A3020" s="60" t="str">
        <f t="shared" si="190"/>
        <v>327111,01</v>
      </c>
      <c r="B3020" s="60">
        <f>COUNTIF($J$7:J3020,J3020)</f>
        <v>327</v>
      </c>
      <c r="C3020" s="60" t="str">
        <f t="shared" si="191"/>
        <v>0</v>
      </c>
      <c r="D3020" s="60">
        <f>COUNTIF($K$7:K3020,K3020)</f>
        <v>0</v>
      </c>
      <c r="E3020" s="61"/>
      <c r="F3020" s="239">
        <v>44627.472662037035</v>
      </c>
      <c r="G3020" s="232"/>
      <c r="H3020" s="73" t="s">
        <v>1615</v>
      </c>
      <c r="I3020" s="243" t="s">
        <v>1651</v>
      </c>
      <c r="J3020" s="67">
        <v>111.01</v>
      </c>
      <c r="K3020" s="242"/>
      <c r="L3020" s="224"/>
      <c r="M3020" s="224">
        <v>60162000</v>
      </c>
      <c r="N3020" s="224"/>
      <c r="O3020" s="243"/>
      <c r="P3020" s="69" t="str">
        <f t="shared" si="192"/>
        <v>BNI IDR 768</v>
      </c>
      <c r="Q3020" s="61"/>
    </row>
    <row r="3021" spans="1:17" hidden="1" x14ac:dyDescent="0.25">
      <c r="A3021" s="60" t="str">
        <f t="shared" si="190"/>
        <v>328111,01</v>
      </c>
      <c r="B3021" s="60">
        <f>COUNTIF($J$7:J3021,J3021)</f>
        <v>328</v>
      </c>
      <c r="C3021" s="60" t="str">
        <f t="shared" si="191"/>
        <v>0</v>
      </c>
      <c r="D3021" s="60">
        <f>COUNTIF($K$7:K3021,K3021)</f>
        <v>0</v>
      </c>
      <c r="E3021" s="61"/>
      <c r="F3021" s="239">
        <v>44627.485752314817</v>
      </c>
      <c r="G3021" s="232"/>
      <c r="H3021" s="73" t="s">
        <v>1615</v>
      </c>
      <c r="I3021" s="243" t="s">
        <v>1655</v>
      </c>
      <c r="J3021" s="67">
        <v>111.01</v>
      </c>
      <c r="K3021" s="242"/>
      <c r="L3021" s="224"/>
      <c r="M3021" s="223">
        <v>81787</v>
      </c>
      <c r="N3021" s="223"/>
      <c r="O3021" s="243"/>
      <c r="P3021" s="69" t="str">
        <f t="shared" si="192"/>
        <v>BNI IDR 768</v>
      </c>
      <c r="Q3021" s="61"/>
    </row>
    <row r="3022" spans="1:17" hidden="1" x14ac:dyDescent="0.25">
      <c r="A3022" s="60" t="str">
        <f t="shared" si="190"/>
        <v>329111,01</v>
      </c>
      <c r="B3022" s="60">
        <f>COUNTIF($J$7:J3022,J3022)</f>
        <v>329</v>
      </c>
      <c r="C3022" s="60" t="str">
        <f t="shared" si="191"/>
        <v>0</v>
      </c>
      <c r="D3022" s="60">
        <f>COUNTIF($K$7:K3022,K3022)</f>
        <v>0</v>
      </c>
      <c r="E3022" s="61"/>
      <c r="F3022" s="239">
        <v>44627</v>
      </c>
      <c r="G3022" s="232"/>
      <c r="H3022" s="73" t="s">
        <v>1615</v>
      </c>
      <c r="I3022" s="243" t="s">
        <v>1656</v>
      </c>
      <c r="J3022" s="67">
        <v>111.01</v>
      </c>
      <c r="K3022" s="242"/>
      <c r="L3022" s="224"/>
      <c r="M3022" s="223">
        <v>10678000</v>
      </c>
      <c r="N3022" s="223"/>
      <c r="O3022" s="243"/>
      <c r="P3022" s="69" t="str">
        <f t="shared" si="192"/>
        <v>BNI IDR 768</v>
      </c>
      <c r="Q3022" s="61"/>
    </row>
    <row r="3023" spans="1:17" hidden="1" x14ac:dyDescent="0.25">
      <c r="A3023" s="60" t="str">
        <f t="shared" si="190"/>
        <v>330111,01</v>
      </c>
      <c r="B3023" s="60">
        <f>COUNTIF($J$7:J3023,J3023)</f>
        <v>330</v>
      </c>
      <c r="C3023" s="60" t="str">
        <f t="shared" si="191"/>
        <v>0</v>
      </c>
      <c r="D3023" s="60">
        <f>COUNTIF($K$7:K3023,K3023)</f>
        <v>0</v>
      </c>
      <c r="E3023" s="61"/>
      <c r="F3023" s="239">
        <v>44627.634664351855</v>
      </c>
      <c r="G3023" s="232"/>
      <c r="H3023" s="73" t="s">
        <v>1615</v>
      </c>
      <c r="I3023" s="243" t="s">
        <v>282</v>
      </c>
      <c r="J3023" s="67">
        <v>111.01</v>
      </c>
      <c r="K3023" s="242"/>
      <c r="L3023" s="224"/>
      <c r="M3023" s="223">
        <v>6500</v>
      </c>
      <c r="N3023" s="223"/>
      <c r="O3023" s="243"/>
      <c r="P3023" s="69" t="str">
        <f t="shared" si="192"/>
        <v>BNI IDR 768</v>
      </c>
      <c r="Q3023" s="61"/>
    </row>
    <row r="3024" spans="1:17" hidden="1" x14ac:dyDescent="0.25">
      <c r="A3024" s="60" t="str">
        <f t="shared" si="190"/>
        <v>331111,01</v>
      </c>
      <c r="B3024" s="60">
        <f>COUNTIF($J$7:J3024,J3024)</f>
        <v>331</v>
      </c>
      <c r="C3024" s="60" t="str">
        <f t="shared" si="191"/>
        <v>0</v>
      </c>
      <c r="D3024" s="60">
        <f>COUNTIF($K$7:K3024,K3024)</f>
        <v>0</v>
      </c>
      <c r="E3024" s="61"/>
      <c r="F3024" s="239">
        <v>44627.71371527778</v>
      </c>
      <c r="G3024" s="232"/>
      <c r="H3024" s="73" t="s">
        <v>1615</v>
      </c>
      <c r="I3024" s="243" t="s">
        <v>1657</v>
      </c>
      <c r="J3024" s="67">
        <v>111.01</v>
      </c>
      <c r="K3024" s="242"/>
      <c r="L3024" s="224">
        <v>251834880</v>
      </c>
      <c r="M3024" s="223"/>
      <c r="N3024" s="223"/>
      <c r="O3024" s="243"/>
      <c r="P3024" s="69" t="str">
        <f t="shared" si="192"/>
        <v>BNI IDR 768</v>
      </c>
      <c r="Q3024" s="61"/>
    </row>
    <row r="3025" spans="1:17" hidden="1" x14ac:dyDescent="0.25">
      <c r="A3025" s="60" t="str">
        <f t="shared" si="190"/>
        <v>625112</v>
      </c>
      <c r="B3025" s="60">
        <f>COUNTIF($J$7:J3025,J3025)</f>
        <v>625</v>
      </c>
      <c r="C3025" s="60" t="str">
        <f t="shared" si="191"/>
        <v>5112,03</v>
      </c>
      <c r="D3025" s="60">
        <f>COUNTIF($K$7:K3025,K3025)</f>
        <v>5</v>
      </c>
      <c r="E3025" s="61"/>
      <c r="F3025" s="239">
        <v>44627.71371527778</v>
      </c>
      <c r="G3025" s="164" t="s">
        <v>149</v>
      </c>
      <c r="H3025" s="73" t="s">
        <v>1615</v>
      </c>
      <c r="I3025" s="243" t="s">
        <v>1657</v>
      </c>
      <c r="J3025" s="265">
        <v>112</v>
      </c>
      <c r="K3025" s="80">
        <v>112.03</v>
      </c>
      <c r="L3025" s="224"/>
      <c r="M3025" s="223">
        <v>251834880</v>
      </c>
      <c r="N3025" s="223"/>
      <c r="O3025" s="243"/>
      <c r="P3025" s="69" t="str">
        <f t="shared" si="192"/>
        <v>Piutang Usaha</v>
      </c>
      <c r="Q3025" s="61"/>
    </row>
    <row r="3026" spans="1:17" hidden="1" x14ac:dyDescent="0.25">
      <c r="A3026" s="60" t="str">
        <f t="shared" si="190"/>
        <v>2512,05</v>
      </c>
      <c r="B3026" s="60">
        <f>COUNTIF($J$7:J3026,J3026)</f>
        <v>2</v>
      </c>
      <c r="C3026" s="60" t="str">
        <f t="shared" si="191"/>
        <v>0</v>
      </c>
      <c r="D3026" s="60">
        <f>COUNTIF($K$7:K3026,K3026)</f>
        <v>0</v>
      </c>
      <c r="E3026" s="61"/>
      <c r="F3026" s="239">
        <v>44627.71371527778</v>
      </c>
      <c r="G3026" s="232"/>
      <c r="H3026" s="73" t="s">
        <v>1615</v>
      </c>
      <c r="I3026" s="243" t="s">
        <v>1658</v>
      </c>
      <c r="J3026" s="238">
        <v>512.04999999999995</v>
      </c>
      <c r="K3026" s="242"/>
      <c r="L3026" s="224">
        <v>7800000</v>
      </c>
      <c r="M3026" s="223"/>
      <c r="N3026" s="223"/>
      <c r="O3026" s="243"/>
      <c r="P3026" s="69" t="str">
        <f t="shared" si="192"/>
        <v>Beban Operasional Marketing Lainnya</v>
      </c>
      <c r="Q3026" s="61"/>
    </row>
    <row r="3027" spans="1:17" hidden="1" x14ac:dyDescent="0.25">
      <c r="A3027" s="60" t="str">
        <f t="shared" si="190"/>
        <v>24211,02</v>
      </c>
      <c r="B3027" s="60">
        <f>COUNTIF($J$7:J3027,J3027)</f>
        <v>24</v>
      </c>
      <c r="C3027" s="60" t="str">
        <f t="shared" si="191"/>
        <v>0</v>
      </c>
      <c r="D3027" s="60">
        <f>COUNTIF($K$7:K3027,K3027)</f>
        <v>0</v>
      </c>
      <c r="E3027" s="61"/>
      <c r="F3027" s="239">
        <v>44627.713738425926</v>
      </c>
      <c r="G3027" s="232"/>
      <c r="H3027" s="73" t="s">
        <v>1615</v>
      </c>
      <c r="I3027" s="243" t="s">
        <v>1659</v>
      </c>
      <c r="J3027" s="67">
        <v>211.02</v>
      </c>
      <c r="K3027" s="242"/>
      <c r="L3027" s="224">
        <v>15000</v>
      </c>
      <c r="M3027" s="223"/>
      <c r="N3027" s="223"/>
      <c r="O3027" s="61" t="s">
        <v>943</v>
      </c>
      <c r="P3027" s="69" t="str">
        <f t="shared" si="192"/>
        <v>Hutang PPh 21</v>
      </c>
      <c r="Q3027" s="61"/>
    </row>
    <row r="3028" spans="1:17" hidden="1" x14ac:dyDescent="0.25">
      <c r="A3028" s="60" t="str">
        <f t="shared" si="190"/>
        <v>63119</v>
      </c>
      <c r="B3028" s="60">
        <f>COUNTIF($J$7:J3028,J3028)</f>
        <v>63</v>
      </c>
      <c r="C3028" s="60" t="str">
        <f t="shared" si="191"/>
        <v>24119,01</v>
      </c>
      <c r="D3028" s="60">
        <f>COUNTIF($K$7:K3028,K3028)</f>
        <v>24</v>
      </c>
      <c r="E3028" s="61"/>
      <c r="F3028" s="239">
        <v>44628.462800925925</v>
      </c>
      <c r="G3028" s="232"/>
      <c r="H3028" s="73" t="s">
        <v>1615</v>
      </c>
      <c r="I3028" s="243" t="s">
        <v>1660</v>
      </c>
      <c r="J3028" s="67">
        <v>119</v>
      </c>
      <c r="K3028" s="242">
        <v>119.01</v>
      </c>
      <c r="L3028" s="224">
        <v>2300000</v>
      </c>
      <c r="M3028" s="223"/>
      <c r="N3028" s="223"/>
      <c r="O3028" s="243"/>
      <c r="P3028" s="69" t="str">
        <f t="shared" si="192"/>
        <v>Uang Muka Biaya Pengiriman dan Perjalanan Dinas Marketing</v>
      </c>
      <c r="Q3028" s="61"/>
    </row>
    <row r="3029" spans="1:17" hidden="1" x14ac:dyDescent="0.25">
      <c r="A3029" s="60" t="str">
        <f t="shared" si="190"/>
        <v>332111,01</v>
      </c>
      <c r="B3029" s="60">
        <f>COUNTIF($J$7:J3029,J3029)</f>
        <v>332</v>
      </c>
      <c r="C3029" s="60" t="str">
        <f t="shared" si="191"/>
        <v>0</v>
      </c>
      <c r="D3029" s="60">
        <f>COUNTIF($K$7:K3029,K3029)</f>
        <v>0</v>
      </c>
      <c r="E3029" s="61"/>
      <c r="F3029" s="239">
        <v>44627.71371527778</v>
      </c>
      <c r="G3029" s="232"/>
      <c r="H3029" s="73" t="s">
        <v>1615</v>
      </c>
      <c r="I3029" s="243" t="s">
        <v>1661</v>
      </c>
      <c r="J3029" s="67">
        <v>111.01</v>
      </c>
      <c r="K3029" s="242"/>
      <c r="L3029" s="224"/>
      <c r="M3029" s="223">
        <v>7800000</v>
      </c>
      <c r="N3029" s="223"/>
      <c r="O3029" s="243"/>
      <c r="P3029" s="69" t="str">
        <f t="shared" si="192"/>
        <v>BNI IDR 768</v>
      </c>
      <c r="Q3029" s="61"/>
    </row>
    <row r="3030" spans="1:17" hidden="1" x14ac:dyDescent="0.25">
      <c r="A3030" s="60" t="str">
        <f t="shared" si="190"/>
        <v>333111,01</v>
      </c>
      <c r="B3030" s="60">
        <f>COUNTIF($J$7:J3030,J3030)</f>
        <v>333</v>
      </c>
      <c r="C3030" s="60" t="str">
        <f t="shared" si="191"/>
        <v>0</v>
      </c>
      <c r="D3030" s="60">
        <f>COUNTIF($K$7:K3030,K3030)</f>
        <v>0</v>
      </c>
      <c r="E3030" s="61"/>
      <c r="F3030" s="239">
        <v>44627.713738425926</v>
      </c>
      <c r="G3030" s="232"/>
      <c r="H3030" s="73" t="s">
        <v>1615</v>
      </c>
      <c r="I3030" s="243" t="s">
        <v>1662</v>
      </c>
      <c r="J3030" s="67">
        <v>111.01</v>
      </c>
      <c r="K3030" s="242"/>
      <c r="L3030" s="224"/>
      <c r="M3030" s="223">
        <v>15000</v>
      </c>
      <c r="N3030" s="223"/>
      <c r="O3030" s="243"/>
      <c r="P3030" s="69" t="str">
        <f t="shared" si="192"/>
        <v>BNI IDR 768</v>
      </c>
      <c r="Q3030" s="61"/>
    </row>
    <row r="3031" spans="1:17" hidden="1" x14ac:dyDescent="0.25">
      <c r="A3031" s="60" t="str">
        <f t="shared" si="190"/>
        <v>334111,01</v>
      </c>
      <c r="B3031" s="60">
        <f>COUNTIF($J$7:J3031,J3031)</f>
        <v>334</v>
      </c>
      <c r="C3031" s="60" t="str">
        <f t="shared" si="191"/>
        <v>0</v>
      </c>
      <c r="D3031" s="60">
        <f>COUNTIF($K$7:K3031,K3031)</f>
        <v>0</v>
      </c>
      <c r="E3031" s="61"/>
      <c r="F3031" s="239">
        <v>44628.462800925925</v>
      </c>
      <c r="G3031" s="232"/>
      <c r="H3031" s="73" t="s">
        <v>1615</v>
      </c>
      <c r="I3031" s="243" t="s">
        <v>1663</v>
      </c>
      <c r="J3031" s="67">
        <v>111.01</v>
      </c>
      <c r="K3031" s="242"/>
      <c r="L3031" s="224"/>
      <c r="M3031" s="223">
        <v>2300000</v>
      </c>
      <c r="N3031" s="223"/>
      <c r="O3031" s="243"/>
      <c r="P3031" s="69" t="str">
        <f t="shared" si="192"/>
        <v>BNI IDR 768</v>
      </c>
      <c r="Q3031" s="61"/>
    </row>
    <row r="3032" spans="1:17" hidden="1" x14ac:dyDescent="0.25">
      <c r="A3032" s="60" t="str">
        <f t="shared" si="190"/>
        <v>335111,01</v>
      </c>
      <c r="B3032" s="60">
        <f>COUNTIF($J$7:J3032,J3032)</f>
        <v>335</v>
      </c>
      <c r="C3032" s="60" t="str">
        <f t="shared" si="191"/>
        <v>0</v>
      </c>
      <c r="D3032" s="60">
        <f>COUNTIF($K$7:K3032,K3032)</f>
        <v>0</v>
      </c>
      <c r="E3032" s="61"/>
      <c r="F3032" s="239">
        <v>44629.610300925924</v>
      </c>
      <c r="G3032" s="232"/>
      <c r="H3032" s="73" t="s">
        <v>1615</v>
      </c>
      <c r="I3032" s="243" t="s">
        <v>1664</v>
      </c>
      <c r="J3032" s="67">
        <v>111.01</v>
      </c>
      <c r="K3032" s="242"/>
      <c r="L3032" s="224">
        <v>15000</v>
      </c>
      <c r="M3032" s="223"/>
      <c r="N3032" s="223"/>
      <c r="O3032" s="243"/>
      <c r="P3032" s="69" t="str">
        <f t="shared" si="192"/>
        <v>BNI IDR 768</v>
      </c>
      <c r="Q3032" s="61"/>
    </row>
    <row r="3033" spans="1:17" hidden="1" x14ac:dyDescent="0.25">
      <c r="A3033" s="60" t="str">
        <f t="shared" si="190"/>
        <v>5610,13</v>
      </c>
      <c r="B3033" s="60">
        <f>COUNTIF($J$7:J3033,J3033)</f>
        <v>5</v>
      </c>
      <c r="C3033" s="60" t="str">
        <f t="shared" si="191"/>
        <v>0</v>
      </c>
      <c r="D3033" s="60">
        <f>COUNTIF($K$7:K3033,K3033)</f>
        <v>0</v>
      </c>
      <c r="E3033" s="61"/>
      <c r="F3033" s="239">
        <v>44629.610300925924</v>
      </c>
      <c r="G3033" s="232"/>
      <c r="H3033" s="73" t="s">
        <v>1615</v>
      </c>
      <c r="I3033" s="243" t="s">
        <v>1665</v>
      </c>
      <c r="J3033" s="61">
        <v>610.13</v>
      </c>
      <c r="K3033" s="242"/>
      <c r="L3033" s="224"/>
      <c r="M3033" s="223">
        <v>15000</v>
      </c>
      <c r="N3033" s="223"/>
      <c r="O3033" s="243"/>
      <c r="P3033" s="69" t="str">
        <f t="shared" si="192"/>
        <v>Biaya Pemeliharaan Peralatan dan Inventaris Kantor</v>
      </c>
      <c r="Q3033" s="61"/>
    </row>
    <row r="3034" spans="1:17" hidden="1" x14ac:dyDescent="0.25">
      <c r="A3034" s="60" t="str">
        <f t="shared" si="190"/>
        <v>30610,1</v>
      </c>
      <c r="B3034" s="60">
        <f>COUNTIF($J$7:J3034,J3034)</f>
        <v>30</v>
      </c>
      <c r="C3034" s="60" t="str">
        <f t="shared" si="191"/>
        <v>0</v>
      </c>
      <c r="D3034" s="60">
        <f>COUNTIF($K$7:K3034,K3034)</f>
        <v>0</v>
      </c>
      <c r="E3034" s="61"/>
      <c r="F3034" s="239">
        <v>44629.610300925924</v>
      </c>
      <c r="G3034" s="232"/>
      <c r="H3034" s="73" t="s">
        <v>1615</v>
      </c>
      <c r="I3034" s="243" t="s">
        <v>1666</v>
      </c>
      <c r="J3034" s="221">
        <v>610.1</v>
      </c>
      <c r="K3034" s="242"/>
      <c r="L3034" s="224">
        <v>61430</v>
      </c>
      <c r="M3034" s="223"/>
      <c r="N3034" s="223"/>
      <c r="O3034" s="243"/>
      <c r="P3034" s="69" t="str">
        <f t="shared" si="192"/>
        <v>Biaya Rumah Tangga Kantor</v>
      </c>
      <c r="Q3034" s="61"/>
    </row>
    <row r="3035" spans="1:17" hidden="1" x14ac:dyDescent="0.25">
      <c r="A3035" s="60" t="str">
        <f t="shared" si="190"/>
        <v>27610,09</v>
      </c>
      <c r="B3035" s="60">
        <f>COUNTIF($J$7:J3035,J3035)</f>
        <v>27</v>
      </c>
      <c r="C3035" s="60" t="str">
        <f t="shared" si="191"/>
        <v>0</v>
      </c>
      <c r="D3035" s="60">
        <f>COUNTIF($K$7:K3035,K3035)</f>
        <v>0</v>
      </c>
      <c r="E3035" s="61"/>
      <c r="F3035" s="239">
        <v>44629.610300925924</v>
      </c>
      <c r="G3035" s="232"/>
      <c r="H3035" s="73" t="s">
        <v>1615</v>
      </c>
      <c r="I3035" s="243" t="s">
        <v>1667</v>
      </c>
      <c r="J3035" s="221">
        <v>610.09</v>
      </c>
      <c r="K3035" s="242"/>
      <c r="L3035" s="224">
        <v>703857</v>
      </c>
      <c r="M3035" s="223"/>
      <c r="N3035" s="223"/>
      <c r="O3035" s="243"/>
      <c r="P3035" s="69" t="str">
        <f t="shared" si="192"/>
        <v>Biaya ATK &amp; Perlengkapan Kantor</v>
      </c>
      <c r="Q3035" s="61"/>
    </row>
    <row r="3036" spans="1:17" hidden="1" x14ac:dyDescent="0.25">
      <c r="A3036" s="60" t="str">
        <f t="shared" si="190"/>
        <v>12610,15</v>
      </c>
      <c r="B3036" s="60">
        <f>COUNTIF($J$7:J3036,J3036)</f>
        <v>12</v>
      </c>
      <c r="C3036" s="60" t="str">
        <f t="shared" si="191"/>
        <v>0</v>
      </c>
      <c r="D3036" s="60">
        <f>COUNTIF($K$7:K3036,K3036)</f>
        <v>0</v>
      </c>
      <c r="E3036" s="61"/>
      <c r="F3036" s="239">
        <v>44629</v>
      </c>
      <c r="G3036" s="232"/>
      <c r="H3036" s="73" t="s">
        <v>1615</v>
      </c>
      <c r="I3036" s="243" t="s">
        <v>1668</v>
      </c>
      <c r="J3036" s="221">
        <v>610.15</v>
      </c>
      <c r="K3036" s="242"/>
      <c r="L3036" s="224">
        <v>1000000</v>
      </c>
      <c r="M3036" s="223"/>
      <c r="N3036" s="223"/>
      <c r="O3036" s="243"/>
      <c r="P3036" s="69" t="str">
        <f t="shared" si="192"/>
        <v>Biaya Pemeliharaan Lingkungan (Keamanan dan Kebersihan)</v>
      </c>
      <c r="Q3036" s="61"/>
    </row>
    <row r="3037" spans="1:17" hidden="1" x14ac:dyDescent="0.25">
      <c r="A3037" s="60" t="str">
        <f t="shared" si="190"/>
        <v>11610,07</v>
      </c>
      <c r="B3037" s="60">
        <f>COUNTIF($J$7:J3037,J3037)</f>
        <v>11</v>
      </c>
      <c r="C3037" s="60" t="str">
        <f t="shared" si="191"/>
        <v>0</v>
      </c>
      <c r="D3037" s="60">
        <f>COUNTIF($K$7:K3037,K3037)</f>
        <v>0</v>
      </c>
      <c r="E3037" s="61"/>
      <c r="F3037" s="239">
        <v>44629</v>
      </c>
      <c r="G3037" s="232"/>
      <c r="H3037" s="73" t="s">
        <v>1615</v>
      </c>
      <c r="I3037" s="243" t="s">
        <v>1669</v>
      </c>
      <c r="J3037" s="221">
        <v>610.07000000000005</v>
      </c>
      <c r="K3037" s="242"/>
      <c r="L3037" s="224">
        <v>29160</v>
      </c>
      <c r="M3037" s="223"/>
      <c r="N3037" s="223"/>
      <c r="O3037" s="243"/>
      <c r="P3037" s="69" t="str">
        <f t="shared" si="192"/>
        <v>Biaya PAM/Air Gedung</v>
      </c>
      <c r="Q3037" s="61"/>
    </row>
    <row r="3038" spans="1:17" hidden="1" x14ac:dyDescent="0.25">
      <c r="A3038" s="60" t="str">
        <f t="shared" si="190"/>
        <v>80810,01</v>
      </c>
      <c r="B3038" s="60">
        <f>COUNTIF($J$7:J3038,J3038)</f>
        <v>80</v>
      </c>
      <c r="C3038" s="60" t="str">
        <f t="shared" si="191"/>
        <v>0</v>
      </c>
      <c r="D3038" s="60">
        <f>COUNTIF($K$7:K3038,K3038)</f>
        <v>0</v>
      </c>
      <c r="E3038" s="61"/>
      <c r="F3038" s="239">
        <v>44629.610300925924</v>
      </c>
      <c r="G3038" s="232"/>
      <c r="H3038" s="73" t="s">
        <v>1615</v>
      </c>
      <c r="I3038" s="243" t="s">
        <v>282</v>
      </c>
      <c r="J3038" s="221">
        <v>810.01</v>
      </c>
      <c r="K3038" s="242"/>
      <c r="L3038" s="224">
        <v>6500</v>
      </c>
      <c r="M3038" s="223"/>
      <c r="N3038" s="223"/>
      <c r="O3038" s="243"/>
      <c r="P3038" s="69" t="str">
        <f t="shared" si="192"/>
        <v>Biaya Admin Transfer dan Rek</v>
      </c>
      <c r="Q3038" s="61"/>
    </row>
    <row r="3039" spans="1:17" hidden="1" x14ac:dyDescent="0.25">
      <c r="A3039" s="60" t="str">
        <f t="shared" si="190"/>
        <v>13610,15</v>
      </c>
      <c r="B3039" s="60">
        <f>COUNTIF($J$7:J3039,J3039)</f>
        <v>13</v>
      </c>
      <c r="C3039" s="60" t="str">
        <f t="shared" si="191"/>
        <v>0</v>
      </c>
      <c r="D3039" s="60">
        <f>COUNTIF($K$7:K3039,K3039)</f>
        <v>0</v>
      </c>
      <c r="E3039" s="61"/>
      <c r="F3039" s="239">
        <v>44629</v>
      </c>
      <c r="G3039" s="232"/>
      <c r="H3039" s="73" t="s">
        <v>1615</v>
      </c>
      <c r="I3039" s="243" t="s">
        <v>1670</v>
      </c>
      <c r="J3039" s="221">
        <v>610.15</v>
      </c>
      <c r="K3039" s="242"/>
      <c r="L3039" s="224">
        <v>644000</v>
      </c>
      <c r="M3039" s="223"/>
      <c r="N3039" s="223"/>
      <c r="O3039" s="243"/>
      <c r="P3039" s="69" t="str">
        <f t="shared" si="192"/>
        <v>Biaya Pemeliharaan Lingkungan (Keamanan dan Kebersihan)</v>
      </c>
      <c r="Q3039" s="61"/>
    </row>
    <row r="3040" spans="1:17" hidden="1" x14ac:dyDescent="0.25">
      <c r="A3040" s="60" t="str">
        <f t="shared" si="190"/>
        <v>12610,07</v>
      </c>
      <c r="B3040" s="60">
        <f>COUNTIF($J$7:J3040,J3040)</f>
        <v>12</v>
      </c>
      <c r="C3040" s="60" t="str">
        <f t="shared" si="191"/>
        <v>0</v>
      </c>
      <c r="D3040" s="60">
        <f>COUNTIF($K$7:K3040,K3040)</f>
        <v>0</v>
      </c>
      <c r="E3040" s="61"/>
      <c r="F3040" s="239">
        <v>44629</v>
      </c>
      <c r="G3040" s="232"/>
      <c r="H3040" s="73" t="s">
        <v>1615</v>
      </c>
      <c r="I3040" s="243" t="s">
        <v>1671</v>
      </c>
      <c r="J3040" s="221">
        <v>610.07000000000005</v>
      </c>
      <c r="K3040" s="242"/>
      <c r="L3040" s="224">
        <v>31000</v>
      </c>
      <c r="M3040" s="223"/>
      <c r="N3040" s="223"/>
      <c r="O3040" s="243"/>
      <c r="P3040" s="69" t="str">
        <f t="shared" si="192"/>
        <v>Biaya PAM/Air Gedung</v>
      </c>
      <c r="Q3040" s="61"/>
    </row>
    <row r="3041" spans="1:17" hidden="1" x14ac:dyDescent="0.25">
      <c r="A3041" s="60" t="str">
        <f t="shared" si="190"/>
        <v>14610,15</v>
      </c>
      <c r="B3041" s="60">
        <f>COUNTIF($J$7:J3041,J3041)</f>
        <v>14</v>
      </c>
      <c r="C3041" s="60" t="str">
        <f t="shared" si="191"/>
        <v>0</v>
      </c>
      <c r="D3041" s="60">
        <f>COUNTIF($K$7:K3041,K3041)</f>
        <v>0</v>
      </c>
      <c r="E3041" s="61"/>
      <c r="F3041" s="239">
        <v>44629</v>
      </c>
      <c r="G3041" s="232"/>
      <c r="H3041" s="73" t="s">
        <v>1615</v>
      </c>
      <c r="I3041" s="243" t="s">
        <v>1672</v>
      </c>
      <c r="J3041" s="221">
        <v>610.15</v>
      </c>
      <c r="K3041" s="242"/>
      <c r="L3041" s="224">
        <v>1000000</v>
      </c>
      <c r="M3041" s="223"/>
      <c r="N3041" s="223"/>
      <c r="O3041" s="243"/>
      <c r="P3041" s="69" t="str">
        <f t="shared" si="192"/>
        <v>Biaya Pemeliharaan Lingkungan (Keamanan dan Kebersihan)</v>
      </c>
      <c r="Q3041" s="61"/>
    </row>
    <row r="3042" spans="1:17" hidden="1" x14ac:dyDescent="0.25">
      <c r="A3042" s="60" t="str">
        <f t="shared" si="190"/>
        <v>13610,07</v>
      </c>
      <c r="B3042" s="60">
        <f>COUNTIF($J$7:J3042,J3042)</f>
        <v>13</v>
      </c>
      <c r="C3042" s="60" t="str">
        <f t="shared" si="191"/>
        <v>0</v>
      </c>
      <c r="D3042" s="60">
        <f>COUNTIF($K$7:K3042,K3042)</f>
        <v>0</v>
      </c>
      <c r="E3042" s="61"/>
      <c r="F3042" s="239">
        <v>44629</v>
      </c>
      <c r="G3042" s="232"/>
      <c r="H3042" s="73" t="s">
        <v>1615</v>
      </c>
      <c r="I3042" s="243" t="s">
        <v>1673</v>
      </c>
      <c r="J3042" s="221">
        <v>610.07000000000005</v>
      </c>
      <c r="K3042" s="242"/>
      <c r="L3042" s="224">
        <v>37400</v>
      </c>
      <c r="M3042" s="223"/>
      <c r="N3042" s="223"/>
      <c r="O3042" s="243"/>
      <c r="P3042" s="69" t="str">
        <f t="shared" si="192"/>
        <v>Biaya PAM/Air Gedung</v>
      </c>
      <c r="Q3042" s="61"/>
    </row>
    <row r="3043" spans="1:17" hidden="1" x14ac:dyDescent="0.25">
      <c r="A3043" s="60" t="str">
        <f t="shared" si="190"/>
        <v>15610,15</v>
      </c>
      <c r="B3043" s="60">
        <f>COUNTIF($J$7:J3043,J3043)</f>
        <v>15</v>
      </c>
      <c r="C3043" s="60" t="str">
        <f t="shared" si="191"/>
        <v>0</v>
      </c>
      <c r="D3043" s="60">
        <f>COUNTIF($K$7:K3043,K3043)</f>
        <v>0</v>
      </c>
      <c r="E3043" s="61"/>
      <c r="F3043" s="239">
        <v>44629</v>
      </c>
      <c r="G3043" s="232"/>
      <c r="H3043" s="73" t="s">
        <v>1615</v>
      </c>
      <c r="I3043" s="243" t="s">
        <v>1674</v>
      </c>
      <c r="J3043" s="221">
        <v>610.15</v>
      </c>
      <c r="K3043" s="242"/>
      <c r="L3043" s="224">
        <v>1000000</v>
      </c>
      <c r="M3043" s="223"/>
      <c r="N3043" s="223"/>
      <c r="O3043" s="243"/>
      <c r="P3043" s="69" t="str">
        <f t="shared" si="192"/>
        <v>Biaya Pemeliharaan Lingkungan (Keamanan dan Kebersihan)</v>
      </c>
      <c r="Q3043" s="61"/>
    </row>
    <row r="3044" spans="1:17" hidden="1" x14ac:dyDescent="0.25">
      <c r="A3044" s="60" t="str">
        <f t="shared" si="190"/>
        <v>14610,07</v>
      </c>
      <c r="B3044" s="60">
        <f>COUNTIF($J$7:J3044,J3044)</f>
        <v>14</v>
      </c>
      <c r="C3044" s="60" t="str">
        <f t="shared" si="191"/>
        <v>0</v>
      </c>
      <c r="D3044" s="60">
        <f>COUNTIF($K$7:K3044,K3044)</f>
        <v>0</v>
      </c>
      <c r="E3044" s="61"/>
      <c r="F3044" s="239">
        <v>44629</v>
      </c>
      <c r="G3044" s="232"/>
      <c r="H3044" s="73" t="s">
        <v>1615</v>
      </c>
      <c r="I3044" s="243" t="s">
        <v>1675</v>
      </c>
      <c r="J3044" s="221">
        <v>610.07000000000005</v>
      </c>
      <c r="K3044" s="242"/>
      <c r="L3044" s="224">
        <v>114400</v>
      </c>
      <c r="M3044" s="223"/>
      <c r="N3044" s="223"/>
      <c r="O3044" s="243"/>
      <c r="P3044" s="69" t="str">
        <f t="shared" si="192"/>
        <v>Biaya PAM/Air Gedung</v>
      </c>
      <c r="Q3044" s="61"/>
    </row>
    <row r="3045" spans="1:17" hidden="1" x14ac:dyDescent="0.25">
      <c r="A3045" s="60" t="str">
        <f t="shared" si="190"/>
        <v>81810,01</v>
      </c>
      <c r="B3045" s="60">
        <f>COUNTIF($J$7:J3045,J3045)</f>
        <v>81</v>
      </c>
      <c r="C3045" s="60" t="str">
        <f t="shared" si="191"/>
        <v>0</v>
      </c>
      <c r="D3045" s="60">
        <f>COUNTIF($K$7:K3045,K3045)</f>
        <v>0</v>
      </c>
      <c r="E3045" s="61"/>
      <c r="F3045" s="239">
        <v>44629.610312500001</v>
      </c>
      <c r="G3045" s="232"/>
      <c r="H3045" s="73" t="s">
        <v>1615</v>
      </c>
      <c r="I3045" s="243" t="s">
        <v>282</v>
      </c>
      <c r="J3045" s="221">
        <v>810.01</v>
      </c>
      <c r="K3045" s="242"/>
      <c r="L3045" s="224">
        <v>6500</v>
      </c>
      <c r="M3045" s="223"/>
      <c r="N3045" s="223"/>
      <c r="O3045" s="243"/>
      <c r="P3045" s="69" t="str">
        <f t="shared" si="192"/>
        <v>Biaya Admin Transfer dan Rek</v>
      </c>
      <c r="Q3045" s="61"/>
    </row>
    <row r="3046" spans="1:17" hidden="1" x14ac:dyDescent="0.25">
      <c r="A3046" s="60" t="str">
        <f t="shared" si="190"/>
        <v>31610,1</v>
      </c>
      <c r="B3046" s="60">
        <f>COUNTIF($J$7:J3046,J3046)</f>
        <v>31</v>
      </c>
      <c r="C3046" s="60" t="str">
        <f t="shared" si="191"/>
        <v>0</v>
      </c>
      <c r="D3046" s="60">
        <f>COUNTIF($K$7:K3046,K3046)</f>
        <v>0</v>
      </c>
      <c r="E3046" s="61"/>
      <c r="F3046" s="239">
        <v>44629.610312500001</v>
      </c>
      <c r="G3046" s="232"/>
      <c r="H3046" s="73" t="s">
        <v>1615</v>
      </c>
      <c r="I3046" s="243" t="s">
        <v>1676</v>
      </c>
      <c r="J3046" s="221">
        <v>610.1</v>
      </c>
      <c r="K3046" s="242"/>
      <c r="L3046" s="224">
        <v>55911</v>
      </c>
      <c r="M3046" s="223"/>
      <c r="N3046" s="223"/>
      <c r="O3046" s="243"/>
      <c r="P3046" s="69" t="str">
        <f t="shared" si="192"/>
        <v>Biaya Rumah Tangga Kantor</v>
      </c>
      <c r="Q3046" s="61"/>
    </row>
    <row r="3047" spans="1:17" hidden="1" x14ac:dyDescent="0.25">
      <c r="A3047" s="60" t="str">
        <f t="shared" si="190"/>
        <v>28610,09</v>
      </c>
      <c r="B3047" s="60">
        <f>COUNTIF($J$7:J3047,J3047)</f>
        <v>28</v>
      </c>
      <c r="C3047" s="60" t="str">
        <f t="shared" si="191"/>
        <v>0</v>
      </c>
      <c r="D3047" s="60">
        <f>COUNTIF($K$7:K3047,K3047)</f>
        <v>0</v>
      </c>
      <c r="E3047" s="61"/>
      <c r="F3047" s="239">
        <v>44629.610324074078</v>
      </c>
      <c r="G3047" s="232"/>
      <c r="H3047" s="73" t="s">
        <v>1615</v>
      </c>
      <c r="I3047" s="243" t="s">
        <v>1677</v>
      </c>
      <c r="J3047" s="67">
        <v>610.09</v>
      </c>
      <c r="K3047" s="242"/>
      <c r="L3047" s="224">
        <v>212224</v>
      </c>
      <c r="M3047" s="223"/>
      <c r="N3047" s="223"/>
      <c r="O3047" s="243"/>
      <c r="P3047" s="69" t="str">
        <f t="shared" si="192"/>
        <v>Biaya ATK &amp; Perlengkapan Kantor</v>
      </c>
      <c r="Q3047" s="61"/>
    </row>
    <row r="3048" spans="1:17" hidden="1" x14ac:dyDescent="0.25">
      <c r="A3048" s="60" t="str">
        <f t="shared" si="190"/>
        <v>15610,07</v>
      </c>
      <c r="B3048" s="60">
        <f>COUNTIF($J$7:J3048,J3048)</f>
        <v>15</v>
      </c>
      <c r="C3048" s="60" t="str">
        <f t="shared" si="191"/>
        <v>0</v>
      </c>
      <c r="D3048" s="60">
        <f>COUNTIF($K$7:K3048,K3048)</f>
        <v>0</v>
      </c>
      <c r="E3048" s="61"/>
      <c r="F3048" s="239">
        <v>44629</v>
      </c>
      <c r="G3048" s="232"/>
      <c r="H3048" s="73" t="s">
        <v>1615</v>
      </c>
      <c r="I3048" s="243" t="s">
        <v>1678</v>
      </c>
      <c r="J3048" s="221">
        <v>610.07000000000005</v>
      </c>
      <c r="K3048" s="242"/>
      <c r="L3048" s="224">
        <v>22000</v>
      </c>
      <c r="M3048" s="223"/>
      <c r="N3048" s="223"/>
      <c r="O3048" s="243"/>
      <c r="P3048" s="69" t="str">
        <f t="shared" si="192"/>
        <v>Biaya PAM/Air Gedung</v>
      </c>
      <c r="Q3048" s="61"/>
    </row>
    <row r="3049" spans="1:17" hidden="1" x14ac:dyDescent="0.25">
      <c r="A3049" s="60" t="str">
        <f t="shared" si="190"/>
        <v>82810,01</v>
      </c>
      <c r="B3049" s="60">
        <f>COUNTIF($J$7:J3049,J3049)</f>
        <v>82</v>
      </c>
      <c r="C3049" s="60" t="str">
        <f t="shared" si="191"/>
        <v>0</v>
      </c>
      <c r="D3049" s="60">
        <f>COUNTIF($K$7:K3049,K3049)</f>
        <v>0</v>
      </c>
      <c r="E3049" s="61"/>
      <c r="F3049" s="239">
        <v>44629.791620370372</v>
      </c>
      <c r="G3049" s="232"/>
      <c r="H3049" s="73" t="s">
        <v>1615</v>
      </c>
      <c r="I3049" s="243" t="s">
        <v>282</v>
      </c>
      <c r="J3049" s="221">
        <v>810.01</v>
      </c>
      <c r="K3049" s="242"/>
      <c r="L3049" s="224">
        <v>6500</v>
      </c>
      <c r="M3049" s="223"/>
      <c r="N3049" s="223"/>
      <c r="O3049" s="243"/>
      <c r="P3049" s="69" t="str">
        <f t="shared" si="192"/>
        <v>Biaya Admin Transfer dan Rek</v>
      </c>
      <c r="Q3049" s="61"/>
    </row>
    <row r="3050" spans="1:17" hidden="1" x14ac:dyDescent="0.25">
      <c r="A3050" s="60" t="str">
        <f t="shared" si="190"/>
        <v>336111,01</v>
      </c>
      <c r="B3050" s="60">
        <f>COUNTIF($J$7:J3050,J3050)</f>
        <v>336</v>
      </c>
      <c r="C3050" s="60" t="str">
        <f t="shared" si="191"/>
        <v>0</v>
      </c>
      <c r="D3050" s="60">
        <f>COUNTIF($K$7:K3050,K3050)</f>
        <v>0</v>
      </c>
      <c r="E3050" s="61"/>
      <c r="F3050" s="239">
        <v>44629.610300925924</v>
      </c>
      <c r="G3050" s="232"/>
      <c r="H3050" s="73" t="s">
        <v>1615</v>
      </c>
      <c r="I3050" s="243" t="s">
        <v>1679</v>
      </c>
      <c r="J3050" s="67">
        <v>111.01</v>
      </c>
      <c r="K3050" s="242"/>
      <c r="L3050" s="224"/>
      <c r="M3050" s="223">
        <v>61430</v>
      </c>
      <c r="N3050" s="223"/>
      <c r="O3050" s="243"/>
      <c r="P3050" s="69" t="str">
        <f t="shared" si="192"/>
        <v>BNI IDR 768</v>
      </c>
      <c r="Q3050" s="61"/>
    </row>
    <row r="3051" spans="1:17" hidden="1" x14ac:dyDescent="0.25">
      <c r="A3051" s="60" t="str">
        <f t="shared" si="190"/>
        <v>337111,01</v>
      </c>
      <c r="B3051" s="60">
        <f>COUNTIF($J$7:J3051,J3051)</f>
        <v>337</v>
      </c>
      <c r="C3051" s="60" t="str">
        <f t="shared" si="191"/>
        <v>0</v>
      </c>
      <c r="D3051" s="60">
        <f>COUNTIF($K$7:K3051,K3051)</f>
        <v>0</v>
      </c>
      <c r="E3051" s="61"/>
      <c r="F3051" s="239">
        <v>44629.610300925924</v>
      </c>
      <c r="G3051" s="232"/>
      <c r="H3051" s="73" t="s">
        <v>1615</v>
      </c>
      <c r="I3051" s="243" t="s">
        <v>1680</v>
      </c>
      <c r="J3051" s="67">
        <v>111.01</v>
      </c>
      <c r="K3051" s="242"/>
      <c r="L3051" s="224"/>
      <c r="M3051" s="223">
        <v>703857</v>
      </c>
      <c r="N3051" s="223"/>
      <c r="O3051" s="243"/>
      <c r="P3051" s="69" t="str">
        <f t="shared" si="192"/>
        <v>BNI IDR 768</v>
      </c>
      <c r="Q3051" s="61"/>
    </row>
    <row r="3052" spans="1:17" hidden="1" x14ac:dyDescent="0.25">
      <c r="A3052" s="60" t="str">
        <f t="shared" si="190"/>
        <v>338111,01</v>
      </c>
      <c r="B3052" s="60">
        <f>COUNTIF($J$7:J3052,J3052)</f>
        <v>338</v>
      </c>
      <c r="C3052" s="60" t="str">
        <f t="shared" si="191"/>
        <v>0</v>
      </c>
      <c r="D3052" s="60">
        <f>COUNTIF($K$7:K3052,K3052)</f>
        <v>0</v>
      </c>
      <c r="E3052" s="61"/>
      <c r="F3052" s="239">
        <v>44629</v>
      </c>
      <c r="G3052" s="232"/>
      <c r="H3052" s="73" t="s">
        <v>1615</v>
      </c>
      <c r="I3052" s="243" t="s">
        <v>1681</v>
      </c>
      <c r="J3052" s="67">
        <v>111.01</v>
      </c>
      <c r="K3052" s="242"/>
      <c r="L3052" s="224"/>
      <c r="M3052" s="224">
        <v>1000000</v>
      </c>
      <c r="N3052" s="224"/>
      <c r="O3052" s="243"/>
      <c r="P3052" s="69" t="str">
        <f t="shared" si="192"/>
        <v>BNI IDR 768</v>
      </c>
      <c r="Q3052" s="61"/>
    </row>
    <row r="3053" spans="1:17" hidden="1" x14ac:dyDescent="0.25">
      <c r="A3053" s="60" t="str">
        <f t="shared" si="190"/>
        <v>339111,01</v>
      </c>
      <c r="B3053" s="60">
        <f>COUNTIF($J$7:J3053,J3053)</f>
        <v>339</v>
      </c>
      <c r="C3053" s="60" t="str">
        <f t="shared" si="191"/>
        <v>0</v>
      </c>
      <c r="D3053" s="60">
        <f>COUNTIF($K$7:K3053,K3053)</f>
        <v>0</v>
      </c>
      <c r="E3053" s="61"/>
      <c r="F3053" s="239">
        <v>44629</v>
      </c>
      <c r="G3053" s="232"/>
      <c r="H3053" s="73" t="s">
        <v>1615</v>
      </c>
      <c r="I3053" s="243" t="s">
        <v>1682</v>
      </c>
      <c r="J3053" s="67">
        <v>111.01</v>
      </c>
      <c r="K3053" s="242"/>
      <c r="L3053" s="224"/>
      <c r="M3053" s="224">
        <v>29160</v>
      </c>
      <c r="N3053" s="224"/>
      <c r="O3053" s="243"/>
      <c r="P3053" s="69" t="str">
        <f t="shared" si="192"/>
        <v>BNI IDR 768</v>
      </c>
      <c r="Q3053" s="61"/>
    </row>
    <row r="3054" spans="1:17" hidden="1" x14ac:dyDescent="0.25">
      <c r="A3054" s="60" t="str">
        <f t="shared" si="190"/>
        <v>340111,01</v>
      </c>
      <c r="B3054" s="60">
        <f>COUNTIF($J$7:J3054,J3054)</f>
        <v>340</v>
      </c>
      <c r="C3054" s="60" t="str">
        <f t="shared" si="191"/>
        <v>0</v>
      </c>
      <c r="D3054" s="60">
        <f>COUNTIF($K$7:K3054,K3054)</f>
        <v>0</v>
      </c>
      <c r="E3054" s="61"/>
      <c r="F3054" s="239">
        <v>44629.610300925924</v>
      </c>
      <c r="G3054" s="232"/>
      <c r="H3054" s="73" t="s">
        <v>1615</v>
      </c>
      <c r="I3054" s="243" t="s">
        <v>282</v>
      </c>
      <c r="J3054" s="67">
        <v>111.01</v>
      </c>
      <c r="K3054" s="242"/>
      <c r="L3054" s="224"/>
      <c r="M3054" s="223">
        <v>6500</v>
      </c>
      <c r="N3054" s="223"/>
      <c r="O3054" s="243"/>
      <c r="P3054" s="69" t="str">
        <f t="shared" si="192"/>
        <v>BNI IDR 768</v>
      </c>
      <c r="Q3054" s="61"/>
    </row>
    <row r="3055" spans="1:17" hidden="1" x14ac:dyDescent="0.25">
      <c r="A3055" s="60" t="str">
        <f t="shared" si="190"/>
        <v>341111,01</v>
      </c>
      <c r="B3055" s="60">
        <f>COUNTIF($J$7:J3055,J3055)</f>
        <v>341</v>
      </c>
      <c r="C3055" s="60" t="str">
        <f t="shared" si="191"/>
        <v>0</v>
      </c>
      <c r="D3055" s="60">
        <f>COUNTIF($K$7:K3055,K3055)</f>
        <v>0</v>
      </c>
      <c r="E3055" s="61"/>
      <c r="F3055" s="239">
        <v>44629</v>
      </c>
      <c r="G3055" s="232"/>
      <c r="H3055" s="73" t="s">
        <v>1615</v>
      </c>
      <c r="I3055" s="243" t="s">
        <v>1670</v>
      </c>
      <c r="J3055" s="67">
        <v>111.01</v>
      </c>
      <c r="K3055" s="242"/>
      <c r="L3055" s="224"/>
      <c r="M3055" s="224">
        <v>644000</v>
      </c>
      <c r="N3055" s="224"/>
      <c r="O3055" s="243"/>
      <c r="P3055" s="69" t="str">
        <f t="shared" si="192"/>
        <v>BNI IDR 768</v>
      </c>
      <c r="Q3055" s="61"/>
    </row>
    <row r="3056" spans="1:17" hidden="1" x14ac:dyDescent="0.25">
      <c r="A3056" s="60" t="str">
        <f t="shared" si="190"/>
        <v>342111,01</v>
      </c>
      <c r="B3056" s="60">
        <f>COUNTIF($J$7:J3056,J3056)</f>
        <v>342</v>
      </c>
      <c r="C3056" s="60" t="str">
        <f t="shared" si="191"/>
        <v>0</v>
      </c>
      <c r="D3056" s="60">
        <f>COUNTIF($K$7:K3056,K3056)</f>
        <v>0</v>
      </c>
      <c r="E3056" s="61"/>
      <c r="F3056" s="239">
        <v>44629</v>
      </c>
      <c r="G3056" s="232"/>
      <c r="H3056" s="73" t="s">
        <v>1615</v>
      </c>
      <c r="I3056" s="243" t="s">
        <v>1671</v>
      </c>
      <c r="J3056" s="67">
        <v>111.01</v>
      </c>
      <c r="K3056" s="242"/>
      <c r="L3056" s="224"/>
      <c r="M3056" s="224">
        <v>31000</v>
      </c>
      <c r="N3056" s="224"/>
      <c r="O3056" s="243"/>
      <c r="P3056" s="69" t="str">
        <f t="shared" si="192"/>
        <v>BNI IDR 768</v>
      </c>
      <c r="Q3056" s="61"/>
    </row>
    <row r="3057" spans="1:17" hidden="1" x14ac:dyDescent="0.25">
      <c r="A3057" s="60" t="str">
        <f t="shared" si="190"/>
        <v>343111,01</v>
      </c>
      <c r="B3057" s="60">
        <f>COUNTIF($J$7:J3057,J3057)</f>
        <v>343</v>
      </c>
      <c r="C3057" s="60" t="str">
        <f t="shared" si="191"/>
        <v>0</v>
      </c>
      <c r="D3057" s="60">
        <f>COUNTIF($K$7:K3057,K3057)</f>
        <v>0</v>
      </c>
      <c r="E3057" s="61"/>
      <c r="F3057" s="239">
        <v>44629</v>
      </c>
      <c r="G3057" s="232"/>
      <c r="H3057" s="73" t="s">
        <v>1615</v>
      </c>
      <c r="I3057" s="243" t="s">
        <v>1672</v>
      </c>
      <c r="J3057" s="67">
        <v>111.01</v>
      </c>
      <c r="K3057" s="242"/>
      <c r="L3057" s="224"/>
      <c r="M3057" s="224">
        <v>1000000</v>
      </c>
      <c r="N3057" s="224"/>
      <c r="O3057" s="243"/>
      <c r="P3057" s="69" t="str">
        <f t="shared" si="192"/>
        <v>BNI IDR 768</v>
      </c>
      <c r="Q3057" s="61"/>
    </row>
    <row r="3058" spans="1:17" hidden="1" x14ac:dyDescent="0.25">
      <c r="A3058" s="60" t="str">
        <f t="shared" si="190"/>
        <v>344111,01</v>
      </c>
      <c r="B3058" s="60">
        <f>COUNTIF($J$7:J3058,J3058)</f>
        <v>344</v>
      </c>
      <c r="C3058" s="60" t="str">
        <f t="shared" si="191"/>
        <v>0</v>
      </c>
      <c r="D3058" s="60">
        <f>COUNTIF($K$7:K3058,K3058)</f>
        <v>0</v>
      </c>
      <c r="E3058" s="61"/>
      <c r="F3058" s="239">
        <v>44629</v>
      </c>
      <c r="G3058" s="232"/>
      <c r="H3058" s="73" t="s">
        <v>1615</v>
      </c>
      <c r="I3058" s="243" t="s">
        <v>1673</v>
      </c>
      <c r="J3058" s="67">
        <v>111.01</v>
      </c>
      <c r="K3058" s="242"/>
      <c r="L3058" s="224"/>
      <c r="M3058" s="224">
        <v>37400</v>
      </c>
      <c r="N3058" s="224"/>
      <c r="O3058" s="243"/>
      <c r="P3058" s="69" t="str">
        <f t="shared" si="192"/>
        <v>BNI IDR 768</v>
      </c>
      <c r="Q3058" s="61"/>
    </row>
    <row r="3059" spans="1:17" hidden="1" x14ac:dyDescent="0.25">
      <c r="A3059" s="60" t="str">
        <f t="shared" si="190"/>
        <v>345111,01</v>
      </c>
      <c r="B3059" s="60">
        <f>COUNTIF($J$7:J3059,J3059)</f>
        <v>345</v>
      </c>
      <c r="C3059" s="60" t="str">
        <f t="shared" si="191"/>
        <v>0</v>
      </c>
      <c r="D3059" s="60">
        <f>COUNTIF($K$7:K3059,K3059)</f>
        <v>0</v>
      </c>
      <c r="E3059" s="61"/>
      <c r="F3059" s="239">
        <v>44629</v>
      </c>
      <c r="G3059" s="232"/>
      <c r="H3059" s="73" t="s">
        <v>1615</v>
      </c>
      <c r="I3059" s="243" t="s">
        <v>1674</v>
      </c>
      <c r="J3059" s="67">
        <v>111.01</v>
      </c>
      <c r="K3059" s="242"/>
      <c r="L3059" s="224"/>
      <c r="M3059" s="224">
        <v>1000000</v>
      </c>
      <c r="N3059" s="224"/>
      <c r="O3059" s="243"/>
      <c r="P3059" s="69" t="str">
        <f t="shared" si="192"/>
        <v>BNI IDR 768</v>
      </c>
      <c r="Q3059" s="61"/>
    </row>
    <row r="3060" spans="1:17" hidden="1" x14ac:dyDescent="0.25">
      <c r="A3060" s="60" t="str">
        <f t="shared" si="190"/>
        <v>346111,01</v>
      </c>
      <c r="B3060" s="60">
        <f>COUNTIF($J$7:J3060,J3060)</f>
        <v>346</v>
      </c>
      <c r="C3060" s="60" t="str">
        <f t="shared" si="191"/>
        <v>0</v>
      </c>
      <c r="D3060" s="60">
        <f>COUNTIF($K$7:K3060,K3060)</f>
        <v>0</v>
      </c>
      <c r="E3060" s="61"/>
      <c r="F3060" s="239">
        <v>44629</v>
      </c>
      <c r="G3060" s="232"/>
      <c r="H3060" s="73" t="s">
        <v>1615</v>
      </c>
      <c r="I3060" s="243" t="s">
        <v>1675</v>
      </c>
      <c r="J3060" s="67">
        <v>111.01</v>
      </c>
      <c r="K3060" s="242"/>
      <c r="L3060" s="224"/>
      <c r="M3060" s="224">
        <v>114400</v>
      </c>
      <c r="N3060" s="224"/>
      <c r="O3060" s="243"/>
      <c r="P3060" s="69" t="str">
        <f t="shared" si="192"/>
        <v>BNI IDR 768</v>
      </c>
      <c r="Q3060" s="61"/>
    </row>
    <row r="3061" spans="1:17" hidden="1" x14ac:dyDescent="0.25">
      <c r="A3061" s="60" t="str">
        <f t="shared" si="190"/>
        <v>347111,01</v>
      </c>
      <c r="B3061" s="60">
        <f>COUNTIF($J$7:J3061,J3061)</f>
        <v>347</v>
      </c>
      <c r="C3061" s="60" t="str">
        <f t="shared" si="191"/>
        <v>0</v>
      </c>
      <c r="D3061" s="60">
        <f>COUNTIF($K$7:K3061,K3061)</f>
        <v>0</v>
      </c>
      <c r="E3061" s="61"/>
      <c r="F3061" s="239">
        <v>44629.610312500001</v>
      </c>
      <c r="G3061" s="232"/>
      <c r="H3061" s="73" t="s">
        <v>1615</v>
      </c>
      <c r="I3061" s="243" t="s">
        <v>282</v>
      </c>
      <c r="J3061" s="67">
        <v>111.01</v>
      </c>
      <c r="K3061" s="242"/>
      <c r="L3061" s="224"/>
      <c r="M3061" s="223">
        <v>6500</v>
      </c>
      <c r="N3061" s="223"/>
      <c r="O3061" s="243"/>
      <c r="P3061" s="69" t="str">
        <f t="shared" si="192"/>
        <v>BNI IDR 768</v>
      </c>
      <c r="Q3061" s="61"/>
    </row>
    <row r="3062" spans="1:17" hidden="1" x14ac:dyDescent="0.25">
      <c r="A3062" s="60" t="str">
        <f t="shared" si="190"/>
        <v>348111,01</v>
      </c>
      <c r="B3062" s="60">
        <f>COUNTIF($J$7:J3062,J3062)</f>
        <v>348</v>
      </c>
      <c r="C3062" s="60" t="str">
        <f t="shared" si="191"/>
        <v>0</v>
      </c>
      <c r="D3062" s="60">
        <f>COUNTIF($K$7:K3062,K3062)</f>
        <v>0</v>
      </c>
      <c r="E3062" s="61"/>
      <c r="F3062" s="239">
        <v>44629.610312500001</v>
      </c>
      <c r="G3062" s="232"/>
      <c r="H3062" s="73" t="s">
        <v>1615</v>
      </c>
      <c r="I3062" s="243" t="s">
        <v>1683</v>
      </c>
      <c r="J3062" s="67">
        <v>111.01</v>
      </c>
      <c r="K3062" s="242"/>
      <c r="L3062" s="224"/>
      <c r="M3062" s="223">
        <v>55911</v>
      </c>
      <c r="N3062" s="223"/>
      <c r="O3062" s="243"/>
      <c r="P3062" s="69" t="str">
        <f t="shared" si="192"/>
        <v>BNI IDR 768</v>
      </c>
      <c r="Q3062" s="61"/>
    </row>
    <row r="3063" spans="1:17" hidden="1" x14ac:dyDescent="0.25">
      <c r="A3063" s="60" t="str">
        <f t="shared" si="190"/>
        <v>349111,01</v>
      </c>
      <c r="B3063" s="60">
        <f>COUNTIF($J$7:J3063,J3063)</f>
        <v>349</v>
      </c>
      <c r="C3063" s="60" t="str">
        <f t="shared" si="191"/>
        <v>0</v>
      </c>
      <c r="D3063" s="60">
        <f>COUNTIF($K$7:K3063,K3063)</f>
        <v>0</v>
      </c>
      <c r="E3063" s="61"/>
      <c r="F3063" s="239">
        <v>44629.610324074078</v>
      </c>
      <c r="G3063" s="232"/>
      <c r="H3063" s="73" t="s">
        <v>1615</v>
      </c>
      <c r="I3063" s="243" t="s">
        <v>1684</v>
      </c>
      <c r="J3063" s="67">
        <v>111.01</v>
      </c>
      <c r="K3063" s="242"/>
      <c r="L3063" s="224"/>
      <c r="M3063" s="223">
        <v>212224</v>
      </c>
      <c r="N3063" s="223"/>
      <c r="O3063" s="243"/>
      <c r="P3063" s="69" t="str">
        <f t="shared" si="192"/>
        <v>BNI IDR 768</v>
      </c>
      <c r="Q3063" s="61"/>
    </row>
    <row r="3064" spans="1:17" hidden="1" x14ac:dyDescent="0.25">
      <c r="A3064" s="60" t="str">
        <f t="shared" si="190"/>
        <v>350111,01</v>
      </c>
      <c r="B3064" s="60">
        <f>COUNTIF($J$7:J3064,J3064)</f>
        <v>350</v>
      </c>
      <c r="C3064" s="60" t="str">
        <f t="shared" si="191"/>
        <v>0</v>
      </c>
      <c r="D3064" s="60">
        <f>COUNTIF($K$7:K3064,K3064)</f>
        <v>0</v>
      </c>
      <c r="E3064" s="61"/>
      <c r="F3064" s="239">
        <v>44629</v>
      </c>
      <c r="G3064" s="232"/>
      <c r="H3064" s="73" t="s">
        <v>1615</v>
      </c>
      <c r="I3064" s="243" t="s">
        <v>1685</v>
      </c>
      <c r="J3064" s="67">
        <v>111.01</v>
      </c>
      <c r="K3064" s="242"/>
      <c r="L3064" s="224"/>
      <c r="M3064" s="223">
        <v>22000</v>
      </c>
      <c r="N3064" s="223"/>
      <c r="O3064" s="243"/>
      <c r="P3064" s="69" t="str">
        <f t="shared" si="192"/>
        <v>BNI IDR 768</v>
      </c>
      <c r="Q3064" s="61"/>
    </row>
    <row r="3065" spans="1:17" hidden="1" x14ac:dyDescent="0.25">
      <c r="A3065" s="60" t="str">
        <f t="shared" si="190"/>
        <v>351111,01</v>
      </c>
      <c r="B3065" s="60">
        <f>COUNTIF($J$7:J3065,J3065)</f>
        <v>351</v>
      </c>
      <c r="C3065" s="60" t="str">
        <f t="shared" si="191"/>
        <v>0</v>
      </c>
      <c r="D3065" s="60">
        <f>COUNTIF($K$7:K3065,K3065)</f>
        <v>0</v>
      </c>
      <c r="E3065" s="61"/>
      <c r="F3065" s="239">
        <v>44629.791620370372</v>
      </c>
      <c r="G3065" s="232"/>
      <c r="H3065" s="73" t="s">
        <v>1615</v>
      </c>
      <c r="I3065" s="243" t="s">
        <v>282</v>
      </c>
      <c r="J3065" s="67">
        <v>111.01</v>
      </c>
      <c r="K3065" s="242"/>
      <c r="L3065" s="224"/>
      <c r="M3065" s="223">
        <v>6500</v>
      </c>
      <c r="N3065" s="223"/>
      <c r="O3065" s="243"/>
      <c r="P3065" s="69" t="str">
        <f t="shared" si="192"/>
        <v>BNI IDR 768</v>
      </c>
      <c r="Q3065" s="61"/>
    </row>
    <row r="3066" spans="1:17" hidden="1" x14ac:dyDescent="0.25">
      <c r="A3066" s="60" t="str">
        <f t="shared" si="190"/>
        <v>352111,01</v>
      </c>
      <c r="B3066" s="60">
        <f>COUNTIF($J$7:J3066,J3066)</f>
        <v>352</v>
      </c>
      <c r="C3066" s="60" t="str">
        <f t="shared" si="191"/>
        <v>0</v>
      </c>
      <c r="D3066" s="60">
        <f>COUNTIF($K$7:K3066,K3066)</f>
        <v>0</v>
      </c>
      <c r="E3066" s="61"/>
      <c r="F3066" s="239">
        <v>44630.447777777779</v>
      </c>
      <c r="G3066" s="232"/>
      <c r="H3066" s="73" t="s">
        <v>1615</v>
      </c>
      <c r="I3066" s="243" t="s">
        <v>1686</v>
      </c>
      <c r="J3066" s="67">
        <v>111.01</v>
      </c>
      <c r="K3066" s="242"/>
      <c r="L3066" s="224">
        <v>854400</v>
      </c>
      <c r="M3066" s="223"/>
      <c r="N3066" s="223"/>
      <c r="O3066" s="243"/>
      <c r="P3066" s="69" t="str">
        <f t="shared" si="192"/>
        <v>BNI IDR 768</v>
      </c>
      <c r="Q3066" s="61"/>
    </row>
    <row r="3067" spans="1:17" hidden="1" x14ac:dyDescent="0.25">
      <c r="A3067" s="60" t="str">
        <f t="shared" si="190"/>
        <v>353111,01</v>
      </c>
      <c r="B3067" s="60">
        <f>COUNTIF($J$7:J3067,J3067)</f>
        <v>353</v>
      </c>
      <c r="C3067" s="60" t="str">
        <f t="shared" si="191"/>
        <v>0</v>
      </c>
      <c r="D3067" s="60">
        <f>COUNTIF($K$7:K3067,K3067)</f>
        <v>0</v>
      </c>
      <c r="E3067" s="61"/>
      <c r="F3067" s="239">
        <v>44630.447777777779</v>
      </c>
      <c r="G3067" s="232"/>
      <c r="H3067" s="73" t="s">
        <v>1615</v>
      </c>
      <c r="I3067" s="243" t="s">
        <v>323</v>
      </c>
      <c r="J3067" s="67">
        <v>111.01</v>
      </c>
      <c r="K3067" s="242"/>
      <c r="L3067" s="224">
        <v>9864492</v>
      </c>
      <c r="M3067" s="223"/>
      <c r="N3067" s="223"/>
      <c r="O3067" s="243"/>
      <c r="P3067" s="69" t="str">
        <f t="shared" si="192"/>
        <v>BNI IDR 768</v>
      </c>
      <c r="Q3067" s="61"/>
    </row>
    <row r="3068" spans="1:17" hidden="1" x14ac:dyDescent="0.25">
      <c r="A3068" s="60" t="str">
        <f t="shared" si="190"/>
        <v>64119</v>
      </c>
      <c r="B3068" s="60">
        <f>COUNTIF($J$7:J3068,J3068)</f>
        <v>64</v>
      </c>
      <c r="C3068" s="60" t="str">
        <f t="shared" si="191"/>
        <v>26119,02</v>
      </c>
      <c r="D3068" s="60">
        <f>COUNTIF($K$7:K3068,K3068)</f>
        <v>26</v>
      </c>
      <c r="E3068" s="61"/>
      <c r="F3068" s="239">
        <v>44630.447777777779</v>
      </c>
      <c r="G3068" s="232"/>
      <c r="H3068" s="73" t="s">
        <v>1615</v>
      </c>
      <c r="I3068" s="243" t="s">
        <v>1687</v>
      </c>
      <c r="J3068" s="64">
        <v>119</v>
      </c>
      <c r="K3068" s="65">
        <v>119.02</v>
      </c>
      <c r="L3068" s="224"/>
      <c r="M3068" s="223">
        <v>854400</v>
      </c>
      <c r="N3068" s="223"/>
      <c r="O3068" s="61"/>
      <c r="P3068" s="69" t="str">
        <f t="shared" si="192"/>
        <v>Uang Muka Biaya Pengiriman dan Perjalanan Dinas Marketing</v>
      </c>
      <c r="Q3068" s="61"/>
    </row>
    <row r="3069" spans="1:17" hidden="1" x14ac:dyDescent="0.25">
      <c r="A3069" s="60" t="str">
        <f t="shared" si="190"/>
        <v>626112</v>
      </c>
      <c r="B3069" s="60">
        <f>COUNTIF($J$7:J3069,J3069)</f>
        <v>626</v>
      </c>
      <c r="C3069" s="60" t="str">
        <f t="shared" si="191"/>
        <v>91112,4</v>
      </c>
      <c r="D3069" s="60">
        <f>COUNTIF($K$7:K3069,K3069)</f>
        <v>91</v>
      </c>
      <c r="E3069" s="61"/>
      <c r="F3069" s="239">
        <v>44630.447777777779</v>
      </c>
      <c r="G3069" s="164" t="s">
        <v>149</v>
      </c>
      <c r="H3069" s="73" t="s">
        <v>1615</v>
      </c>
      <c r="I3069" s="243" t="s">
        <v>323</v>
      </c>
      <c r="J3069" s="265">
        <v>112</v>
      </c>
      <c r="K3069" s="80">
        <v>112.4</v>
      </c>
      <c r="L3069" s="224"/>
      <c r="M3069" s="223">
        <v>9864492</v>
      </c>
      <c r="N3069" s="223"/>
      <c r="O3069" s="61"/>
      <c r="P3069" s="69" t="str">
        <f t="shared" si="192"/>
        <v>Piutang Usaha</v>
      </c>
      <c r="Q3069" s="61"/>
    </row>
    <row r="3070" spans="1:17" hidden="1" x14ac:dyDescent="0.25">
      <c r="A3070" s="60" t="str">
        <f t="shared" si="190"/>
        <v>354111,01</v>
      </c>
      <c r="B3070" s="60">
        <f>COUNTIF($J$7:J3070,J3070)</f>
        <v>354</v>
      </c>
      <c r="C3070" s="60" t="str">
        <f t="shared" si="191"/>
        <v>0</v>
      </c>
      <c r="D3070" s="60">
        <f>COUNTIF($K$7:K3070,K3070)</f>
        <v>0</v>
      </c>
      <c r="E3070" s="61"/>
      <c r="F3070" s="293">
        <v>44630.531284722223</v>
      </c>
      <c r="G3070" s="232"/>
      <c r="H3070" s="73" t="s">
        <v>1615</v>
      </c>
      <c r="I3070" s="243" t="s">
        <v>1688</v>
      </c>
      <c r="J3070" s="67">
        <v>111.01</v>
      </c>
      <c r="K3070" s="243"/>
      <c r="L3070" s="224">
        <v>4837478</v>
      </c>
      <c r="M3070" s="223"/>
      <c r="N3070" s="223"/>
      <c r="O3070" s="61"/>
      <c r="P3070" s="69" t="str">
        <f t="shared" si="192"/>
        <v>BNI IDR 768</v>
      </c>
      <c r="Q3070" s="61"/>
    </row>
    <row r="3071" spans="1:17" hidden="1" x14ac:dyDescent="0.25">
      <c r="A3071" s="60" t="str">
        <f t="shared" si="190"/>
        <v>355111,01</v>
      </c>
      <c r="B3071" s="60">
        <f>COUNTIF($J$7:J3071,J3071)</f>
        <v>355</v>
      </c>
      <c r="C3071" s="60" t="str">
        <f t="shared" si="191"/>
        <v>0</v>
      </c>
      <c r="D3071" s="60">
        <f>COUNTIF($K$7:K3071,K3071)</f>
        <v>0</v>
      </c>
      <c r="E3071" s="61"/>
      <c r="F3071" s="293">
        <v>44630.531284722223</v>
      </c>
      <c r="G3071" s="232"/>
      <c r="H3071" s="73" t="s">
        <v>1615</v>
      </c>
      <c r="I3071" s="243" t="s">
        <v>1689</v>
      </c>
      <c r="J3071" s="67">
        <v>111.01</v>
      </c>
      <c r="K3071" s="243"/>
      <c r="L3071" s="224">
        <v>108237500</v>
      </c>
      <c r="M3071" s="223"/>
      <c r="N3071" s="223"/>
      <c r="O3071" s="61"/>
      <c r="P3071" s="69" t="str">
        <f t="shared" si="192"/>
        <v>BNI IDR 768</v>
      </c>
      <c r="Q3071" s="61"/>
    </row>
    <row r="3072" spans="1:17" hidden="1" x14ac:dyDescent="0.25">
      <c r="A3072" s="60" t="str">
        <f t="shared" si="190"/>
        <v>356111,01</v>
      </c>
      <c r="B3072" s="60">
        <f>COUNTIF($J$7:J3072,J3072)</f>
        <v>356</v>
      </c>
      <c r="C3072" s="60" t="str">
        <f t="shared" si="191"/>
        <v>0</v>
      </c>
      <c r="D3072" s="60">
        <f>COUNTIF($K$7:K3072,K3072)</f>
        <v>0</v>
      </c>
      <c r="E3072" s="61"/>
      <c r="F3072" s="293">
        <v>44630.634652777779</v>
      </c>
      <c r="G3072" s="232"/>
      <c r="H3072" s="73" t="s">
        <v>1615</v>
      </c>
      <c r="I3072" s="243" t="s">
        <v>1690</v>
      </c>
      <c r="J3072" s="67">
        <v>111.01</v>
      </c>
      <c r="K3072" s="243"/>
      <c r="L3072" s="224">
        <v>2409000</v>
      </c>
      <c r="M3072" s="223"/>
      <c r="N3072" s="223"/>
      <c r="O3072" s="61"/>
      <c r="P3072" s="69" t="str">
        <f t="shared" si="192"/>
        <v>BNI IDR 768</v>
      </c>
      <c r="Q3072" s="61"/>
    </row>
    <row r="3073" spans="1:17" hidden="1" x14ac:dyDescent="0.25">
      <c r="A3073" s="60" t="str">
        <f t="shared" si="190"/>
        <v>627112</v>
      </c>
      <c r="B3073" s="60">
        <f>COUNTIF($J$7:J3073,J3073)</f>
        <v>627</v>
      </c>
      <c r="C3073" s="60" t="str">
        <f t="shared" si="191"/>
        <v>40112,45</v>
      </c>
      <c r="D3073" s="60">
        <f>COUNTIF($K$7:K3073,K3073)</f>
        <v>40</v>
      </c>
      <c r="E3073" s="61"/>
      <c r="F3073" s="293">
        <v>44630.531284722223</v>
      </c>
      <c r="G3073" s="164" t="s">
        <v>149</v>
      </c>
      <c r="H3073" s="73" t="s">
        <v>1615</v>
      </c>
      <c r="I3073" s="243" t="s">
        <v>1688</v>
      </c>
      <c r="J3073" s="265">
        <v>112</v>
      </c>
      <c r="K3073" s="243">
        <v>112.45</v>
      </c>
      <c r="L3073" s="224"/>
      <c r="M3073" s="224">
        <v>4837478</v>
      </c>
      <c r="N3073" s="224"/>
      <c r="O3073" s="61"/>
      <c r="P3073" s="69" t="str">
        <f t="shared" si="192"/>
        <v>Piutang Usaha</v>
      </c>
      <c r="Q3073" s="61"/>
    </row>
    <row r="3074" spans="1:17" hidden="1" x14ac:dyDescent="0.25">
      <c r="A3074" s="60" t="str">
        <f t="shared" si="190"/>
        <v>628112</v>
      </c>
      <c r="B3074" s="60">
        <f>COUNTIF($J$7:J3074,J3074)</f>
        <v>628</v>
      </c>
      <c r="C3074" s="60" t="str">
        <f t="shared" si="191"/>
        <v>41112,45</v>
      </c>
      <c r="D3074" s="60">
        <f>COUNTIF($K$7:K3074,K3074)</f>
        <v>41</v>
      </c>
      <c r="E3074" s="61"/>
      <c r="F3074" s="293">
        <v>44630.531284722223</v>
      </c>
      <c r="G3074" s="164" t="s">
        <v>149</v>
      </c>
      <c r="H3074" s="73" t="s">
        <v>1615</v>
      </c>
      <c r="I3074" s="243" t="s">
        <v>1689</v>
      </c>
      <c r="J3074" s="265">
        <v>112</v>
      </c>
      <c r="K3074" s="243">
        <v>112.45</v>
      </c>
      <c r="L3074" s="224"/>
      <c r="M3074" s="224">
        <v>108237500</v>
      </c>
      <c r="N3074" s="224"/>
      <c r="O3074" s="61"/>
      <c r="P3074" s="69" t="str">
        <f t="shared" si="192"/>
        <v>Piutang Usaha</v>
      </c>
      <c r="Q3074" s="61"/>
    </row>
    <row r="3075" spans="1:17" hidden="1" x14ac:dyDescent="0.25">
      <c r="A3075" s="60" t="str">
        <f t="shared" si="190"/>
        <v>629112</v>
      </c>
      <c r="B3075" s="60">
        <f>COUNTIF($J$7:J3075,J3075)</f>
        <v>629</v>
      </c>
      <c r="C3075" s="60" t="str">
        <f t="shared" si="191"/>
        <v>3112,49</v>
      </c>
      <c r="D3075" s="60">
        <f>COUNTIF($K$7:K3075,K3075)</f>
        <v>3</v>
      </c>
      <c r="E3075" s="61"/>
      <c r="F3075" s="293">
        <v>44630.634652777779</v>
      </c>
      <c r="G3075" s="164" t="s">
        <v>149</v>
      </c>
      <c r="H3075" s="73" t="s">
        <v>1615</v>
      </c>
      <c r="I3075" s="243" t="s">
        <v>1690</v>
      </c>
      <c r="J3075" s="265">
        <v>112</v>
      </c>
      <c r="K3075" s="80">
        <v>112.49</v>
      </c>
      <c r="L3075" s="224"/>
      <c r="M3075" s="224">
        <v>2409000</v>
      </c>
      <c r="N3075" s="224"/>
      <c r="O3075" s="61"/>
      <c r="P3075" s="69" t="str">
        <f t="shared" si="192"/>
        <v>Piutang Usaha</v>
      </c>
      <c r="Q3075" s="61"/>
    </row>
    <row r="3076" spans="1:17" hidden="1" x14ac:dyDescent="0.25">
      <c r="A3076" s="60" t="str">
        <f t="shared" si="190"/>
        <v>6220,01</v>
      </c>
      <c r="B3076" s="60">
        <f>COUNTIF($J$7:J3076,J3076)</f>
        <v>6</v>
      </c>
      <c r="C3076" s="60" t="str">
        <f t="shared" si="191"/>
        <v>0</v>
      </c>
      <c r="D3076" s="60">
        <f>COUNTIF($K$7:K3076,K3076)</f>
        <v>0</v>
      </c>
      <c r="E3076" s="61"/>
      <c r="F3076" s="293">
        <v>44631.406851851854</v>
      </c>
      <c r="G3076" s="232"/>
      <c r="H3076" s="73" t="s">
        <v>1615</v>
      </c>
      <c r="I3076" s="243" t="s">
        <v>1691</v>
      </c>
      <c r="J3076" s="67">
        <v>220.01</v>
      </c>
      <c r="K3076" s="243"/>
      <c r="L3076" s="224">
        <f>'[1]Sewa &amp; Asuransi'!C139</f>
        <v>4422782</v>
      </c>
      <c r="M3076" s="224"/>
      <c r="N3076" s="224"/>
      <c r="O3076" s="61"/>
      <c r="P3076" s="69" t="str">
        <f t="shared" si="192"/>
        <v>Hutang Bank/Leasing</v>
      </c>
      <c r="Q3076" s="61"/>
    </row>
    <row r="3077" spans="1:17" hidden="1" x14ac:dyDescent="0.25">
      <c r="A3077" s="60" t="str">
        <f t="shared" si="190"/>
        <v>3810,03</v>
      </c>
      <c r="B3077" s="60">
        <f>COUNTIF($J$7:J3077,J3077)</f>
        <v>3</v>
      </c>
      <c r="C3077" s="60" t="str">
        <f t="shared" si="191"/>
        <v>0</v>
      </c>
      <c r="D3077" s="60">
        <f>COUNTIF($K$7:K3077,K3077)</f>
        <v>0</v>
      </c>
      <c r="E3077" s="61"/>
      <c r="F3077" s="293">
        <v>44631.406851851854</v>
      </c>
      <c r="G3077" s="232"/>
      <c r="H3077" s="73" t="s">
        <v>1615</v>
      </c>
      <c r="I3077" s="243" t="s">
        <v>1691</v>
      </c>
      <c r="J3077" s="235">
        <v>810.03</v>
      </c>
      <c r="K3077" s="243"/>
      <c r="L3077" s="224">
        <f>'[1]Sewa &amp; Asuransi'!B139</f>
        <v>559218</v>
      </c>
      <c r="M3077" s="224"/>
      <c r="N3077" s="224"/>
      <c r="O3077" s="61"/>
      <c r="P3077" s="69" t="str">
        <f t="shared" si="192"/>
        <v>Biaya Bunga Pinjaman Bank/Leasing</v>
      </c>
      <c r="Q3077" s="61"/>
    </row>
    <row r="3078" spans="1:17" hidden="1" x14ac:dyDescent="0.25">
      <c r="A3078" s="60" t="str">
        <f t="shared" si="190"/>
        <v>18512,03</v>
      </c>
      <c r="B3078" s="60">
        <f>COUNTIF($J$7:J3078,J3078)</f>
        <v>18</v>
      </c>
      <c r="C3078" s="60" t="str">
        <f t="shared" si="191"/>
        <v>0</v>
      </c>
      <c r="D3078" s="60">
        <f>COUNTIF($K$7:K3078,K3078)</f>
        <v>0</v>
      </c>
      <c r="E3078" s="61"/>
      <c r="F3078" s="293">
        <v>44631.609305555554</v>
      </c>
      <c r="G3078" s="232"/>
      <c r="H3078" s="73" t="s">
        <v>1615</v>
      </c>
      <c r="I3078" s="243" t="s">
        <v>1692</v>
      </c>
      <c r="J3078" s="238">
        <v>512.03</v>
      </c>
      <c r="K3078" s="243"/>
      <c r="L3078" s="223">
        <v>150000</v>
      </c>
      <c r="M3078" s="224"/>
      <c r="N3078" s="224"/>
      <c r="O3078" s="61"/>
      <c r="P3078" s="69" t="str">
        <f t="shared" si="192"/>
        <v>Beban Gasoline Marketing (Bensin, Parkir, Tol)</v>
      </c>
      <c r="Q3078" s="61"/>
    </row>
    <row r="3079" spans="1:17" hidden="1" x14ac:dyDescent="0.25">
      <c r="A3079" s="60" t="str">
        <f t="shared" ref="A3079:A3142" si="193">B3079&amp;J3079</f>
        <v>65119</v>
      </c>
      <c r="B3079" s="60">
        <f>COUNTIF($J$7:J3079,J3079)</f>
        <v>65</v>
      </c>
      <c r="C3079" s="60" t="str">
        <f t="shared" ref="C3079:C3142" si="194">D3079&amp;K3079</f>
        <v>27119,02</v>
      </c>
      <c r="D3079" s="60">
        <f>COUNTIF($K$7:K3079,K3079)</f>
        <v>27</v>
      </c>
      <c r="E3079" s="61"/>
      <c r="F3079" s="293">
        <v>44631.609722222223</v>
      </c>
      <c r="G3079" s="232"/>
      <c r="H3079" s="73" t="s">
        <v>1615</v>
      </c>
      <c r="I3079" s="243" t="s">
        <v>1693</v>
      </c>
      <c r="J3079" s="67">
        <v>119</v>
      </c>
      <c r="K3079" s="243">
        <v>119.02</v>
      </c>
      <c r="L3079" s="223">
        <v>2000000</v>
      </c>
      <c r="M3079" s="224"/>
      <c r="N3079" s="224"/>
      <c r="O3079" s="61"/>
      <c r="P3079" s="69" t="str">
        <f t="shared" ref="P3079:P3142" si="195">IF(J3079=0,"-",+VLOOKUP(J3079,DAF_AKUN,2,FALSE))</f>
        <v>Uang Muka Biaya Pengiriman dan Perjalanan Dinas Marketing</v>
      </c>
      <c r="Q3079" s="61"/>
    </row>
    <row r="3080" spans="1:17" hidden="1" x14ac:dyDescent="0.25">
      <c r="A3080" s="60" t="str">
        <f t="shared" si="193"/>
        <v>19512,03</v>
      </c>
      <c r="B3080" s="60">
        <f>COUNTIF($J$7:J3080,J3080)</f>
        <v>19</v>
      </c>
      <c r="C3080" s="60" t="str">
        <f t="shared" si="194"/>
        <v>0</v>
      </c>
      <c r="D3080" s="60">
        <f>COUNTIF($K$7:K3080,K3080)</f>
        <v>0</v>
      </c>
      <c r="E3080" s="61"/>
      <c r="F3080" s="293">
        <v>44631.609722222223</v>
      </c>
      <c r="G3080" s="232"/>
      <c r="H3080" s="73" t="s">
        <v>1615</v>
      </c>
      <c r="I3080" s="243" t="s">
        <v>1694</v>
      </c>
      <c r="J3080" s="238">
        <v>512.03</v>
      </c>
      <c r="K3080" s="243"/>
      <c r="L3080" s="223">
        <v>300000</v>
      </c>
      <c r="M3080" s="224"/>
      <c r="N3080" s="224"/>
      <c r="O3080" s="61"/>
      <c r="P3080" s="69" t="str">
        <f t="shared" si="195"/>
        <v>Beban Gasoline Marketing (Bensin, Parkir, Tol)</v>
      </c>
      <c r="Q3080" s="61"/>
    </row>
    <row r="3081" spans="1:17" hidden="1" x14ac:dyDescent="0.25">
      <c r="A3081" s="60" t="str">
        <f t="shared" si="193"/>
        <v>66119</v>
      </c>
      <c r="B3081" s="60">
        <f>COUNTIF($J$7:J3081,J3081)</f>
        <v>66</v>
      </c>
      <c r="C3081" s="60" t="str">
        <f t="shared" si="194"/>
        <v>25119,01</v>
      </c>
      <c r="D3081" s="60">
        <f>COUNTIF($K$7:K3081,K3081)</f>
        <v>25</v>
      </c>
      <c r="E3081" s="61"/>
      <c r="F3081" s="293">
        <v>44631.60974537037</v>
      </c>
      <c r="G3081" s="232"/>
      <c r="H3081" s="73" t="s">
        <v>1615</v>
      </c>
      <c r="I3081" s="243" t="s">
        <v>1695</v>
      </c>
      <c r="J3081" s="67">
        <v>119</v>
      </c>
      <c r="K3081" s="243">
        <v>119.01</v>
      </c>
      <c r="L3081" s="223">
        <v>2000000</v>
      </c>
      <c r="M3081" s="224"/>
      <c r="N3081" s="224"/>
      <c r="O3081" s="61"/>
      <c r="P3081" s="69" t="str">
        <f t="shared" si="195"/>
        <v>Uang Muka Biaya Pengiriman dan Perjalanan Dinas Marketing</v>
      </c>
      <c r="Q3081" s="61"/>
    </row>
    <row r="3082" spans="1:17" hidden="1" x14ac:dyDescent="0.25">
      <c r="A3082" s="60" t="str">
        <f t="shared" si="193"/>
        <v>79220,03</v>
      </c>
      <c r="B3082" s="60">
        <f>COUNTIF($J$7:J3082,J3082)</f>
        <v>79</v>
      </c>
      <c r="C3082" s="60" t="str">
        <f t="shared" si="194"/>
        <v>0</v>
      </c>
      <c r="D3082" s="60">
        <f>COUNTIF($K$7:K3082,K3082)</f>
        <v>0</v>
      </c>
      <c r="E3082" s="61"/>
      <c r="F3082" s="293">
        <v>44631.650821759256</v>
      </c>
      <c r="G3082" s="232"/>
      <c r="H3082" s="73" t="s">
        <v>1615</v>
      </c>
      <c r="I3082" s="243" t="s">
        <v>1696</v>
      </c>
      <c r="J3082" s="67">
        <v>220.03</v>
      </c>
      <c r="K3082" s="243"/>
      <c r="L3082" s="223">
        <v>20842209</v>
      </c>
      <c r="M3082" s="224"/>
      <c r="N3082" s="224"/>
      <c r="O3082" s="61"/>
      <c r="P3082" s="69" t="str">
        <f t="shared" si="195"/>
        <v>Hutang BIaya</v>
      </c>
      <c r="Q3082" s="61"/>
    </row>
    <row r="3083" spans="1:17" hidden="1" x14ac:dyDescent="0.25">
      <c r="A3083" s="60" t="str">
        <f t="shared" si="193"/>
        <v>29610,09</v>
      </c>
      <c r="B3083" s="60">
        <f>COUNTIF($J$7:J3083,J3083)</f>
        <v>29</v>
      </c>
      <c r="C3083" s="60" t="str">
        <f t="shared" si="194"/>
        <v>0</v>
      </c>
      <c r="D3083" s="60">
        <f>COUNTIF($K$7:K3083,K3083)</f>
        <v>0</v>
      </c>
      <c r="E3083" s="61"/>
      <c r="F3083" s="293">
        <v>44634.533634259256</v>
      </c>
      <c r="G3083" s="232"/>
      <c r="H3083" s="73" t="s">
        <v>1615</v>
      </c>
      <c r="I3083" s="243" t="s">
        <v>1697</v>
      </c>
      <c r="J3083" s="61">
        <v>610.09</v>
      </c>
      <c r="K3083" s="243"/>
      <c r="L3083" s="223">
        <v>670437</v>
      </c>
      <c r="M3083" s="224"/>
      <c r="N3083" s="224"/>
      <c r="O3083" s="61"/>
      <c r="P3083" s="69" t="str">
        <f t="shared" si="195"/>
        <v>Biaya ATK &amp; Perlengkapan Kantor</v>
      </c>
      <c r="Q3083" s="61"/>
    </row>
    <row r="3084" spans="1:17" hidden="1" x14ac:dyDescent="0.25">
      <c r="A3084" s="60" t="str">
        <f t="shared" si="193"/>
        <v>30610,09</v>
      </c>
      <c r="B3084" s="60">
        <f>COUNTIF($J$7:J3084,J3084)</f>
        <v>30</v>
      </c>
      <c r="C3084" s="60" t="str">
        <f t="shared" si="194"/>
        <v>0</v>
      </c>
      <c r="D3084" s="60">
        <f>COUNTIF($K$7:K3084,K3084)</f>
        <v>0</v>
      </c>
      <c r="E3084" s="61"/>
      <c r="F3084" s="293">
        <v>44634.533645833333</v>
      </c>
      <c r="G3084" s="232"/>
      <c r="H3084" s="73" t="s">
        <v>1615</v>
      </c>
      <c r="I3084" s="243" t="s">
        <v>1698</v>
      </c>
      <c r="J3084" s="61">
        <v>610.09</v>
      </c>
      <c r="K3084" s="243"/>
      <c r="L3084" s="223">
        <v>1429000</v>
      </c>
      <c r="M3084" s="224"/>
      <c r="N3084" s="224"/>
      <c r="O3084" s="61"/>
      <c r="P3084" s="69" t="str">
        <f t="shared" si="195"/>
        <v>Biaya ATK &amp; Perlengkapan Kantor</v>
      </c>
      <c r="Q3084" s="61"/>
    </row>
    <row r="3085" spans="1:17" hidden="1" x14ac:dyDescent="0.25">
      <c r="A3085" s="60" t="str">
        <f t="shared" si="193"/>
        <v>1121,06</v>
      </c>
      <c r="B3085" s="60">
        <f>COUNTIF($J$7:J3085,J3085)</f>
        <v>1</v>
      </c>
      <c r="C3085" s="60" t="str">
        <f t="shared" si="194"/>
        <v>0</v>
      </c>
      <c r="D3085" s="60">
        <f>COUNTIF($K$7:K3085,K3085)</f>
        <v>0</v>
      </c>
      <c r="E3085" s="61"/>
      <c r="F3085" s="293">
        <v>44634.53365740741</v>
      </c>
      <c r="G3085" s="232"/>
      <c r="H3085" s="73" t="s">
        <v>1615</v>
      </c>
      <c r="I3085" s="243" t="s">
        <v>1699</v>
      </c>
      <c r="J3085" s="67">
        <v>121.06</v>
      </c>
      <c r="K3085" s="243"/>
      <c r="L3085" s="223">
        <v>2782586</v>
      </c>
      <c r="M3085" s="224"/>
      <c r="N3085" s="224"/>
      <c r="O3085" s="61"/>
      <c r="P3085" s="69" t="str">
        <f t="shared" si="195"/>
        <v>Inventaris Kantor</v>
      </c>
      <c r="Q3085" s="61"/>
    </row>
    <row r="3086" spans="1:17" hidden="1" x14ac:dyDescent="0.25">
      <c r="A3086" s="60" t="str">
        <f t="shared" si="193"/>
        <v>490211,01</v>
      </c>
      <c r="B3086" s="60">
        <f>COUNTIF($J$7:J3086,J3086)</f>
        <v>490</v>
      </c>
      <c r="C3086" s="60" t="str">
        <f t="shared" si="194"/>
        <v>0</v>
      </c>
      <c r="D3086" s="60">
        <f>COUNTIF($K$7:K3086,K3086)</f>
        <v>0</v>
      </c>
      <c r="E3086" s="61"/>
      <c r="F3086" s="293">
        <v>44634.608564814815</v>
      </c>
      <c r="G3086" s="232"/>
      <c r="H3086" s="73" t="s">
        <v>1615</v>
      </c>
      <c r="I3086" s="243" t="s">
        <v>1700</v>
      </c>
      <c r="J3086" s="67">
        <v>211.01</v>
      </c>
      <c r="K3086" s="243"/>
      <c r="L3086" s="223">
        <v>66634000</v>
      </c>
      <c r="M3086" s="224"/>
      <c r="N3086" s="224"/>
      <c r="O3086" s="61"/>
      <c r="P3086" s="69" t="str">
        <f t="shared" si="195"/>
        <v>Hutang Pajak PPN</v>
      </c>
      <c r="Q3086" s="61"/>
    </row>
    <row r="3087" spans="1:17" hidden="1" x14ac:dyDescent="0.25">
      <c r="A3087" s="60" t="str">
        <f t="shared" si="193"/>
        <v>13211,03</v>
      </c>
      <c r="B3087" s="60">
        <f>COUNTIF($J$7:J3087,J3087)</f>
        <v>13</v>
      </c>
      <c r="C3087" s="60" t="str">
        <f t="shared" si="194"/>
        <v>0</v>
      </c>
      <c r="D3087" s="60">
        <f>COUNTIF($K$7:K3087,K3087)</f>
        <v>0</v>
      </c>
      <c r="E3087" s="61"/>
      <c r="F3087" s="293">
        <v>44634.608564814815</v>
      </c>
      <c r="G3087" s="232"/>
      <c r="H3087" s="73" t="s">
        <v>1615</v>
      </c>
      <c r="I3087" s="243" t="s">
        <v>1701</v>
      </c>
      <c r="J3087" s="67">
        <v>211.03</v>
      </c>
      <c r="K3087" s="243"/>
      <c r="L3087" s="223">
        <v>49976000</v>
      </c>
      <c r="M3087" s="224"/>
      <c r="N3087" s="224"/>
      <c r="O3087" s="61"/>
      <c r="P3087" s="69" t="str">
        <f t="shared" si="195"/>
        <v>Hutang PPh 22</v>
      </c>
      <c r="Q3087" s="61"/>
    </row>
    <row r="3088" spans="1:17" hidden="1" x14ac:dyDescent="0.25">
      <c r="A3088" s="60" t="str">
        <f t="shared" si="193"/>
        <v>80220,03</v>
      </c>
      <c r="B3088" s="60">
        <f>COUNTIF($J$7:J3088,J3088)</f>
        <v>80</v>
      </c>
      <c r="C3088" s="60" t="str">
        <f t="shared" si="194"/>
        <v>0</v>
      </c>
      <c r="D3088" s="60">
        <f>COUNTIF($K$7:K3088,K3088)</f>
        <v>0</v>
      </c>
      <c r="E3088" s="61"/>
      <c r="F3088" s="293">
        <v>44636.392638888887</v>
      </c>
      <c r="G3088" s="232"/>
      <c r="H3088" s="73" t="s">
        <v>1615</v>
      </c>
      <c r="I3088" s="243" t="s">
        <v>1702</v>
      </c>
      <c r="J3088" s="67">
        <v>220.03</v>
      </c>
      <c r="K3088" s="243"/>
      <c r="L3088" s="223">
        <v>183500</v>
      </c>
      <c r="M3088" s="224"/>
      <c r="N3088" s="224"/>
      <c r="O3088" s="61"/>
      <c r="P3088" s="69" t="str">
        <f t="shared" si="195"/>
        <v>Hutang BIaya</v>
      </c>
      <c r="Q3088" s="61"/>
    </row>
    <row r="3089" spans="1:17" hidden="1" x14ac:dyDescent="0.25">
      <c r="A3089" s="60" t="str">
        <f t="shared" si="193"/>
        <v>20512,03</v>
      </c>
      <c r="B3089" s="60">
        <f>COUNTIF($J$7:J3089,J3089)</f>
        <v>20</v>
      </c>
      <c r="C3089" s="60" t="str">
        <f t="shared" si="194"/>
        <v>0</v>
      </c>
      <c r="D3089" s="60">
        <f>COUNTIF($K$7:K3089,K3089)</f>
        <v>0</v>
      </c>
      <c r="E3089" s="61"/>
      <c r="F3089" s="293">
        <v>44636.392638888887</v>
      </c>
      <c r="G3089" s="232"/>
      <c r="H3089" s="73" t="s">
        <v>1615</v>
      </c>
      <c r="I3089" s="243" t="s">
        <v>1703</v>
      </c>
      <c r="J3089" s="241">
        <v>512.03</v>
      </c>
      <c r="K3089" s="243"/>
      <c r="L3089" s="223">
        <v>250000</v>
      </c>
      <c r="M3089" s="224"/>
      <c r="N3089" s="224"/>
      <c r="O3089" s="61"/>
      <c r="P3089" s="69" t="str">
        <f t="shared" si="195"/>
        <v>Beban Gasoline Marketing (Bensin, Parkir, Tol)</v>
      </c>
      <c r="Q3089" s="61"/>
    </row>
    <row r="3090" spans="1:17" hidden="1" x14ac:dyDescent="0.25">
      <c r="A3090" s="60" t="str">
        <f t="shared" si="193"/>
        <v>16610,15</v>
      </c>
      <c r="B3090" s="60">
        <f>COUNTIF($J$7:J3090,J3090)</f>
        <v>16</v>
      </c>
      <c r="C3090" s="60" t="str">
        <f t="shared" si="194"/>
        <v>0</v>
      </c>
      <c r="D3090" s="60">
        <f>COUNTIF($K$7:K3090,K3090)</f>
        <v>0</v>
      </c>
      <c r="E3090" s="61"/>
      <c r="F3090" s="293">
        <v>44636.392650462964</v>
      </c>
      <c r="G3090" s="232"/>
      <c r="H3090" s="73" t="s">
        <v>1615</v>
      </c>
      <c r="I3090" s="243" t="s">
        <v>1704</v>
      </c>
      <c r="J3090" s="67">
        <v>610.15</v>
      </c>
      <c r="K3090" s="243"/>
      <c r="L3090" s="223">
        <v>1000000</v>
      </c>
      <c r="M3090" s="224"/>
      <c r="N3090" s="224"/>
      <c r="O3090" s="61"/>
      <c r="P3090" s="69" t="str">
        <f t="shared" si="195"/>
        <v>Biaya Pemeliharaan Lingkungan (Keamanan dan Kebersihan)</v>
      </c>
      <c r="Q3090" s="61"/>
    </row>
    <row r="3091" spans="1:17" hidden="1" x14ac:dyDescent="0.25">
      <c r="A3091" s="60" t="str">
        <f t="shared" si="193"/>
        <v>83810,01</v>
      </c>
      <c r="B3091" s="60">
        <f>COUNTIF($J$7:J3091,J3091)</f>
        <v>83</v>
      </c>
      <c r="C3091" s="60" t="str">
        <f t="shared" si="194"/>
        <v>0</v>
      </c>
      <c r="D3091" s="60">
        <f>COUNTIF($K$7:K3091,K3091)</f>
        <v>0</v>
      </c>
      <c r="E3091" s="61"/>
      <c r="F3091" s="293">
        <v>44636</v>
      </c>
      <c r="G3091" s="232"/>
      <c r="H3091" s="73" t="s">
        <v>1615</v>
      </c>
      <c r="I3091" s="243" t="s">
        <v>282</v>
      </c>
      <c r="J3091" s="221">
        <v>810.01</v>
      </c>
      <c r="K3091" s="243"/>
      <c r="L3091" s="224">
        <v>6500</v>
      </c>
      <c r="M3091" s="224"/>
      <c r="N3091" s="224"/>
      <c r="O3091" s="61"/>
      <c r="P3091" s="69" t="str">
        <f t="shared" si="195"/>
        <v>Biaya Admin Transfer dan Rek</v>
      </c>
      <c r="Q3091" s="61"/>
    </row>
    <row r="3092" spans="1:17" hidden="1" x14ac:dyDescent="0.25">
      <c r="A3092" s="60" t="str">
        <f t="shared" si="193"/>
        <v>21512,03</v>
      </c>
      <c r="B3092" s="60">
        <f>COUNTIF($J$7:J3092,J3092)</f>
        <v>21</v>
      </c>
      <c r="C3092" s="60" t="str">
        <f t="shared" si="194"/>
        <v>0</v>
      </c>
      <c r="D3092" s="60">
        <f>COUNTIF($K$7:K3092,K3092)</f>
        <v>0</v>
      </c>
      <c r="E3092" s="61"/>
      <c r="F3092" s="293">
        <v>44636.39266203704</v>
      </c>
      <c r="G3092" s="232"/>
      <c r="H3092" s="73" t="s">
        <v>1615</v>
      </c>
      <c r="I3092" s="243" t="s">
        <v>1705</v>
      </c>
      <c r="J3092" s="241">
        <v>512.03</v>
      </c>
      <c r="K3092" s="243"/>
      <c r="L3092" s="223">
        <v>800500</v>
      </c>
      <c r="M3092" s="224"/>
      <c r="N3092" s="224"/>
      <c r="O3092" s="61"/>
      <c r="P3092" s="69" t="str">
        <f t="shared" si="195"/>
        <v>Beban Gasoline Marketing (Bensin, Parkir, Tol)</v>
      </c>
      <c r="Q3092" s="61"/>
    </row>
    <row r="3093" spans="1:17" hidden="1" x14ac:dyDescent="0.25">
      <c r="A3093" s="60" t="str">
        <f t="shared" si="193"/>
        <v>67119</v>
      </c>
      <c r="B3093" s="60">
        <f>COUNTIF($J$7:J3093,J3093)</f>
        <v>67</v>
      </c>
      <c r="C3093" s="60" t="str">
        <f t="shared" si="194"/>
        <v>26119,01</v>
      </c>
      <c r="D3093" s="60">
        <f>COUNTIF($K$7:K3093,K3093)</f>
        <v>26</v>
      </c>
      <c r="E3093" s="61"/>
      <c r="F3093" s="293">
        <v>44636.39266203704</v>
      </c>
      <c r="G3093" s="232"/>
      <c r="H3093" s="73" t="s">
        <v>1615</v>
      </c>
      <c r="I3093" s="243" t="s">
        <v>1706</v>
      </c>
      <c r="J3093" s="67">
        <v>119</v>
      </c>
      <c r="K3093" s="243">
        <v>119.01</v>
      </c>
      <c r="L3093" s="223">
        <v>2300000</v>
      </c>
      <c r="M3093" s="224"/>
      <c r="N3093" s="224"/>
      <c r="O3093" s="61"/>
      <c r="P3093" s="69" t="str">
        <f t="shared" si="195"/>
        <v>Uang Muka Biaya Pengiriman dan Perjalanan Dinas Marketing</v>
      </c>
      <c r="Q3093" s="61"/>
    </row>
    <row r="3094" spans="1:17" hidden="1" x14ac:dyDescent="0.25">
      <c r="A3094" s="60" t="str">
        <f t="shared" si="193"/>
        <v>357111,01</v>
      </c>
      <c r="B3094" s="60">
        <f>COUNTIF($J$7:J3094,J3094)</f>
        <v>357</v>
      </c>
      <c r="C3094" s="60" t="str">
        <f t="shared" si="194"/>
        <v>0</v>
      </c>
      <c r="D3094" s="60">
        <f>COUNTIF($K$7:K3094,K3094)</f>
        <v>0</v>
      </c>
      <c r="E3094" s="61"/>
      <c r="F3094" s="293">
        <v>44631.406851851854</v>
      </c>
      <c r="G3094" s="232"/>
      <c r="H3094" s="73" t="s">
        <v>1615</v>
      </c>
      <c r="I3094" s="243" t="s">
        <v>1691</v>
      </c>
      <c r="J3094" s="67">
        <v>111.01</v>
      </c>
      <c r="K3094" s="243"/>
      <c r="L3094" s="61"/>
      <c r="M3094" s="224">
        <f>'[1]Sewa &amp; Asuransi'!D156</f>
        <v>4982000</v>
      </c>
      <c r="N3094" s="224"/>
      <c r="O3094" s="61"/>
      <c r="P3094" s="69" t="str">
        <f t="shared" si="195"/>
        <v>BNI IDR 768</v>
      </c>
      <c r="Q3094" s="61"/>
    </row>
    <row r="3095" spans="1:17" hidden="1" x14ac:dyDescent="0.25">
      <c r="A3095" s="60" t="str">
        <f t="shared" si="193"/>
        <v>358111,01</v>
      </c>
      <c r="B3095" s="60">
        <f>COUNTIF($J$7:J3095,J3095)</f>
        <v>358</v>
      </c>
      <c r="C3095" s="60" t="str">
        <f t="shared" si="194"/>
        <v>0</v>
      </c>
      <c r="D3095" s="60">
        <f>COUNTIF($K$7:K3095,K3095)</f>
        <v>0</v>
      </c>
      <c r="E3095" s="61"/>
      <c r="F3095" s="293">
        <v>44631.609305555554</v>
      </c>
      <c r="G3095" s="232"/>
      <c r="H3095" s="73" t="s">
        <v>1615</v>
      </c>
      <c r="I3095" s="243" t="s">
        <v>1692</v>
      </c>
      <c r="J3095" s="67">
        <v>111.01</v>
      </c>
      <c r="K3095" s="243"/>
      <c r="L3095" s="224"/>
      <c r="M3095" s="223">
        <v>150000</v>
      </c>
      <c r="N3095" s="223"/>
      <c r="O3095" s="61"/>
      <c r="P3095" s="69" t="str">
        <f t="shared" si="195"/>
        <v>BNI IDR 768</v>
      </c>
      <c r="Q3095" s="61"/>
    </row>
    <row r="3096" spans="1:17" hidden="1" x14ac:dyDescent="0.25">
      <c r="A3096" s="60" t="str">
        <f t="shared" si="193"/>
        <v>359111,01</v>
      </c>
      <c r="B3096" s="60">
        <f>COUNTIF($J$7:J3096,J3096)</f>
        <v>359</v>
      </c>
      <c r="C3096" s="60" t="str">
        <f t="shared" si="194"/>
        <v>0</v>
      </c>
      <c r="D3096" s="60">
        <f>COUNTIF($K$7:K3096,K3096)</f>
        <v>0</v>
      </c>
      <c r="E3096" s="61"/>
      <c r="F3096" s="293">
        <v>44631.609722222223</v>
      </c>
      <c r="G3096" s="232"/>
      <c r="H3096" s="73" t="s">
        <v>1615</v>
      </c>
      <c r="I3096" s="243" t="s">
        <v>1693</v>
      </c>
      <c r="J3096" s="67">
        <v>111.01</v>
      </c>
      <c r="K3096" s="243"/>
      <c r="L3096" s="224"/>
      <c r="M3096" s="223">
        <v>2000000</v>
      </c>
      <c r="N3096" s="223"/>
      <c r="O3096" s="61"/>
      <c r="P3096" s="69" t="str">
        <f t="shared" si="195"/>
        <v>BNI IDR 768</v>
      </c>
      <c r="Q3096" s="61"/>
    </row>
    <row r="3097" spans="1:17" hidden="1" x14ac:dyDescent="0.25">
      <c r="A3097" s="60" t="str">
        <f t="shared" si="193"/>
        <v>360111,01</v>
      </c>
      <c r="B3097" s="60">
        <f>COUNTIF($J$7:J3097,J3097)</f>
        <v>360</v>
      </c>
      <c r="C3097" s="60" t="str">
        <f t="shared" si="194"/>
        <v>0</v>
      </c>
      <c r="D3097" s="60">
        <f>COUNTIF($K$7:K3097,K3097)</f>
        <v>0</v>
      </c>
      <c r="E3097" s="61"/>
      <c r="F3097" s="293">
        <v>44631.609722222223</v>
      </c>
      <c r="G3097" s="232"/>
      <c r="H3097" s="73" t="s">
        <v>1615</v>
      </c>
      <c r="I3097" s="243" t="s">
        <v>1694</v>
      </c>
      <c r="J3097" s="67">
        <v>111.01</v>
      </c>
      <c r="K3097" s="243"/>
      <c r="L3097" s="224"/>
      <c r="M3097" s="223">
        <v>300000</v>
      </c>
      <c r="N3097" s="223"/>
      <c r="O3097" s="61"/>
      <c r="P3097" s="69" t="str">
        <f t="shared" si="195"/>
        <v>BNI IDR 768</v>
      </c>
      <c r="Q3097" s="61"/>
    </row>
    <row r="3098" spans="1:17" hidden="1" x14ac:dyDescent="0.25">
      <c r="A3098" s="60" t="str">
        <f t="shared" si="193"/>
        <v>361111,01</v>
      </c>
      <c r="B3098" s="60">
        <f>COUNTIF($J$7:J3098,J3098)</f>
        <v>361</v>
      </c>
      <c r="C3098" s="60" t="str">
        <f t="shared" si="194"/>
        <v>0</v>
      </c>
      <c r="D3098" s="60">
        <f>COUNTIF($K$7:K3098,K3098)</f>
        <v>0</v>
      </c>
      <c r="E3098" s="61"/>
      <c r="F3098" s="293">
        <v>44631.60974537037</v>
      </c>
      <c r="G3098" s="232"/>
      <c r="H3098" s="73" t="s">
        <v>1615</v>
      </c>
      <c r="I3098" s="243" t="s">
        <v>1695</v>
      </c>
      <c r="J3098" s="67">
        <v>111.01</v>
      </c>
      <c r="K3098" s="243"/>
      <c r="L3098" s="224"/>
      <c r="M3098" s="223">
        <v>2000000</v>
      </c>
      <c r="N3098" s="223"/>
      <c r="O3098" s="61"/>
      <c r="P3098" s="69" t="str">
        <f t="shared" si="195"/>
        <v>BNI IDR 768</v>
      </c>
      <c r="Q3098" s="61"/>
    </row>
    <row r="3099" spans="1:17" hidden="1" x14ac:dyDescent="0.25">
      <c r="A3099" s="60" t="str">
        <f t="shared" si="193"/>
        <v>362111,01</v>
      </c>
      <c r="B3099" s="60">
        <f>COUNTIF($J$7:J3099,J3099)</f>
        <v>362</v>
      </c>
      <c r="C3099" s="60" t="str">
        <f t="shared" si="194"/>
        <v>0</v>
      </c>
      <c r="D3099" s="60">
        <f>COUNTIF($K$7:K3099,K3099)</f>
        <v>0</v>
      </c>
      <c r="E3099" s="61"/>
      <c r="F3099" s="293">
        <v>44631.650821759256</v>
      </c>
      <c r="G3099" s="232"/>
      <c r="H3099" s="73" t="s">
        <v>1615</v>
      </c>
      <c r="I3099" s="243" t="s">
        <v>1707</v>
      </c>
      <c r="J3099" s="67">
        <v>111.01</v>
      </c>
      <c r="K3099" s="243"/>
      <c r="L3099" s="224"/>
      <c r="M3099" s="223">
        <v>20842209</v>
      </c>
      <c r="N3099" s="223"/>
      <c r="O3099" s="61"/>
      <c r="P3099" s="69" t="str">
        <f t="shared" si="195"/>
        <v>BNI IDR 768</v>
      </c>
      <c r="Q3099" s="61"/>
    </row>
    <row r="3100" spans="1:17" hidden="1" x14ac:dyDescent="0.25">
      <c r="A3100" s="60" t="str">
        <f t="shared" si="193"/>
        <v>363111,01</v>
      </c>
      <c r="B3100" s="60">
        <f>COUNTIF($J$7:J3100,J3100)</f>
        <v>363</v>
      </c>
      <c r="C3100" s="60" t="str">
        <f t="shared" si="194"/>
        <v>0</v>
      </c>
      <c r="D3100" s="60">
        <f>COUNTIF($K$7:K3100,K3100)</f>
        <v>0</v>
      </c>
      <c r="E3100" s="61"/>
      <c r="F3100" s="293">
        <v>44634.533634259256</v>
      </c>
      <c r="G3100" s="232"/>
      <c r="H3100" s="73" t="s">
        <v>1615</v>
      </c>
      <c r="I3100" s="243" t="s">
        <v>1697</v>
      </c>
      <c r="J3100" s="67">
        <v>111.01</v>
      </c>
      <c r="K3100" s="243"/>
      <c r="L3100" s="224"/>
      <c r="M3100" s="223">
        <v>670437</v>
      </c>
      <c r="N3100" s="223"/>
      <c r="O3100" s="61"/>
      <c r="P3100" s="69" t="str">
        <f t="shared" si="195"/>
        <v>BNI IDR 768</v>
      </c>
      <c r="Q3100" s="61"/>
    </row>
    <row r="3101" spans="1:17" hidden="1" x14ac:dyDescent="0.25">
      <c r="A3101" s="60" t="str">
        <f t="shared" si="193"/>
        <v>364111,01</v>
      </c>
      <c r="B3101" s="60">
        <f>COUNTIF($J$7:J3101,J3101)</f>
        <v>364</v>
      </c>
      <c r="C3101" s="60" t="str">
        <f t="shared" si="194"/>
        <v>0</v>
      </c>
      <c r="D3101" s="60">
        <f>COUNTIF($K$7:K3101,K3101)</f>
        <v>0</v>
      </c>
      <c r="E3101" s="61"/>
      <c r="F3101" s="293">
        <v>44634.533645833333</v>
      </c>
      <c r="G3101" s="232"/>
      <c r="H3101" s="73" t="s">
        <v>1615</v>
      </c>
      <c r="I3101" s="243" t="s">
        <v>1708</v>
      </c>
      <c r="J3101" s="67">
        <v>111.01</v>
      </c>
      <c r="K3101" s="243"/>
      <c r="L3101" s="224"/>
      <c r="M3101" s="223">
        <v>1429000</v>
      </c>
      <c r="N3101" s="223"/>
      <c r="O3101" s="61"/>
      <c r="P3101" s="69" t="str">
        <f t="shared" si="195"/>
        <v>BNI IDR 768</v>
      </c>
      <c r="Q3101" s="61"/>
    </row>
    <row r="3102" spans="1:17" hidden="1" x14ac:dyDescent="0.25">
      <c r="A3102" s="60" t="str">
        <f t="shared" si="193"/>
        <v>365111,01</v>
      </c>
      <c r="B3102" s="60">
        <f>COUNTIF($J$7:J3102,J3102)</f>
        <v>365</v>
      </c>
      <c r="C3102" s="60" t="str">
        <f t="shared" si="194"/>
        <v>0</v>
      </c>
      <c r="D3102" s="60">
        <f>COUNTIF($K$7:K3102,K3102)</f>
        <v>0</v>
      </c>
      <c r="E3102" s="61"/>
      <c r="F3102" s="293">
        <v>44634.53365740741</v>
      </c>
      <c r="G3102" s="232"/>
      <c r="H3102" s="73" t="s">
        <v>1615</v>
      </c>
      <c r="I3102" s="243" t="s">
        <v>1699</v>
      </c>
      <c r="J3102" s="67">
        <v>111.01</v>
      </c>
      <c r="K3102" s="243"/>
      <c r="L3102" s="224"/>
      <c r="M3102" s="223">
        <v>2782586</v>
      </c>
      <c r="N3102" s="223"/>
      <c r="O3102" s="61"/>
      <c r="P3102" s="69" t="str">
        <f t="shared" si="195"/>
        <v>BNI IDR 768</v>
      </c>
      <c r="Q3102" s="61"/>
    </row>
    <row r="3103" spans="1:17" hidden="1" x14ac:dyDescent="0.25">
      <c r="A3103" s="60" t="str">
        <f t="shared" si="193"/>
        <v>366111,01</v>
      </c>
      <c r="B3103" s="60">
        <f>COUNTIF($J$7:J3103,J3103)</f>
        <v>366</v>
      </c>
      <c r="C3103" s="60" t="str">
        <f t="shared" si="194"/>
        <v>0</v>
      </c>
      <c r="D3103" s="60">
        <f>COUNTIF($K$7:K3103,K3103)</f>
        <v>0</v>
      </c>
      <c r="E3103" s="61"/>
      <c r="F3103" s="293">
        <v>44634.608564814815</v>
      </c>
      <c r="G3103" s="232"/>
      <c r="H3103" s="73" t="s">
        <v>1615</v>
      </c>
      <c r="I3103" s="243" t="s">
        <v>1700</v>
      </c>
      <c r="J3103" s="67">
        <v>111.01</v>
      </c>
      <c r="K3103" s="243"/>
      <c r="L3103" s="224"/>
      <c r="M3103" s="223">
        <v>66634000</v>
      </c>
      <c r="N3103" s="223"/>
      <c r="O3103" s="61"/>
      <c r="P3103" s="69" t="str">
        <f t="shared" si="195"/>
        <v>BNI IDR 768</v>
      </c>
      <c r="Q3103" s="61"/>
    </row>
    <row r="3104" spans="1:17" hidden="1" x14ac:dyDescent="0.25">
      <c r="A3104" s="60" t="str">
        <f t="shared" si="193"/>
        <v>367111,01</v>
      </c>
      <c r="B3104" s="60">
        <f>COUNTIF($J$7:J3104,J3104)</f>
        <v>367</v>
      </c>
      <c r="C3104" s="60" t="str">
        <f t="shared" si="194"/>
        <v>0</v>
      </c>
      <c r="D3104" s="60">
        <f>COUNTIF($K$7:K3104,K3104)</f>
        <v>0</v>
      </c>
      <c r="E3104" s="61"/>
      <c r="F3104" s="293">
        <v>44634.608564814815</v>
      </c>
      <c r="G3104" s="232"/>
      <c r="H3104" s="73" t="s">
        <v>1615</v>
      </c>
      <c r="I3104" s="243" t="s">
        <v>1701</v>
      </c>
      <c r="J3104" s="67">
        <v>111.01</v>
      </c>
      <c r="K3104" s="243"/>
      <c r="L3104" s="224"/>
      <c r="M3104" s="223">
        <v>49976000</v>
      </c>
      <c r="N3104" s="223"/>
      <c r="O3104" s="61"/>
      <c r="P3104" s="69" t="str">
        <f t="shared" si="195"/>
        <v>BNI IDR 768</v>
      </c>
      <c r="Q3104" s="61"/>
    </row>
    <row r="3105" spans="1:17" hidden="1" x14ac:dyDescent="0.25">
      <c r="A3105" s="60" t="str">
        <f t="shared" si="193"/>
        <v>368111,01</v>
      </c>
      <c r="B3105" s="60">
        <f>COUNTIF($J$7:J3105,J3105)</f>
        <v>368</v>
      </c>
      <c r="C3105" s="60" t="str">
        <f t="shared" si="194"/>
        <v>0</v>
      </c>
      <c r="D3105" s="60">
        <f>COUNTIF($K$7:K3105,K3105)</f>
        <v>0</v>
      </c>
      <c r="E3105" s="61"/>
      <c r="F3105" s="293">
        <v>44636.392638888887</v>
      </c>
      <c r="G3105" s="232"/>
      <c r="H3105" s="73" t="s">
        <v>1615</v>
      </c>
      <c r="I3105" s="243" t="s">
        <v>1702</v>
      </c>
      <c r="J3105" s="67">
        <v>111.01</v>
      </c>
      <c r="K3105" s="243"/>
      <c r="L3105" s="224"/>
      <c r="M3105" s="223">
        <v>183500</v>
      </c>
      <c r="N3105" s="223"/>
      <c r="O3105" s="61"/>
      <c r="P3105" s="69" t="str">
        <f t="shared" si="195"/>
        <v>BNI IDR 768</v>
      </c>
      <c r="Q3105" s="61"/>
    </row>
    <row r="3106" spans="1:17" hidden="1" x14ac:dyDescent="0.25">
      <c r="A3106" s="60" t="str">
        <f t="shared" si="193"/>
        <v>369111,01</v>
      </c>
      <c r="B3106" s="60">
        <f>COUNTIF($J$7:J3106,J3106)</f>
        <v>369</v>
      </c>
      <c r="C3106" s="60" t="str">
        <f t="shared" si="194"/>
        <v>0</v>
      </c>
      <c r="D3106" s="60">
        <f>COUNTIF($K$7:K3106,K3106)</f>
        <v>0</v>
      </c>
      <c r="E3106" s="61"/>
      <c r="F3106" s="293">
        <v>44636.392638888887</v>
      </c>
      <c r="G3106" s="232"/>
      <c r="H3106" s="73" t="s">
        <v>1615</v>
      </c>
      <c r="I3106" s="243" t="s">
        <v>1703</v>
      </c>
      <c r="J3106" s="67">
        <v>111.01</v>
      </c>
      <c r="K3106" s="243"/>
      <c r="L3106" s="224"/>
      <c r="M3106" s="223">
        <v>250000</v>
      </c>
      <c r="N3106" s="223"/>
      <c r="O3106" s="61"/>
      <c r="P3106" s="69" t="str">
        <f t="shared" si="195"/>
        <v>BNI IDR 768</v>
      </c>
      <c r="Q3106" s="61"/>
    </row>
    <row r="3107" spans="1:17" hidden="1" x14ac:dyDescent="0.25">
      <c r="A3107" s="60" t="str">
        <f t="shared" si="193"/>
        <v>370111,01</v>
      </c>
      <c r="B3107" s="60">
        <f>COUNTIF($J$7:J3107,J3107)</f>
        <v>370</v>
      </c>
      <c r="C3107" s="60" t="str">
        <f t="shared" si="194"/>
        <v>0</v>
      </c>
      <c r="D3107" s="60">
        <f>COUNTIF($K$7:K3107,K3107)</f>
        <v>0</v>
      </c>
      <c r="E3107" s="61"/>
      <c r="F3107" s="293">
        <v>44636.392650462964</v>
      </c>
      <c r="G3107" s="232"/>
      <c r="H3107" s="73" t="s">
        <v>1615</v>
      </c>
      <c r="I3107" s="243" t="s">
        <v>1709</v>
      </c>
      <c r="J3107" s="67">
        <v>111.01</v>
      </c>
      <c r="K3107" s="243"/>
      <c r="L3107" s="224"/>
      <c r="M3107" s="223">
        <v>1000000</v>
      </c>
      <c r="N3107" s="223"/>
      <c r="O3107" s="61"/>
      <c r="P3107" s="69" t="str">
        <f t="shared" si="195"/>
        <v>BNI IDR 768</v>
      </c>
      <c r="Q3107" s="61"/>
    </row>
    <row r="3108" spans="1:17" hidden="1" x14ac:dyDescent="0.25">
      <c r="A3108" s="60" t="str">
        <f t="shared" si="193"/>
        <v>371111,01</v>
      </c>
      <c r="B3108" s="60">
        <f>COUNTIF($J$7:J3108,J3108)</f>
        <v>371</v>
      </c>
      <c r="C3108" s="60" t="str">
        <f t="shared" si="194"/>
        <v>0</v>
      </c>
      <c r="D3108" s="60">
        <f>COUNTIF($K$7:K3108,K3108)</f>
        <v>0</v>
      </c>
      <c r="E3108" s="61"/>
      <c r="F3108" s="293">
        <v>44636</v>
      </c>
      <c r="G3108" s="232"/>
      <c r="H3108" s="73" t="s">
        <v>1615</v>
      </c>
      <c r="I3108" s="243" t="s">
        <v>282</v>
      </c>
      <c r="J3108" s="67">
        <v>111.01</v>
      </c>
      <c r="K3108" s="243"/>
      <c r="L3108" s="224"/>
      <c r="M3108" s="223">
        <v>6500</v>
      </c>
      <c r="N3108" s="223"/>
      <c r="O3108" s="61"/>
      <c r="P3108" s="69" t="str">
        <f t="shared" si="195"/>
        <v>BNI IDR 768</v>
      </c>
      <c r="Q3108" s="61"/>
    </row>
    <row r="3109" spans="1:17" hidden="1" x14ac:dyDescent="0.25">
      <c r="A3109" s="60" t="str">
        <f t="shared" si="193"/>
        <v>372111,01</v>
      </c>
      <c r="B3109" s="60">
        <f>COUNTIF($J$7:J3109,J3109)</f>
        <v>372</v>
      </c>
      <c r="C3109" s="60" t="str">
        <f t="shared" si="194"/>
        <v>0</v>
      </c>
      <c r="D3109" s="60">
        <f>COUNTIF($K$7:K3109,K3109)</f>
        <v>0</v>
      </c>
      <c r="E3109" s="61"/>
      <c r="F3109" s="293">
        <v>44636.39266203704</v>
      </c>
      <c r="G3109" s="232"/>
      <c r="H3109" s="73" t="s">
        <v>1615</v>
      </c>
      <c r="I3109" s="243" t="s">
        <v>1705</v>
      </c>
      <c r="J3109" s="67">
        <v>111.01</v>
      </c>
      <c r="K3109" s="243"/>
      <c r="L3109" s="224"/>
      <c r="M3109" s="223">
        <v>800500</v>
      </c>
      <c r="N3109" s="223"/>
      <c r="O3109" s="61"/>
      <c r="P3109" s="69" t="str">
        <f t="shared" si="195"/>
        <v>BNI IDR 768</v>
      </c>
      <c r="Q3109" s="61"/>
    </row>
    <row r="3110" spans="1:17" hidden="1" x14ac:dyDescent="0.25">
      <c r="A3110" s="60" t="str">
        <f t="shared" si="193"/>
        <v>373111,01</v>
      </c>
      <c r="B3110" s="60">
        <f>COUNTIF($J$7:J3110,J3110)</f>
        <v>373</v>
      </c>
      <c r="C3110" s="60" t="str">
        <f t="shared" si="194"/>
        <v>0</v>
      </c>
      <c r="D3110" s="60">
        <f>COUNTIF($K$7:K3110,K3110)</f>
        <v>0</v>
      </c>
      <c r="E3110" s="61"/>
      <c r="F3110" s="293">
        <v>44636.39266203704</v>
      </c>
      <c r="G3110" s="232"/>
      <c r="H3110" s="73" t="s">
        <v>1615</v>
      </c>
      <c r="I3110" s="243" t="s">
        <v>1706</v>
      </c>
      <c r="J3110" s="67">
        <v>111.01</v>
      </c>
      <c r="K3110" s="243"/>
      <c r="L3110" s="224"/>
      <c r="M3110" s="223">
        <v>2300000</v>
      </c>
      <c r="N3110" s="223"/>
      <c r="O3110" s="61"/>
      <c r="P3110" s="69" t="str">
        <f t="shared" si="195"/>
        <v>BNI IDR 768</v>
      </c>
      <c r="Q3110" s="61"/>
    </row>
    <row r="3111" spans="1:17" hidden="1" x14ac:dyDescent="0.25">
      <c r="A3111" s="60" t="str">
        <f t="shared" si="193"/>
        <v>374111,01</v>
      </c>
      <c r="B3111" s="60">
        <f>COUNTIF($J$7:J3111,J3111)</f>
        <v>374</v>
      </c>
      <c r="C3111" s="60" t="str">
        <f t="shared" si="194"/>
        <v>0</v>
      </c>
      <c r="D3111" s="60">
        <f>COUNTIF($K$7:K3111,K3111)</f>
        <v>0</v>
      </c>
      <c r="E3111" s="61"/>
      <c r="F3111" s="293">
        <v>44637.444953703707</v>
      </c>
      <c r="G3111" s="232"/>
      <c r="H3111" s="73" t="s">
        <v>1615</v>
      </c>
      <c r="I3111" s="243" t="s">
        <v>379</v>
      </c>
      <c r="J3111" s="67">
        <v>111.01</v>
      </c>
      <c r="K3111" s="243"/>
      <c r="L3111" s="223">
        <v>112780408</v>
      </c>
      <c r="M3111" s="61"/>
      <c r="N3111" s="61"/>
      <c r="O3111" s="61"/>
      <c r="P3111" s="69" t="str">
        <f t="shared" si="195"/>
        <v>BNI IDR 768</v>
      </c>
      <c r="Q3111" s="61"/>
    </row>
    <row r="3112" spans="1:17" hidden="1" x14ac:dyDescent="0.25">
      <c r="A3112" s="60" t="str">
        <f t="shared" si="193"/>
        <v>375111,01</v>
      </c>
      <c r="B3112" s="60">
        <f>COUNTIF($J$7:J3112,J3112)</f>
        <v>375</v>
      </c>
      <c r="C3112" s="60" t="str">
        <f t="shared" si="194"/>
        <v>0</v>
      </c>
      <c r="D3112" s="60">
        <f>COUNTIF($K$7:K3112,K3112)</f>
        <v>0</v>
      </c>
      <c r="E3112" s="61"/>
      <c r="F3112" s="293">
        <v>44637.474259259259</v>
      </c>
      <c r="G3112" s="232"/>
      <c r="H3112" s="73" t="s">
        <v>1615</v>
      </c>
      <c r="I3112" s="243" t="s">
        <v>379</v>
      </c>
      <c r="J3112" s="67">
        <v>111.01</v>
      </c>
      <c r="K3112" s="243"/>
      <c r="L3112" s="224">
        <v>16689991</v>
      </c>
      <c r="M3112" s="223"/>
      <c r="N3112" s="223"/>
      <c r="O3112" s="61"/>
      <c r="P3112" s="69" t="str">
        <f t="shared" si="195"/>
        <v>BNI IDR 768</v>
      </c>
      <c r="Q3112" s="61"/>
    </row>
    <row r="3113" spans="1:17" hidden="1" x14ac:dyDescent="0.25">
      <c r="A3113" s="60" t="str">
        <f t="shared" si="193"/>
        <v>630112</v>
      </c>
      <c r="B3113" s="60">
        <f>COUNTIF($J$7:J3113,J3113)</f>
        <v>630</v>
      </c>
      <c r="C3113" s="60" t="str">
        <f t="shared" si="194"/>
        <v>92112,4</v>
      </c>
      <c r="D3113" s="60">
        <f>COUNTIF($K$7:K3113,K3113)</f>
        <v>92</v>
      </c>
      <c r="E3113" s="61"/>
      <c r="F3113" s="293">
        <v>44637.444953703707</v>
      </c>
      <c r="G3113" s="164" t="s">
        <v>149</v>
      </c>
      <c r="H3113" s="73" t="s">
        <v>1615</v>
      </c>
      <c r="I3113" s="243" t="s">
        <v>379</v>
      </c>
      <c r="J3113" s="265">
        <v>112</v>
      </c>
      <c r="K3113" s="84">
        <v>112.4</v>
      </c>
      <c r="L3113" s="224"/>
      <c r="M3113" s="223">
        <v>112780408</v>
      </c>
      <c r="N3113" s="223"/>
      <c r="O3113" s="61"/>
      <c r="P3113" s="69" t="str">
        <f t="shared" si="195"/>
        <v>Piutang Usaha</v>
      </c>
      <c r="Q3113" s="61"/>
    </row>
    <row r="3114" spans="1:17" hidden="1" x14ac:dyDescent="0.25">
      <c r="A3114" s="60" t="str">
        <f t="shared" si="193"/>
        <v>631112</v>
      </c>
      <c r="B3114" s="60">
        <f>COUNTIF($J$7:J3114,J3114)</f>
        <v>631</v>
      </c>
      <c r="C3114" s="60" t="str">
        <f t="shared" si="194"/>
        <v>93112,4</v>
      </c>
      <c r="D3114" s="60">
        <f>COUNTIF($K$7:K3114,K3114)</f>
        <v>93</v>
      </c>
      <c r="E3114" s="61"/>
      <c r="F3114" s="293">
        <v>44637.474259259259</v>
      </c>
      <c r="G3114" s="164" t="s">
        <v>149</v>
      </c>
      <c r="H3114" s="73" t="s">
        <v>1615</v>
      </c>
      <c r="I3114" s="243" t="s">
        <v>379</v>
      </c>
      <c r="J3114" s="265">
        <v>112</v>
      </c>
      <c r="K3114" s="84">
        <v>112.4</v>
      </c>
      <c r="L3114" s="224"/>
      <c r="M3114" s="224">
        <v>16689991</v>
      </c>
      <c r="N3114" s="224"/>
      <c r="O3114" s="61"/>
      <c r="P3114" s="69" t="str">
        <f t="shared" si="195"/>
        <v>Piutang Usaha</v>
      </c>
      <c r="Q3114" s="61"/>
    </row>
    <row r="3115" spans="1:17" hidden="1" x14ac:dyDescent="0.25">
      <c r="A3115" s="60" t="str">
        <f t="shared" si="193"/>
        <v>7610,04</v>
      </c>
      <c r="B3115" s="60">
        <f>COUNTIF($J$7:J3115,J3115)</f>
        <v>7</v>
      </c>
      <c r="C3115" s="60" t="str">
        <f t="shared" si="194"/>
        <v>0</v>
      </c>
      <c r="D3115" s="60">
        <f>COUNTIF($K$7:K3115,K3115)</f>
        <v>0</v>
      </c>
      <c r="E3115" s="61"/>
      <c r="F3115" s="293">
        <v>44638.784942129627</v>
      </c>
      <c r="G3115" s="232"/>
      <c r="H3115" s="73" t="s">
        <v>1615</v>
      </c>
      <c r="I3115" s="243" t="s">
        <v>1710</v>
      </c>
      <c r="J3115" s="61">
        <v>610.04</v>
      </c>
      <c r="K3115" s="243"/>
      <c r="L3115" s="224">
        <v>1062500</v>
      </c>
      <c r="M3115" s="224"/>
      <c r="N3115" s="224"/>
      <c r="O3115" s="61"/>
      <c r="P3115" s="69" t="str">
        <f t="shared" si="195"/>
        <v>Biaya Transportasi Umum (Bensin, Tol, Parkir) dan Kirim Dokumen</v>
      </c>
      <c r="Q3115" s="61"/>
    </row>
    <row r="3116" spans="1:17" hidden="1" x14ac:dyDescent="0.25">
      <c r="A3116" s="60" t="str">
        <f t="shared" si="193"/>
        <v>70511,03</v>
      </c>
      <c r="B3116" s="60">
        <f>COUNTIF($J$7:J3116,J3116)</f>
        <v>70</v>
      </c>
      <c r="C3116" s="60" t="str">
        <f t="shared" si="194"/>
        <v>0</v>
      </c>
      <c r="D3116" s="60">
        <f>COUNTIF($K$7:K3116,K3116)</f>
        <v>0</v>
      </c>
      <c r="E3116" s="61"/>
      <c r="F3116" s="293">
        <v>44638.784953703704</v>
      </c>
      <c r="G3116" s="232"/>
      <c r="H3116" s="73" t="s">
        <v>1615</v>
      </c>
      <c r="I3116" s="243" t="s">
        <v>1711</v>
      </c>
      <c r="J3116" s="67">
        <v>511.03</v>
      </c>
      <c r="K3116" s="243"/>
      <c r="L3116" s="223">
        <v>1222000</v>
      </c>
      <c r="M3116" s="224"/>
      <c r="N3116" s="224"/>
      <c r="O3116" s="61"/>
      <c r="P3116" s="69" t="str">
        <f t="shared" si="195"/>
        <v>Biaya Pengiriman Barang Ekspedisi</v>
      </c>
      <c r="Q3116" s="61"/>
    </row>
    <row r="3117" spans="1:17" hidden="1" x14ac:dyDescent="0.25">
      <c r="A3117" s="60" t="str">
        <f t="shared" si="193"/>
        <v>84810,01</v>
      </c>
      <c r="B3117" s="60">
        <f>COUNTIF($J$7:J3117,J3117)</f>
        <v>84</v>
      </c>
      <c r="C3117" s="60" t="str">
        <f t="shared" si="194"/>
        <v>0</v>
      </c>
      <c r="D3117" s="60">
        <f>COUNTIF($K$7:K3117,K3117)</f>
        <v>0</v>
      </c>
      <c r="E3117" s="61"/>
      <c r="F3117" s="293">
        <v>44638</v>
      </c>
      <c r="G3117" s="232"/>
      <c r="H3117" s="73" t="s">
        <v>1615</v>
      </c>
      <c r="I3117" s="243" t="s">
        <v>282</v>
      </c>
      <c r="J3117" s="67">
        <v>810.01</v>
      </c>
      <c r="K3117" s="243"/>
      <c r="L3117" s="224">
        <v>6500</v>
      </c>
      <c r="M3117" s="224"/>
      <c r="N3117" s="224"/>
      <c r="O3117" s="61"/>
      <c r="P3117" s="69" t="str">
        <f t="shared" si="195"/>
        <v>Biaya Admin Transfer dan Rek</v>
      </c>
      <c r="Q3117" s="61"/>
    </row>
    <row r="3118" spans="1:17" hidden="1" x14ac:dyDescent="0.25">
      <c r="A3118" s="60" t="str">
        <f t="shared" si="193"/>
        <v>22512,03</v>
      </c>
      <c r="B3118" s="60">
        <f>COUNTIF($J$7:J3118,J3118)</f>
        <v>22</v>
      </c>
      <c r="C3118" s="60" t="str">
        <f t="shared" si="194"/>
        <v>0</v>
      </c>
      <c r="D3118" s="60">
        <f>COUNTIF($K$7:K3118,K3118)</f>
        <v>0</v>
      </c>
      <c r="E3118" s="61"/>
      <c r="F3118" s="293">
        <v>44638.785381944443</v>
      </c>
      <c r="G3118" s="232"/>
      <c r="H3118" s="73" t="s">
        <v>1615</v>
      </c>
      <c r="I3118" s="243" t="s">
        <v>1712</v>
      </c>
      <c r="J3118" s="238">
        <v>512.03</v>
      </c>
      <c r="K3118" s="243"/>
      <c r="L3118" s="223">
        <v>200000</v>
      </c>
      <c r="M3118" s="224"/>
      <c r="N3118" s="224"/>
      <c r="O3118" s="61"/>
      <c r="P3118" s="69" t="str">
        <f t="shared" si="195"/>
        <v>Beban Gasoline Marketing (Bensin, Parkir, Tol)</v>
      </c>
      <c r="Q3118" s="61"/>
    </row>
    <row r="3119" spans="1:17" hidden="1" x14ac:dyDescent="0.25">
      <c r="A3119" s="60" t="str">
        <f t="shared" si="193"/>
        <v>376111,01</v>
      </c>
      <c r="B3119" s="60">
        <f>COUNTIF($J$7:J3119,J3119)</f>
        <v>376</v>
      </c>
      <c r="C3119" s="60" t="str">
        <f t="shared" si="194"/>
        <v>0</v>
      </c>
      <c r="D3119" s="60">
        <f>COUNTIF($K$7:K3119,K3119)</f>
        <v>0</v>
      </c>
      <c r="E3119" s="61"/>
      <c r="F3119" s="293">
        <v>44638.784942129627</v>
      </c>
      <c r="G3119" s="232"/>
      <c r="H3119" s="73" t="s">
        <v>1615</v>
      </c>
      <c r="I3119" s="243" t="s">
        <v>1713</v>
      </c>
      <c r="J3119" s="67">
        <v>111.01</v>
      </c>
      <c r="K3119" s="243"/>
      <c r="L3119" s="61"/>
      <c r="M3119" s="224">
        <v>1062500</v>
      </c>
      <c r="N3119" s="224"/>
      <c r="O3119" s="61"/>
      <c r="P3119" s="69" t="str">
        <f t="shared" si="195"/>
        <v>BNI IDR 768</v>
      </c>
      <c r="Q3119" s="61"/>
    </row>
    <row r="3120" spans="1:17" hidden="1" x14ac:dyDescent="0.25">
      <c r="A3120" s="60" t="str">
        <f t="shared" si="193"/>
        <v>377111,01</v>
      </c>
      <c r="B3120" s="60">
        <f>COUNTIF($J$7:J3120,J3120)</f>
        <v>377</v>
      </c>
      <c r="C3120" s="60" t="str">
        <f t="shared" si="194"/>
        <v>0</v>
      </c>
      <c r="D3120" s="60">
        <f>COUNTIF($K$7:K3120,K3120)</f>
        <v>0</v>
      </c>
      <c r="E3120" s="61"/>
      <c r="F3120" s="293">
        <v>44638.784953703704</v>
      </c>
      <c r="G3120" s="232"/>
      <c r="H3120" s="73" t="s">
        <v>1615</v>
      </c>
      <c r="I3120" s="243" t="s">
        <v>1714</v>
      </c>
      <c r="J3120" s="67">
        <v>111.01</v>
      </c>
      <c r="K3120" s="243"/>
      <c r="L3120" s="224"/>
      <c r="M3120" s="223">
        <v>1222000</v>
      </c>
      <c r="N3120" s="223"/>
      <c r="O3120" s="61"/>
      <c r="P3120" s="69" t="str">
        <f t="shared" si="195"/>
        <v>BNI IDR 768</v>
      </c>
      <c r="Q3120" s="61"/>
    </row>
    <row r="3121" spans="1:17" hidden="1" x14ac:dyDescent="0.25">
      <c r="A3121" s="60" t="str">
        <f t="shared" si="193"/>
        <v>378111,01</v>
      </c>
      <c r="B3121" s="60">
        <f>COUNTIF($J$7:J3121,J3121)</f>
        <v>378</v>
      </c>
      <c r="C3121" s="60" t="str">
        <f t="shared" si="194"/>
        <v>0</v>
      </c>
      <c r="D3121" s="60">
        <f>COUNTIF($K$7:K3121,K3121)</f>
        <v>0</v>
      </c>
      <c r="E3121" s="61"/>
      <c r="F3121" s="293">
        <v>44638</v>
      </c>
      <c r="G3121" s="232"/>
      <c r="H3121" s="73" t="s">
        <v>1615</v>
      </c>
      <c r="I3121" s="243" t="s">
        <v>282</v>
      </c>
      <c r="J3121" s="67">
        <v>111.01</v>
      </c>
      <c r="K3121" s="243"/>
      <c r="L3121" s="224"/>
      <c r="M3121" s="223">
        <v>6500</v>
      </c>
      <c r="N3121" s="223"/>
      <c r="O3121" s="61"/>
      <c r="P3121" s="69" t="str">
        <f t="shared" si="195"/>
        <v>BNI IDR 768</v>
      </c>
      <c r="Q3121" s="61"/>
    </row>
    <row r="3122" spans="1:17" hidden="1" x14ac:dyDescent="0.25">
      <c r="A3122" s="60" t="str">
        <f t="shared" si="193"/>
        <v>379111,01</v>
      </c>
      <c r="B3122" s="60">
        <f>COUNTIF($J$7:J3122,J3122)</f>
        <v>379</v>
      </c>
      <c r="C3122" s="60" t="str">
        <f t="shared" si="194"/>
        <v>0</v>
      </c>
      <c r="D3122" s="60">
        <f>COUNTIF($K$7:K3122,K3122)</f>
        <v>0</v>
      </c>
      <c r="E3122" s="61"/>
      <c r="F3122" s="293">
        <v>44638.785381944443</v>
      </c>
      <c r="G3122" s="232"/>
      <c r="H3122" s="73" t="s">
        <v>1615</v>
      </c>
      <c r="I3122" s="243" t="s">
        <v>1712</v>
      </c>
      <c r="J3122" s="67">
        <v>111.01</v>
      </c>
      <c r="K3122" s="243"/>
      <c r="L3122" s="224"/>
      <c r="M3122" s="223">
        <v>200000</v>
      </c>
      <c r="N3122" s="223"/>
      <c r="O3122" s="61"/>
      <c r="P3122" s="69" t="str">
        <f t="shared" si="195"/>
        <v>BNI IDR 768</v>
      </c>
      <c r="Q3122" s="61"/>
    </row>
    <row r="3123" spans="1:17" hidden="1" x14ac:dyDescent="0.25">
      <c r="A3123" s="60" t="str">
        <f t="shared" si="193"/>
        <v>380111,01</v>
      </c>
      <c r="B3123" s="60">
        <f>COUNTIF($J$7:J3123,J3123)</f>
        <v>380</v>
      </c>
      <c r="C3123" s="60" t="str">
        <f t="shared" si="194"/>
        <v>0</v>
      </c>
      <c r="D3123" s="60">
        <f>COUNTIF($K$7:K3123,K3123)</f>
        <v>0</v>
      </c>
      <c r="E3123" s="61"/>
      <c r="F3123" s="239">
        <v>44642.400995370372</v>
      </c>
      <c r="G3123" s="232"/>
      <c r="H3123" s="73" t="s">
        <v>1615</v>
      </c>
      <c r="I3123" s="243" t="s">
        <v>1715</v>
      </c>
      <c r="J3123" s="67">
        <v>111.01</v>
      </c>
      <c r="K3123" s="243"/>
      <c r="L3123" s="258">
        <v>121489500</v>
      </c>
      <c r="M3123" s="223"/>
      <c r="N3123" s="223"/>
      <c r="O3123" s="61"/>
      <c r="P3123" s="69" t="str">
        <f t="shared" si="195"/>
        <v>BNI IDR 768</v>
      </c>
      <c r="Q3123" s="61"/>
    </row>
    <row r="3124" spans="1:17" hidden="1" x14ac:dyDescent="0.25">
      <c r="A3124" s="60" t="str">
        <f t="shared" si="193"/>
        <v>381111,01</v>
      </c>
      <c r="B3124" s="60">
        <f>COUNTIF($J$7:J3124,J3124)</f>
        <v>381</v>
      </c>
      <c r="C3124" s="60" t="str">
        <f t="shared" si="194"/>
        <v>0</v>
      </c>
      <c r="D3124" s="60">
        <f>COUNTIF($K$7:K3124,K3124)</f>
        <v>0</v>
      </c>
      <c r="E3124" s="61"/>
      <c r="F3124" s="239">
        <v>44643.391828703701</v>
      </c>
      <c r="G3124" s="232"/>
      <c r="H3124" s="73" t="s">
        <v>1615</v>
      </c>
      <c r="I3124" s="243" t="s">
        <v>253</v>
      </c>
      <c r="J3124" s="67">
        <v>111.01</v>
      </c>
      <c r="K3124" s="243"/>
      <c r="L3124" s="258">
        <v>24024000</v>
      </c>
      <c r="M3124" s="223"/>
      <c r="N3124" s="223"/>
      <c r="O3124" s="61"/>
      <c r="P3124" s="69" t="str">
        <f t="shared" si="195"/>
        <v>BNI IDR 768</v>
      </c>
      <c r="Q3124" s="61"/>
    </row>
    <row r="3125" spans="1:17" hidden="1" x14ac:dyDescent="0.25">
      <c r="A3125" s="60" t="str">
        <f t="shared" si="193"/>
        <v>632112</v>
      </c>
      <c r="B3125" s="60">
        <f>COUNTIF($J$7:J3125,J3125)</f>
        <v>632</v>
      </c>
      <c r="C3125" s="60" t="str">
        <f t="shared" si="194"/>
        <v>10112,09</v>
      </c>
      <c r="D3125" s="60">
        <f>COUNTIF($K$7:K3125,K3125)</f>
        <v>10</v>
      </c>
      <c r="E3125" s="61"/>
      <c r="F3125" s="239">
        <v>44642.400995370372</v>
      </c>
      <c r="G3125" s="164" t="s">
        <v>149</v>
      </c>
      <c r="H3125" s="73" t="s">
        <v>1615</v>
      </c>
      <c r="I3125" s="243" t="s">
        <v>1715</v>
      </c>
      <c r="J3125" s="265">
        <v>112</v>
      </c>
      <c r="K3125" s="80">
        <v>112.09</v>
      </c>
      <c r="L3125" s="258"/>
      <c r="M3125" s="258">
        <v>121489500</v>
      </c>
      <c r="N3125" s="258"/>
      <c r="O3125" s="61"/>
      <c r="P3125" s="69" t="str">
        <f t="shared" si="195"/>
        <v>Piutang Usaha</v>
      </c>
      <c r="Q3125" s="61"/>
    </row>
    <row r="3126" spans="1:17" hidden="1" x14ac:dyDescent="0.25">
      <c r="A3126" s="60" t="str">
        <f t="shared" si="193"/>
        <v>633112</v>
      </c>
      <c r="B3126" s="60">
        <f>COUNTIF($J$7:J3126,J3126)</f>
        <v>633</v>
      </c>
      <c r="C3126" s="60" t="str">
        <f t="shared" si="194"/>
        <v>16112,04</v>
      </c>
      <c r="D3126" s="60">
        <f>COUNTIF($K$7:K3126,K3126)</f>
        <v>16</v>
      </c>
      <c r="E3126" s="61"/>
      <c r="F3126" s="239">
        <v>44643.391828703701</v>
      </c>
      <c r="G3126" s="164" t="s">
        <v>149</v>
      </c>
      <c r="H3126" s="73" t="s">
        <v>1615</v>
      </c>
      <c r="I3126" s="243" t="s">
        <v>253</v>
      </c>
      <c r="J3126" s="265">
        <v>112</v>
      </c>
      <c r="K3126" s="80">
        <v>112.04</v>
      </c>
      <c r="L3126" s="258"/>
      <c r="M3126" s="258">
        <v>24024000</v>
      </c>
      <c r="N3126" s="258"/>
      <c r="O3126" s="61"/>
      <c r="P3126" s="69" t="str">
        <f t="shared" si="195"/>
        <v>Piutang Usaha</v>
      </c>
      <c r="Q3126" s="61"/>
    </row>
    <row r="3127" spans="1:17" hidden="1" x14ac:dyDescent="0.25">
      <c r="A3127" s="60" t="str">
        <f t="shared" si="193"/>
        <v>8610,04</v>
      </c>
      <c r="B3127" s="60">
        <f>COUNTIF($J$7:J3127,J3127)</f>
        <v>8</v>
      </c>
      <c r="C3127" s="60" t="str">
        <f t="shared" si="194"/>
        <v>0</v>
      </c>
      <c r="D3127" s="60">
        <f>COUNTIF($K$7:K3127,K3127)</f>
        <v>0</v>
      </c>
      <c r="E3127" s="61"/>
      <c r="F3127" s="239">
        <v>44643.409918981481</v>
      </c>
      <c r="G3127" s="232"/>
      <c r="H3127" s="73" t="s">
        <v>1615</v>
      </c>
      <c r="I3127" s="243" t="s">
        <v>1716</v>
      </c>
      <c r="J3127" s="61">
        <v>610.04</v>
      </c>
      <c r="K3127" s="80"/>
      <c r="L3127" s="223">
        <v>150000</v>
      </c>
      <c r="M3127" s="258"/>
      <c r="N3127" s="258"/>
      <c r="O3127" s="61"/>
      <c r="P3127" s="69" t="str">
        <f t="shared" si="195"/>
        <v>Biaya Transportasi Umum (Bensin, Tol, Parkir) dan Kirim Dokumen</v>
      </c>
      <c r="Q3127" s="61"/>
    </row>
    <row r="3128" spans="1:17" hidden="1" x14ac:dyDescent="0.25">
      <c r="A3128" s="60" t="str">
        <f t="shared" si="193"/>
        <v>81220,03</v>
      </c>
      <c r="B3128" s="60">
        <f>COUNTIF($J$7:J3128,J3128)</f>
        <v>81</v>
      </c>
      <c r="C3128" s="60" t="str">
        <f t="shared" si="194"/>
        <v>0</v>
      </c>
      <c r="D3128" s="60">
        <f>COUNTIF($K$7:K3128,K3128)</f>
        <v>0</v>
      </c>
      <c r="E3128" s="61"/>
      <c r="F3128" s="239">
        <v>44643.409918981481</v>
      </c>
      <c r="G3128" s="232"/>
      <c r="H3128" s="73" t="s">
        <v>1615</v>
      </c>
      <c r="I3128" s="243" t="s">
        <v>1717</v>
      </c>
      <c r="J3128" s="67">
        <v>220.03</v>
      </c>
      <c r="K3128" s="80"/>
      <c r="L3128" s="223">
        <v>303988</v>
      </c>
      <c r="M3128" s="258"/>
      <c r="N3128" s="258"/>
      <c r="O3128" s="61"/>
      <c r="P3128" s="69" t="str">
        <f t="shared" si="195"/>
        <v>Hutang BIaya</v>
      </c>
      <c r="Q3128" s="61"/>
    </row>
    <row r="3129" spans="1:17" hidden="1" x14ac:dyDescent="0.25">
      <c r="A3129" s="60" t="str">
        <f t="shared" si="193"/>
        <v>82220,03</v>
      </c>
      <c r="B3129" s="60">
        <f>COUNTIF($J$7:J3129,J3129)</f>
        <v>82</v>
      </c>
      <c r="C3129" s="60" t="str">
        <f t="shared" si="194"/>
        <v>0</v>
      </c>
      <c r="D3129" s="60">
        <f>COUNTIF($K$7:K3129,K3129)</f>
        <v>0</v>
      </c>
      <c r="E3129" s="61"/>
      <c r="F3129" s="239">
        <v>44643.409918981481</v>
      </c>
      <c r="G3129" s="232"/>
      <c r="H3129" s="73" t="s">
        <v>1615</v>
      </c>
      <c r="I3129" s="243" t="s">
        <v>1718</v>
      </c>
      <c r="J3129" s="67">
        <v>220.03</v>
      </c>
      <c r="K3129" s="80"/>
      <c r="L3129" s="223">
        <v>58500</v>
      </c>
      <c r="M3129" s="258"/>
      <c r="N3129" s="258"/>
      <c r="O3129" s="61"/>
      <c r="P3129" s="69" t="str">
        <f t="shared" si="195"/>
        <v>Hutang BIaya</v>
      </c>
      <c r="Q3129" s="61"/>
    </row>
    <row r="3130" spans="1:17" hidden="1" x14ac:dyDescent="0.25">
      <c r="A3130" s="60" t="str">
        <f t="shared" si="193"/>
        <v>85810,01</v>
      </c>
      <c r="B3130" s="60">
        <f>COUNTIF($J$7:J3130,J3130)</f>
        <v>85</v>
      </c>
      <c r="C3130" s="60" t="str">
        <f t="shared" si="194"/>
        <v>0</v>
      </c>
      <c r="D3130" s="60">
        <f>COUNTIF($K$7:K3130,K3130)</f>
        <v>0</v>
      </c>
      <c r="E3130" s="61"/>
      <c r="F3130" s="239">
        <v>44643</v>
      </c>
      <c r="G3130" s="232"/>
      <c r="H3130" s="73" t="s">
        <v>1615</v>
      </c>
      <c r="I3130" s="243" t="s">
        <v>282</v>
      </c>
      <c r="J3130" s="67">
        <v>810.01</v>
      </c>
      <c r="K3130" s="80"/>
      <c r="L3130" s="223">
        <v>6500</v>
      </c>
      <c r="M3130" s="258"/>
      <c r="N3130" s="258"/>
      <c r="O3130" s="61"/>
      <c r="P3130" s="69" t="str">
        <f t="shared" si="195"/>
        <v>Biaya Admin Transfer dan Rek</v>
      </c>
      <c r="Q3130" s="61"/>
    </row>
    <row r="3131" spans="1:17" hidden="1" x14ac:dyDescent="0.25">
      <c r="A3131" s="60" t="str">
        <f t="shared" si="193"/>
        <v>23512,03</v>
      </c>
      <c r="B3131" s="60">
        <f>COUNTIF($J$7:J3131,J3131)</f>
        <v>23</v>
      </c>
      <c r="C3131" s="60" t="str">
        <f t="shared" si="194"/>
        <v>0</v>
      </c>
      <c r="D3131" s="60">
        <f>COUNTIF($K$7:K3131,K3131)</f>
        <v>0</v>
      </c>
      <c r="E3131" s="61"/>
      <c r="F3131" s="239">
        <v>44643.409942129627</v>
      </c>
      <c r="G3131" s="232"/>
      <c r="H3131" s="73" t="s">
        <v>1615</v>
      </c>
      <c r="I3131" s="243" t="s">
        <v>1719</v>
      </c>
      <c r="J3131" s="241">
        <v>512.03</v>
      </c>
      <c r="K3131" s="80"/>
      <c r="L3131" s="223">
        <v>300000</v>
      </c>
      <c r="M3131" s="258"/>
      <c r="N3131" s="258"/>
      <c r="O3131" s="61"/>
      <c r="P3131" s="69" t="str">
        <f t="shared" si="195"/>
        <v>Beban Gasoline Marketing (Bensin, Parkir, Tol)</v>
      </c>
      <c r="Q3131" s="61"/>
    </row>
    <row r="3132" spans="1:17" hidden="1" x14ac:dyDescent="0.25">
      <c r="A3132" s="60" t="str">
        <f t="shared" si="193"/>
        <v>83220,03</v>
      </c>
      <c r="B3132" s="60">
        <f>COUNTIF($J$7:J3132,J3132)</f>
        <v>83</v>
      </c>
      <c r="C3132" s="60" t="str">
        <f t="shared" si="194"/>
        <v>0</v>
      </c>
      <c r="D3132" s="60">
        <f>COUNTIF($K$7:K3132,K3132)</f>
        <v>0</v>
      </c>
      <c r="E3132" s="61"/>
      <c r="F3132" s="239">
        <v>44643.409942129627</v>
      </c>
      <c r="G3132" s="232"/>
      <c r="H3132" s="73" t="s">
        <v>1615</v>
      </c>
      <c r="I3132" s="243" t="s">
        <v>1720</v>
      </c>
      <c r="J3132" s="67">
        <v>220.03</v>
      </c>
      <c r="K3132" s="80"/>
      <c r="L3132" s="223">
        <v>653000</v>
      </c>
      <c r="M3132" s="258"/>
      <c r="N3132" s="258"/>
      <c r="O3132" s="61"/>
      <c r="P3132" s="69" t="str">
        <f t="shared" si="195"/>
        <v>Hutang BIaya</v>
      </c>
      <c r="Q3132" s="61"/>
    </row>
    <row r="3133" spans="1:17" hidden="1" x14ac:dyDescent="0.25">
      <c r="A3133" s="60" t="str">
        <f t="shared" si="193"/>
        <v>2118,03</v>
      </c>
      <c r="B3133" s="60">
        <f>COUNTIF($J$7:J3133,J3133)</f>
        <v>2</v>
      </c>
      <c r="C3133" s="60" t="str">
        <f t="shared" si="194"/>
        <v>0</v>
      </c>
      <c r="D3133" s="60">
        <f>COUNTIF($K$7:K3133,K3133)</f>
        <v>0</v>
      </c>
      <c r="E3133" s="61"/>
      <c r="F3133" s="239">
        <v>44643.409942129627</v>
      </c>
      <c r="G3133" s="232"/>
      <c r="H3133" s="73" t="s">
        <v>1615</v>
      </c>
      <c r="I3133" s="243" t="s">
        <v>1721</v>
      </c>
      <c r="J3133" s="67">
        <v>118.03</v>
      </c>
      <c r="K3133" s="80"/>
      <c r="L3133" s="223">
        <v>5000000</v>
      </c>
      <c r="M3133" s="258"/>
      <c r="N3133" s="258"/>
      <c r="O3133" s="61"/>
      <c r="P3133" s="69" t="str">
        <f t="shared" si="195"/>
        <v>Biaya Dibayar Dimuka Lainnya</v>
      </c>
      <c r="Q3133" s="61"/>
    </row>
    <row r="3134" spans="1:17" hidden="1" x14ac:dyDescent="0.25">
      <c r="A3134" s="60" t="str">
        <f t="shared" si="193"/>
        <v>86810,01</v>
      </c>
      <c r="B3134" s="60">
        <f>COUNTIF($J$7:J3134,J3134)</f>
        <v>86</v>
      </c>
      <c r="C3134" s="60" t="str">
        <f t="shared" si="194"/>
        <v>0</v>
      </c>
      <c r="D3134" s="60">
        <f>COUNTIF($K$7:K3134,K3134)</f>
        <v>0</v>
      </c>
      <c r="E3134" s="61"/>
      <c r="F3134" s="239">
        <v>44643</v>
      </c>
      <c r="G3134" s="232"/>
      <c r="H3134" s="73" t="s">
        <v>1615</v>
      </c>
      <c r="I3134" s="243" t="s">
        <v>282</v>
      </c>
      <c r="J3134" s="67">
        <v>810.01</v>
      </c>
      <c r="K3134" s="80"/>
      <c r="L3134" s="223">
        <v>6500</v>
      </c>
      <c r="M3134" s="258"/>
      <c r="N3134" s="258"/>
      <c r="O3134" s="61"/>
      <c r="P3134" s="69" t="str">
        <f t="shared" si="195"/>
        <v>Biaya Admin Transfer dan Rek</v>
      </c>
      <c r="Q3134" s="61"/>
    </row>
    <row r="3135" spans="1:17" hidden="1" x14ac:dyDescent="0.25">
      <c r="A3135" s="60" t="str">
        <f t="shared" si="193"/>
        <v>128111,03</v>
      </c>
      <c r="B3135" s="60">
        <f>COUNTIF($J$7:J3135,J3135)</f>
        <v>128</v>
      </c>
      <c r="C3135" s="60" t="str">
        <f t="shared" si="194"/>
        <v>0</v>
      </c>
      <c r="D3135" s="60">
        <f>COUNTIF($K$7:K3135,K3135)</f>
        <v>0</v>
      </c>
      <c r="E3135" s="61"/>
      <c r="F3135" s="239">
        <v>44643.555821759262</v>
      </c>
      <c r="G3135" s="232"/>
      <c r="H3135" s="73" t="s">
        <v>1615</v>
      </c>
      <c r="I3135" s="243" t="s">
        <v>1722</v>
      </c>
      <c r="J3135" s="67">
        <v>111.03</v>
      </c>
      <c r="K3135" s="80"/>
      <c r="L3135" s="223">
        <v>400000000</v>
      </c>
      <c r="M3135" s="258"/>
      <c r="N3135" s="258"/>
      <c r="O3135" s="61"/>
      <c r="P3135" s="69" t="str">
        <f t="shared" si="195"/>
        <v>BCA 8607</v>
      </c>
      <c r="Q3135" s="61"/>
    </row>
    <row r="3136" spans="1:17" hidden="1" x14ac:dyDescent="0.25">
      <c r="A3136" s="60" t="str">
        <f t="shared" si="193"/>
        <v>87810,01</v>
      </c>
      <c r="B3136" s="60">
        <f>COUNTIF($J$7:J3136,J3136)</f>
        <v>87</v>
      </c>
      <c r="C3136" s="60" t="str">
        <f t="shared" si="194"/>
        <v>0</v>
      </c>
      <c r="D3136" s="60">
        <f>COUNTIF($K$7:K3136,K3136)</f>
        <v>0</v>
      </c>
      <c r="E3136" s="61"/>
      <c r="F3136" s="239">
        <v>44643.555821759262</v>
      </c>
      <c r="G3136" s="232"/>
      <c r="H3136" s="73" t="s">
        <v>1615</v>
      </c>
      <c r="I3136" s="243" t="s">
        <v>1723</v>
      </c>
      <c r="J3136" s="67">
        <v>810.01</v>
      </c>
      <c r="K3136" s="80"/>
      <c r="L3136" s="223">
        <v>2900</v>
      </c>
      <c r="M3136" s="258"/>
      <c r="N3136" s="258"/>
      <c r="O3136" s="61"/>
      <c r="P3136" s="69" t="str">
        <f t="shared" si="195"/>
        <v>Biaya Admin Transfer dan Rek</v>
      </c>
      <c r="Q3136" s="61"/>
    </row>
    <row r="3137" spans="1:17" hidden="1" x14ac:dyDescent="0.25">
      <c r="A3137" s="60" t="str">
        <f t="shared" si="193"/>
        <v>68119</v>
      </c>
      <c r="B3137" s="60">
        <f>COUNTIF($J$7:J3137,J3137)</f>
        <v>68</v>
      </c>
      <c r="C3137" s="60" t="str">
        <f t="shared" si="194"/>
        <v>28119,02</v>
      </c>
      <c r="D3137" s="60">
        <f>COUNTIF($K$7:K3137,K3137)</f>
        <v>28</v>
      </c>
      <c r="E3137" s="61"/>
      <c r="F3137" s="239">
        <v>44643.555844907409</v>
      </c>
      <c r="G3137" s="232"/>
      <c r="H3137" s="73" t="s">
        <v>1615</v>
      </c>
      <c r="I3137" s="243" t="s">
        <v>1724</v>
      </c>
      <c r="J3137" s="67">
        <v>119</v>
      </c>
      <c r="K3137" s="80">
        <v>119.02</v>
      </c>
      <c r="L3137" s="223">
        <v>2000000</v>
      </c>
      <c r="M3137" s="258"/>
      <c r="N3137" s="258"/>
      <c r="O3137" s="61"/>
      <c r="P3137" s="69" t="str">
        <f t="shared" si="195"/>
        <v>Uang Muka Biaya Pengiriman dan Perjalanan Dinas Marketing</v>
      </c>
      <c r="Q3137" s="61"/>
    </row>
    <row r="3138" spans="1:17" hidden="1" x14ac:dyDescent="0.25">
      <c r="A3138" s="60" t="str">
        <f t="shared" si="193"/>
        <v>382111,01</v>
      </c>
      <c r="B3138" s="60">
        <f>COUNTIF($J$7:J3138,J3138)</f>
        <v>382</v>
      </c>
      <c r="C3138" s="60" t="str">
        <f t="shared" si="194"/>
        <v>0</v>
      </c>
      <c r="D3138" s="60">
        <f>COUNTIF($K$7:K3138,K3138)</f>
        <v>0</v>
      </c>
      <c r="E3138" s="61"/>
      <c r="F3138" s="239">
        <v>44643.409918981481</v>
      </c>
      <c r="G3138" s="232"/>
      <c r="H3138" s="73" t="s">
        <v>1615</v>
      </c>
      <c r="I3138" s="243" t="s">
        <v>1716</v>
      </c>
      <c r="J3138" s="67">
        <v>111.01</v>
      </c>
      <c r="K3138" s="243"/>
      <c r="L3138" s="258"/>
      <c r="M3138" s="223">
        <v>150000</v>
      </c>
      <c r="N3138" s="223"/>
      <c r="O3138" s="61"/>
      <c r="P3138" s="69" t="str">
        <f t="shared" si="195"/>
        <v>BNI IDR 768</v>
      </c>
      <c r="Q3138" s="61"/>
    </row>
    <row r="3139" spans="1:17" hidden="1" x14ac:dyDescent="0.25">
      <c r="A3139" s="60" t="str">
        <f t="shared" si="193"/>
        <v>383111,01</v>
      </c>
      <c r="B3139" s="60">
        <f>COUNTIF($J$7:J3139,J3139)</f>
        <v>383</v>
      </c>
      <c r="C3139" s="60" t="str">
        <f t="shared" si="194"/>
        <v>0</v>
      </c>
      <c r="D3139" s="60">
        <f>COUNTIF($K$7:K3139,K3139)</f>
        <v>0</v>
      </c>
      <c r="E3139" s="61"/>
      <c r="F3139" s="239">
        <v>44643.409918981481</v>
      </c>
      <c r="G3139" s="232"/>
      <c r="H3139" s="73" t="s">
        <v>1615</v>
      </c>
      <c r="I3139" s="243" t="s">
        <v>1717</v>
      </c>
      <c r="J3139" s="67">
        <v>111.01</v>
      </c>
      <c r="K3139" s="243"/>
      <c r="L3139" s="258"/>
      <c r="M3139" s="223">
        <v>303988</v>
      </c>
      <c r="N3139" s="223"/>
      <c r="O3139" s="61"/>
      <c r="P3139" s="69" t="str">
        <f t="shared" si="195"/>
        <v>BNI IDR 768</v>
      </c>
      <c r="Q3139" s="61"/>
    </row>
    <row r="3140" spans="1:17" hidden="1" x14ac:dyDescent="0.25">
      <c r="A3140" s="60" t="str">
        <f t="shared" si="193"/>
        <v>384111,01</v>
      </c>
      <c r="B3140" s="60">
        <f>COUNTIF($J$7:J3140,J3140)</f>
        <v>384</v>
      </c>
      <c r="C3140" s="60" t="str">
        <f t="shared" si="194"/>
        <v>0</v>
      </c>
      <c r="D3140" s="60">
        <f>COUNTIF($K$7:K3140,K3140)</f>
        <v>0</v>
      </c>
      <c r="E3140" s="61"/>
      <c r="F3140" s="239">
        <v>44643.409918981481</v>
      </c>
      <c r="G3140" s="232"/>
      <c r="H3140" s="73" t="s">
        <v>1615</v>
      </c>
      <c r="I3140" s="243" t="s">
        <v>1718</v>
      </c>
      <c r="J3140" s="67">
        <v>111.01</v>
      </c>
      <c r="K3140" s="243"/>
      <c r="L3140" s="258"/>
      <c r="M3140" s="223">
        <v>58500</v>
      </c>
      <c r="N3140" s="223"/>
      <c r="O3140" s="61"/>
      <c r="P3140" s="69" t="str">
        <f t="shared" si="195"/>
        <v>BNI IDR 768</v>
      </c>
      <c r="Q3140" s="61"/>
    </row>
    <row r="3141" spans="1:17" hidden="1" x14ac:dyDescent="0.25">
      <c r="A3141" s="60" t="str">
        <f t="shared" si="193"/>
        <v>385111,01</v>
      </c>
      <c r="B3141" s="60">
        <f>COUNTIF($J$7:J3141,J3141)</f>
        <v>385</v>
      </c>
      <c r="C3141" s="60" t="str">
        <f t="shared" si="194"/>
        <v>0</v>
      </c>
      <c r="D3141" s="60">
        <f>COUNTIF($K$7:K3141,K3141)</f>
        <v>0</v>
      </c>
      <c r="E3141" s="61"/>
      <c r="F3141" s="239">
        <v>44643</v>
      </c>
      <c r="G3141" s="232"/>
      <c r="H3141" s="73" t="s">
        <v>1615</v>
      </c>
      <c r="I3141" s="243" t="s">
        <v>282</v>
      </c>
      <c r="J3141" s="67">
        <v>111.01</v>
      </c>
      <c r="K3141" s="243"/>
      <c r="L3141" s="258"/>
      <c r="M3141" s="223">
        <v>6500</v>
      </c>
      <c r="N3141" s="223"/>
      <c r="O3141" s="61"/>
      <c r="P3141" s="69" t="str">
        <f t="shared" si="195"/>
        <v>BNI IDR 768</v>
      </c>
      <c r="Q3141" s="61"/>
    </row>
    <row r="3142" spans="1:17" hidden="1" x14ac:dyDescent="0.25">
      <c r="A3142" s="60" t="str">
        <f t="shared" si="193"/>
        <v>386111,01</v>
      </c>
      <c r="B3142" s="60">
        <f>COUNTIF($J$7:J3142,J3142)</f>
        <v>386</v>
      </c>
      <c r="C3142" s="60" t="str">
        <f t="shared" si="194"/>
        <v>0</v>
      </c>
      <c r="D3142" s="60">
        <f>COUNTIF($K$7:K3142,K3142)</f>
        <v>0</v>
      </c>
      <c r="E3142" s="61"/>
      <c r="F3142" s="239">
        <v>44643.409942129627</v>
      </c>
      <c r="G3142" s="232"/>
      <c r="H3142" s="73" t="s">
        <v>1615</v>
      </c>
      <c r="I3142" s="243" t="s">
        <v>1719</v>
      </c>
      <c r="J3142" s="67">
        <v>111.01</v>
      </c>
      <c r="K3142" s="243"/>
      <c r="L3142" s="258"/>
      <c r="M3142" s="223">
        <v>300000</v>
      </c>
      <c r="N3142" s="223"/>
      <c r="O3142" s="61"/>
      <c r="P3142" s="69" t="str">
        <f t="shared" si="195"/>
        <v>BNI IDR 768</v>
      </c>
      <c r="Q3142" s="61"/>
    </row>
    <row r="3143" spans="1:17" hidden="1" x14ac:dyDescent="0.25">
      <c r="A3143" s="60" t="str">
        <f t="shared" ref="A3143:A3206" si="196">B3143&amp;J3143</f>
        <v>387111,01</v>
      </c>
      <c r="B3143" s="60">
        <f>COUNTIF($J$7:J3143,J3143)</f>
        <v>387</v>
      </c>
      <c r="C3143" s="60" t="str">
        <f t="shared" ref="C3143:C3206" si="197">D3143&amp;K3143</f>
        <v>0</v>
      </c>
      <c r="D3143" s="60">
        <f>COUNTIF($K$7:K3143,K3143)</f>
        <v>0</v>
      </c>
      <c r="E3143" s="61"/>
      <c r="F3143" s="239">
        <v>44643.409942129627</v>
      </c>
      <c r="G3143" s="232"/>
      <c r="H3143" s="73" t="s">
        <v>1615</v>
      </c>
      <c r="I3143" s="243" t="s">
        <v>1720</v>
      </c>
      <c r="J3143" s="67">
        <v>111.01</v>
      </c>
      <c r="K3143" s="243"/>
      <c r="L3143" s="258"/>
      <c r="M3143" s="223">
        <v>653000</v>
      </c>
      <c r="N3143" s="223"/>
      <c r="O3143" s="61"/>
      <c r="P3143" s="69" t="str">
        <f t="shared" ref="P3143:P3206" si="198">IF(J3143=0,"-",+VLOOKUP(J3143,DAF_AKUN,2,FALSE))</f>
        <v>BNI IDR 768</v>
      </c>
      <c r="Q3143" s="61"/>
    </row>
    <row r="3144" spans="1:17" hidden="1" x14ac:dyDescent="0.25">
      <c r="A3144" s="60" t="str">
        <f t="shared" si="196"/>
        <v>388111,01</v>
      </c>
      <c r="B3144" s="60">
        <f>COUNTIF($J$7:J3144,J3144)</f>
        <v>388</v>
      </c>
      <c r="C3144" s="60" t="str">
        <f t="shared" si="197"/>
        <v>0</v>
      </c>
      <c r="D3144" s="60">
        <f>COUNTIF($K$7:K3144,K3144)</f>
        <v>0</v>
      </c>
      <c r="E3144" s="61"/>
      <c r="F3144" s="239">
        <v>44643.409942129627</v>
      </c>
      <c r="G3144" s="232"/>
      <c r="H3144" s="73" t="s">
        <v>1615</v>
      </c>
      <c r="I3144" s="243" t="s">
        <v>1725</v>
      </c>
      <c r="J3144" s="67">
        <v>111.01</v>
      </c>
      <c r="K3144" s="243"/>
      <c r="L3144" s="258"/>
      <c r="M3144" s="223">
        <v>5000000</v>
      </c>
      <c r="N3144" s="223"/>
      <c r="O3144" s="61"/>
      <c r="P3144" s="69" t="str">
        <f t="shared" si="198"/>
        <v>BNI IDR 768</v>
      </c>
      <c r="Q3144" s="61"/>
    </row>
    <row r="3145" spans="1:17" hidden="1" x14ac:dyDescent="0.25">
      <c r="A3145" s="60" t="str">
        <f t="shared" si="196"/>
        <v>389111,01</v>
      </c>
      <c r="B3145" s="60">
        <f>COUNTIF($J$7:J3145,J3145)</f>
        <v>389</v>
      </c>
      <c r="C3145" s="60" t="str">
        <f t="shared" si="197"/>
        <v>0</v>
      </c>
      <c r="D3145" s="60">
        <f>COUNTIF($K$7:K3145,K3145)</f>
        <v>0</v>
      </c>
      <c r="E3145" s="61"/>
      <c r="F3145" s="239">
        <v>44643</v>
      </c>
      <c r="G3145" s="232"/>
      <c r="H3145" s="73" t="s">
        <v>1615</v>
      </c>
      <c r="I3145" s="243" t="s">
        <v>282</v>
      </c>
      <c r="J3145" s="67">
        <v>111.01</v>
      </c>
      <c r="K3145" s="243"/>
      <c r="L3145" s="258"/>
      <c r="M3145" s="223">
        <v>6500</v>
      </c>
      <c r="N3145" s="223"/>
      <c r="O3145" s="61"/>
      <c r="P3145" s="69" t="str">
        <f t="shared" si="198"/>
        <v>BNI IDR 768</v>
      </c>
      <c r="Q3145" s="61"/>
    </row>
    <row r="3146" spans="1:17" hidden="1" x14ac:dyDescent="0.25">
      <c r="A3146" s="60" t="str">
        <f t="shared" si="196"/>
        <v>390111,01</v>
      </c>
      <c r="B3146" s="60">
        <f>COUNTIF($J$7:J3146,J3146)</f>
        <v>390</v>
      </c>
      <c r="C3146" s="60" t="str">
        <f t="shared" si="197"/>
        <v>0</v>
      </c>
      <c r="D3146" s="60">
        <f>COUNTIF($K$7:K3146,K3146)</f>
        <v>0</v>
      </c>
      <c r="E3146" s="61"/>
      <c r="F3146" s="239">
        <v>44643.555821759262</v>
      </c>
      <c r="G3146" s="232"/>
      <c r="H3146" s="73" t="s">
        <v>1615</v>
      </c>
      <c r="I3146" s="243" t="s">
        <v>1722</v>
      </c>
      <c r="J3146" s="67">
        <v>111.01</v>
      </c>
      <c r="K3146" s="243"/>
      <c r="L3146" s="258"/>
      <c r="M3146" s="223">
        <v>400000000</v>
      </c>
      <c r="N3146" s="223"/>
      <c r="O3146" s="61"/>
      <c r="P3146" s="69" t="str">
        <f t="shared" si="198"/>
        <v>BNI IDR 768</v>
      </c>
      <c r="Q3146" s="61"/>
    </row>
    <row r="3147" spans="1:17" hidden="1" x14ac:dyDescent="0.25">
      <c r="A3147" s="60" t="str">
        <f t="shared" si="196"/>
        <v>391111,01</v>
      </c>
      <c r="B3147" s="60">
        <f>COUNTIF($J$7:J3147,J3147)</f>
        <v>391</v>
      </c>
      <c r="C3147" s="60" t="str">
        <f t="shared" si="197"/>
        <v>0</v>
      </c>
      <c r="D3147" s="60">
        <f>COUNTIF($K$7:K3147,K3147)</f>
        <v>0</v>
      </c>
      <c r="E3147" s="61"/>
      <c r="F3147" s="239">
        <v>44643.555821759262</v>
      </c>
      <c r="G3147" s="232"/>
      <c r="H3147" s="73" t="s">
        <v>1615</v>
      </c>
      <c r="I3147" s="243" t="s">
        <v>1723</v>
      </c>
      <c r="J3147" s="67">
        <v>111.01</v>
      </c>
      <c r="K3147" s="243"/>
      <c r="L3147" s="258"/>
      <c r="M3147" s="223">
        <v>2900</v>
      </c>
      <c r="N3147" s="223"/>
      <c r="O3147" s="61"/>
      <c r="P3147" s="69" t="str">
        <f t="shared" si="198"/>
        <v>BNI IDR 768</v>
      </c>
      <c r="Q3147" s="61"/>
    </row>
    <row r="3148" spans="1:17" hidden="1" x14ac:dyDescent="0.25">
      <c r="A3148" s="60" t="str">
        <f t="shared" si="196"/>
        <v>392111,01</v>
      </c>
      <c r="B3148" s="60">
        <f>COUNTIF($J$7:J3148,J3148)</f>
        <v>392</v>
      </c>
      <c r="C3148" s="60" t="str">
        <f t="shared" si="197"/>
        <v>0</v>
      </c>
      <c r="D3148" s="60">
        <f>COUNTIF($K$7:K3148,K3148)</f>
        <v>0</v>
      </c>
      <c r="E3148" s="61"/>
      <c r="F3148" s="239">
        <v>44643.555844907409</v>
      </c>
      <c r="G3148" s="232"/>
      <c r="H3148" s="73" t="s">
        <v>1615</v>
      </c>
      <c r="I3148" s="243" t="s">
        <v>1724</v>
      </c>
      <c r="J3148" s="67">
        <v>111.01</v>
      </c>
      <c r="K3148" s="243"/>
      <c r="L3148" s="258"/>
      <c r="M3148" s="223">
        <v>2000000</v>
      </c>
      <c r="N3148" s="223"/>
      <c r="O3148" s="61"/>
      <c r="P3148" s="69" t="str">
        <f t="shared" si="198"/>
        <v>BNI IDR 768</v>
      </c>
      <c r="Q3148" s="61"/>
    </row>
    <row r="3149" spans="1:17" hidden="1" x14ac:dyDescent="0.25">
      <c r="A3149" s="60" t="str">
        <f t="shared" si="196"/>
        <v>84220,03</v>
      </c>
      <c r="B3149" s="60">
        <f>COUNTIF($J$7:J3149,J3149)</f>
        <v>84</v>
      </c>
      <c r="C3149" s="60" t="str">
        <f t="shared" si="197"/>
        <v>0</v>
      </c>
      <c r="D3149" s="60">
        <f>COUNTIF($K$7:K3149,K3149)</f>
        <v>0</v>
      </c>
      <c r="E3149" s="61"/>
      <c r="F3149" s="239">
        <v>44643.409930555557</v>
      </c>
      <c r="G3149" s="232"/>
      <c r="H3149" s="73" t="s">
        <v>1615</v>
      </c>
      <c r="I3149" s="243" t="s">
        <v>1726</v>
      </c>
      <c r="J3149" s="67">
        <v>220.03</v>
      </c>
      <c r="K3149" s="80"/>
      <c r="L3149" s="223">
        <v>12969000</v>
      </c>
      <c r="M3149" s="223"/>
      <c r="N3149" s="223"/>
      <c r="O3149" s="61"/>
      <c r="P3149" s="69" t="str">
        <f t="shared" si="198"/>
        <v>Hutang BIaya</v>
      </c>
      <c r="Q3149" s="61"/>
    </row>
    <row r="3150" spans="1:17" hidden="1" x14ac:dyDescent="0.25">
      <c r="A3150" s="60" t="str">
        <f t="shared" si="196"/>
        <v>6114</v>
      </c>
      <c r="B3150" s="60">
        <f>COUNTIF($J$7:J3150,J3150)</f>
        <v>6</v>
      </c>
      <c r="C3150" s="60" t="str">
        <f t="shared" si="197"/>
        <v>0</v>
      </c>
      <c r="D3150" s="60">
        <f>COUNTIF($K$7:K3150,K3150)</f>
        <v>0</v>
      </c>
      <c r="E3150" s="61"/>
      <c r="F3150" s="239">
        <v>44643.409930555557</v>
      </c>
      <c r="G3150" s="232"/>
      <c r="H3150" s="73" t="s">
        <v>1615</v>
      </c>
      <c r="I3150" s="243" t="s">
        <v>1726</v>
      </c>
      <c r="J3150" s="67">
        <v>114</v>
      </c>
      <c r="K3150" s="243"/>
      <c r="L3150" s="258"/>
      <c r="M3150" s="223">
        <v>2000000</v>
      </c>
      <c r="N3150" s="223"/>
      <c r="O3150" s="61"/>
      <c r="P3150" s="69" t="str">
        <f t="shared" si="198"/>
        <v>Piutang Lain - Lain</v>
      </c>
      <c r="Q3150" s="61"/>
    </row>
    <row r="3151" spans="1:17" hidden="1" x14ac:dyDescent="0.25">
      <c r="A3151" s="60" t="str">
        <f t="shared" si="196"/>
        <v>393111,01</v>
      </c>
      <c r="B3151" s="60">
        <f>COUNTIF($J$7:J3151,J3151)</f>
        <v>393</v>
      </c>
      <c r="C3151" s="60" t="str">
        <f t="shared" si="197"/>
        <v>0</v>
      </c>
      <c r="D3151" s="60">
        <f>COUNTIF($K$7:K3151,K3151)</f>
        <v>0</v>
      </c>
      <c r="E3151" s="61"/>
      <c r="F3151" s="239">
        <v>44643.409930555557</v>
      </c>
      <c r="G3151" s="232"/>
      <c r="H3151" s="73" t="s">
        <v>1615</v>
      </c>
      <c r="I3151" s="243" t="s">
        <v>1726</v>
      </c>
      <c r="J3151" s="67">
        <v>111.01</v>
      </c>
      <c r="K3151" s="243"/>
      <c r="L3151" s="258"/>
      <c r="M3151" s="223">
        <v>10969000</v>
      </c>
      <c r="N3151" s="223"/>
      <c r="O3151" s="61"/>
      <c r="P3151" s="69" t="str">
        <f t="shared" si="198"/>
        <v>BNI IDR 768</v>
      </c>
      <c r="Q3151" s="61"/>
    </row>
    <row r="3152" spans="1:17" hidden="1" x14ac:dyDescent="0.25">
      <c r="A3152" s="60" t="str">
        <f t="shared" si="196"/>
        <v>394111,01</v>
      </c>
      <c r="B3152" s="60">
        <f>COUNTIF($J$7:J3152,J3152)</f>
        <v>394</v>
      </c>
      <c r="C3152" s="60" t="str">
        <f t="shared" si="197"/>
        <v>0</v>
      </c>
      <c r="D3152" s="60">
        <f>COUNTIF($K$7:K3152,K3152)</f>
        <v>0</v>
      </c>
      <c r="E3152" s="61"/>
      <c r="F3152" s="239">
        <v>44643.715243055558</v>
      </c>
      <c r="G3152" s="232"/>
      <c r="H3152" s="73" t="s">
        <v>1615</v>
      </c>
      <c r="I3152" s="243" t="s">
        <v>1727</v>
      </c>
      <c r="J3152" s="67">
        <v>111.01</v>
      </c>
      <c r="K3152" s="243"/>
      <c r="L3152" s="258">
        <v>119561</v>
      </c>
      <c r="M3152" s="223"/>
      <c r="N3152" s="223"/>
      <c r="O3152" s="61"/>
      <c r="P3152" s="69" t="str">
        <f t="shared" si="198"/>
        <v>BNI IDR 768</v>
      </c>
      <c r="Q3152" s="61"/>
    </row>
    <row r="3153" spans="1:17" hidden="1" x14ac:dyDescent="0.25">
      <c r="A3153" s="60" t="str">
        <f t="shared" si="196"/>
        <v>395111,01</v>
      </c>
      <c r="B3153" s="60">
        <f>COUNTIF($J$7:J3153,J3153)</f>
        <v>395</v>
      </c>
      <c r="C3153" s="60" t="str">
        <f t="shared" si="197"/>
        <v>0</v>
      </c>
      <c r="D3153" s="60">
        <f>COUNTIF($K$7:K3153,K3153)</f>
        <v>0</v>
      </c>
      <c r="E3153" s="61"/>
      <c r="F3153" s="239">
        <v>44644.392314814817</v>
      </c>
      <c r="G3153" s="232"/>
      <c r="H3153" s="73" t="s">
        <v>1615</v>
      </c>
      <c r="I3153" s="243" t="s">
        <v>379</v>
      </c>
      <c r="J3153" s="67">
        <v>111.01</v>
      </c>
      <c r="K3153" s="243"/>
      <c r="L3153" s="258">
        <v>2417489</v>
      </c>
      <c r="M3153" s="223"/>
      <c r="N3153" s="223"/>
      <c r="O3153" s="61"/>
      <c r="P3153" s="69" t="str">
        <f t="shared" si="198"/>
        <v>BNI IDR 768</v>
      </c>
      <c r="Q3153" s="61"/>
    </row>
    <row r="3154" spans="1:17" hidden="1" x14ac:dyDescent="0.25">
      <c r="A3154" s="60" t="str">
        <f t="shared" si="196"/>
        <v>396111,01</v>
      </c>
      <c r="B3154" s="60">
        <f>COUNTIF($J$7:J3154,J3154)</f>
        <v>396</v>
      </c>
      <c r="C3154" s="60" t="str">
        <f t="shared" si="197"/>
        <v>0</v>
      </c>
      <c r="D3154" s="60">
        <f>COUNTIF($K$7:K3154,K3154)</f>
        <v>0</v>
      </c>
      <c r="E3154" s="61"/>
      <c r="F3154" s="239">
        <v>44644.517962962964</v>
      </c>
      <c r="G3154" s="232"/>
      <c r="H3154" s="73" t="s">
        <v>1615</v>
      </c>
      <c r="I3154" s="243" t="s">
        <v>379</v>
      </c>
      <c r="J3154" s="67">
        <v>111.01</v>
      </c>
      <c r="K3154" s="243"/>
      <c r="L3154" s="258">
        <v>1812491</v>
      </c>
      <c r="M3154" s="223"/>
      <c r="N3154" s="223"/>
      <c r="O3154" s="61"/>
      <c r="P3154" s="69" t="str">
        <f t="shared" si="198"/>
        <v>BNI IDR 768</v>
      </c>
      <c r="Q3154" s="61"/>
    </row>
    <row r="3155" spans="1:17" hidden="1" x14ac:dyDescent="0.25">
      <c r="A3155" s="60" t="str">
        <f t="shared" si="196"/>
        <v>69119</v>
      </c>
      <c r="B3155" s="60">
        <f>COUNTIF($J$7:J3155,J3155)</f>
        <v>69</v>
      </c>
      <c r="C3155" s="60" t="str">
        <f t="shared" si="197"/>
        <v>2119,08</v>
      </c>
      <c r="D3155" s="60">
        <f>COUNTIF($K$7:K3155,K3155)</f>
        <v>2</v>
      </c>
      <c r="E3155" s="61"/>
      <c r="F3155" s="239">
        <v>44643.715243055558</v>
      </c>
      <c r="G3155" s="232"/>
      <c r="H3155" s="73" t="s">
        <v>1615</v>
      </c>
      <c r="I3155" s="243" t="s">
        <v>1727</v>
      </c>
      <c r="J3155" s="67">
        <v>119</v>
      </c>
      <c r="K3155" s="80">
        <v>119.08</v>
      </c>
      <c r="L3155" s="258"/>
      <c r="M3155" s="258">
        <v>119561</v>
      </c>
      <c r="N3155" s="258"/>
      <c r="O3155" s="61"/>
      <c r="P3155" s="69" t="str">
        <f t="shared" si="198"/>
        <v>Uang Muka Biaya Pengiriman dan Perjalanan Dinas Marketing</v>
      </c>
      <c r="Q3155" s="61"/>
    </row>
    <row r="3156" spans="1:17" hidden="1" x14ac:dyDescent="0.25">
      <c r="A3156" s="60" t="str">
        <f t="shared" si="196"/>
        <v>634112</v>
      </c>
      <c r="B3156" s="60">
        <f>COUNTIF($J$7:J3156,J3156)</f>
        <v>634</v>
      </c>
      <c r="C3156" s="60" t="str">
        <f t="shared" si="197"/>
        <v>94112,4</v>
      </c>
      <c r="D3156" s="60">
        <f>COUNTIF($K$7:K3156,K3156)</f>
        <v>94</v>
      </c>
      <c r="E3156" s="61"/>
      <c r="F3156" s="239">
        <v>44644.392314814817</v>
      </c>
      <c r="G3156" s="164" t="s">
        <v>149</v>
      </c>
      <c r="H3156" s="73" t="s">
        <v>1615</v>
      </c>
      <c r="I3156" s="243" t="s">
        <v>379</v>
      </c>
      <c r="J3156" s="265">
        <v>112</v>
      </c>
      <c r="K3156" s="80">
        <v>112.4</v>
      </c>
      <c r="L3156" s="258"/>
      <c r="M3156" s="258">
        <v>2417489</v>
      </c>
      <c r="N3156" s="258"/>
      <c r="O3156" s="61"/>
      <c r="P3156" s="69" t="str">
        <f t="shared" si="198"/>
        <v>Piutang Usaha</v>
      </c>
      <c r="Q3156" s="61"/>
    </row>
    <row r="3157" spans="1:17" hidden="1" x14ac:dyDescent="0.25">
      <c r="A3157" s="60" t="str">
        <f t="shared" si="196"/>
        <v>635112</v>
      </c>
      <c r="B3157" s="60">
        <f>COUNTIF($J$7:J3157,J3157)</f>
        <v>635</v>
      </c>
      <c r="C3157" s="60" t="str">
        <f t="shared" si="197"/>
        <v>95112,4</v>
      </c>
      <c r="D3157" s="60">
        <f>COUNTIF($K$7:K3157,K3157)</f>
        <v>95</v>
      </c>
      <c r="E3157" s="61"/>
      <c r="F3157" s="239">
        <v>44644.517962962964</v>
      </c>
      <c r="G3157" s="164" t="s">
        <v>149</v>
      </c>
      <c r="H3157" s="73" t="s">
        <v>1615</v>
      </c>
      <c r="I3157" s="243" t="s">
        <v>379</v>
      </c>
      <c r="J3157" s="265">
        <v>112</v>
      </c>
      <c r="K3157" s="80">
        <v>112.4</v>
      </c>
      <c r="L3157" s="258"/>
      <c r="M3157" s="258">
        <v>1812491</v>
      </c>
      <c r="N3157" s="258"/>
      <c r="O3157" s="61"/>
      <c r="P3157" s="69" t="str">
        <f t="shared" si="198"/>
        <v>Piutang Usaha</v>
      </c>
      <c r="Q3157" s="61"/>
    </row>
    <row r="3158" spans="1:17" hidden="1" x14ac:dyDescent="0.25">
      <c r="A3158" s="60" t="str">
        <f t="shared" si="196"/>
        <v>129111,03</v>
      </c>
      <c r="B3158" s="60">
        <f>COUNTIF($J$7:J3158,J3158)</f>
        <v>129</v>
      </c>
      <c r="C3158" s="60" t="str">
        <f t="shared" si="197"/>
        <v>0</v>
      </c>
      <c r="D3158" s="60">
        <f>COUNTIF($K$7:K3158,K3158)</f>
        <v>0</v>
      </c>
      <c r="E3158" s="61"/>
      <c r="F3158" s="239">
        <v>44644.520405092589</v>
      </c>
      <c r="G3158" s="232"/>
      <c r="H3158" s="73" t="s">
        <v>1615</v>
      </c>
      <c r="I3158" s="243" t="s">
        <v>1728</v>
      </c>
      <c r="J3158" s="67">
        <v>111.03</v>
      </c>
      <c r="K3158" s="80"/>
      <c r="L3158" s="223">
        <v>400000000</v>
      </c>
      <c r="M3158" s="258"/>
      <c r="N3158" s="258"/>
      <c r="O3158" s="61"/>
      <c r="P3158" s="69" t="str">
        <f t="shared" si="198"/>
        <v>BCA 8607</v>
      </c>
      <c r="Q3158" s="61"/>
    </row>
    <row r="3159" spans="1:17" hidden="1" x14ac:dyDescent="0.25">
      <c r="A3159" s="60" t="str">
        <f t="shared" si="196"/>
        <v>88810,01</v>
      </c>
      <c r="B3159" s="60">
        <f>COUNTIF($J$7:J3159,J3159)</f>
        <v>88</v>
      </c>
      <c r="C3159" s="60" t="str">
        <f t="shared" si="197"/>
        <v>0</v>
      </c>
      <c r="D3159" s="60">
        <f>COUNTIF($K$7:K3159,K3159)</f>
        <v>0</v>
      </c>
      <c r="E3159" s="61"/>
      <c r="F3159" s="239">
        <v>44644.520405092589</v>
      </c>
      <c r="G3159" s="232"/>
      <c r="H3159" s="73" t="s">
        <v>1615</v>
      </c>
      <c r="I3159" s="243" t="s">
        <v>1729</v>
      </c>
      <c r="J3159" s="67">
        <v>810.01</v>
      </c>
      <c r="K3159" s="80"/>
      <c r="L3159" s="223">
        <v>2900</v>
      </c>
      <c r="M3159" s="258"/>
      <c r="N3159" s="258"/>
      <c r="O3159" s="61"/>
      <c r="P3159" s="69" t="str">
        <f t="shared" si="198"/>
        <v>Biaya Admin Transfer dan Rek</v>
      </c>
      <c r="Q3159" s="61"/>
    </row>
    <row r="3160" spans="1:17" hidden="1" x14ac:dyDescent="0.25">
      <c r="A3160" s="60" t="str">
        <f t="shared" si="196"/>
        <v>24512,03</v>
      </c>
      <c r="B3160" s="60">
        <f>COUNTIF($J$7:J3160,J3160)</f>
        <v>24</v>
      </c>
      <c r="C3160" s="60" t="str">
        <f t="shared" si="197"/>
        <v>0</v>
      </c>
      <c r="D3160" s="60">
        <f>COUNTIF($K$7:K3160,K3160)</f>
        <v>0</v>
      </c>
      <c r="E3160" s="61"/>
      <c r="F3160" s="239">
        <v>44644.547673611109</v>
      </c>
      <c r="G3160" s="232"/>
      <c r="H3160" s="73" t="s">
        <v>1615</v>
      </c>
      <c r="I3160" s="243" t="s">
        <v>1730</v>
      </c>
      <c r="J3160" s="241">
        <v>512.03</v>
      </c>
      <c r="K3160" s="80"/>
      <c r="L3160" s="223">
        <v>302348</v>
      </c>
      <c r="M3160" s="258"/>
      <c r="N3160" s="258"/>
      <c r="O3160" s="61"/>
      <c r="P3160" s="69" t="str">
        <f t="shared" si="198"/>
        <v>Beban Gasoline Marketing (Bensin, Parkir, Tol)</v>
      </c>
      <c r="Q3160" s="61"/>
    </row>
    <row r="3161" spans="1:17" hidden="1" x14ac:dyDescent="0.25">
      <c r="A3161" s="60" t="str">
        <f t="shared" si="196"/>
        <v>32610,1</v>
      </c>
      <c r="B3161" s="60">
        <f>COUNTIF($J$7:J3161,J3161)</f>
        <v>32</v>
      </c>
      <c r="C3161" s="60" t="str">
        <f t="shared" si="197"/>
        <v>0</v>
      </c>
      <c r="D3161" s="60">
        <f>COUNTIF($K$7:K3161,K3161)</f>
        <v>0</v>
      </c>
      <c r="E3161" s="61"/>
      <c r="F3161" s="239">
        <v>44644.547673611109</v>
      </c>
      <c r="G3161" s="232"/>
      <c r="H3161" s="73" t="s">
        <v>1615</v>
      </c>
      <c r="I3161" s="243" t="s">
        <v>1731</v>
      </c>
      <c r="J3161" s="61">
        <v>610.1</v>
      </c>
      <c r="K3161" s="80"/>
      <c r="L3161" s="223">
        <v>90940</v>
      </c>
      <c r="M3161" s="258"/>
      <c r="N3161" s="258"/>
      <c r="O3161" s="61"/>
      <c r="P3161" s="69" t="str">
        <f t="shared" si="198"/>
        <v>Biaya Rumah Tangga Kantor</v>
      </c>
      <c r="Q3161" s="61"/>
    </row>
    <row r="3162" spans="1:17" hidden="1" x14ac:dyDescent="0.25">
      <c r="A3162" s="60" t="str">
        <f t="shared" si="196"/>
        <v>25512,03</v>
      </c>
      <c r="B3162" s="60">
        <f>COUNTIF($J$7:J3162,J3162)</f>
        <v>25</v>
      </c>
      <c r="C3162" s="60" t="str">
        <f t="shared" si="197"/>
        <v>0</v>
      </c>
      <c r="D3162" s="60">
        <f>COUNTIF($K$7:K3162,K3162)</f>
        <v>0</v>
      </c>
      <c r="E3162" s="61"/>
      <c r="F3162" s="239">
        <v>44644.547673611109</v>
      </c>
      <c r="G3162" s="232"/>
      <c r="H3162" s="73" t="s">
        <v>1615</v>
      </c>
      <c r="I3162" s="243" t="s">
        <v>1732</v>
      </c>
      <c r="J3162" s="241">
        <v>512.03</v>
      </c>
      <c r="K3162" s="80"/>
      <c r="L3162" s="223">
        <v>450000</v>
      </c>
      <c r="M3162" s="258"/>
      <c r="N3162" s="258"/>
      <c r="O3162" s="61"/>
      <c r="P3162" s="69" t="str">
        <f t="shared" si="198"/>
        <v>Beban Gasoline Marketing (Bensin, Parkir, Tol)</v>
      </c>
      <c r="Q3162" s="61"/>
    </row>
    <row r="3163" spans="1:17" hidden="1" x14ac:dyDescent="0.25">
      <c r="A3163" s="60" t="str">
        <f t="shared" si="196"/>
        <v>10610,01</v>
      </c>
      <c r="B3163" s="60">
        <f>COUNTIF($J$7:J3163,J3163)</f>
        <v>10</v>
      </c>
      <c r="C3163" s="60" t="str">
        <f t="shared" si="197"/>
        <v>0</v>
      </c>
      <c r="D3163" s="60">
        <f>COUNTIF($K$7:K3163,K3163)</f>
        <v>0</v>
      </c>
      <c r="E3163" s="61"/>
      <c r="F3163" s="239">
        <v>44644.547673611109</v>
      </c>
      <c r="G3163" s="232"/>
      <c r="H3163" s="73" t="s">
        <v>1615</v>
      </c>
      <c r="I3163" s="243" t="s">
        <v>1733</v>
      </c>
      <c r="J3163" s="61">
        <v>610.01</v>
      </c>
      <c r="K3163" s="80"/>
      <c r="L3163" s="223">
        <v>6000000</v>
      </c>
      <c r="M3163" s="258"/>
      <c r="N3163" s="258"/>
      <c r="O3163" s="61"/>
      <c r="P3163" s="69" t="str">
        <f t="shared" si="198"/>
        <v>Biaya Gaji, Upah &amp; Honorer</v>
      </c>
      <c r="Q3163" s="61"/>
    </row>
    <row r="3164" spans="1:17" hidden="1" x14ac:dyDescent="0.25">
      <c r="A3164" s="60" t="str">
        <f t="shared" si="196"/>
        <v>31610,09</v>
      </c>
      <c r="B3164" s="60">
        <f>COUNTIF($J$7:J3164,J3164)</f>
        <v>31</v>
      </c>
      <c r="C3164" s="60" t="str">
        <f t="shared" si="197"/>
        <v>0</v>
      </c>
      <c r="D3164" s="60">
        <f>COUNTIF($K$7:K3164,K3164)</f>
        <v>0</v>
      </c>
      <c r="E3164" s="61"/>
      <c r="F3164" s="239">
        <v>44644.547673611109</v>
      </c>
      <c r="G3164" s="232"/>
      <c r="H3164" s="73" t="s">
        <v>1615</v>
      </c>
      <c r="I3164" s="243" t="s">
        <v>1734</v>
      </c>
      <c r="J3164" s="61">
        <v>610.09</v>
      </c>
      <c r="K3164" s="80"/>
      <c r="L3164" s="223">
        <v>214290</v>
      </c>
      <c r="M3164" s="258"/>
      <c r="N3164" s="258"/>
      <c r="O3164" s="61"/>
      <c r="P3164" s="69" t="str">
        <f t="shared" si="198"/>
        <v>Biaya ATK &amp; Perlengkapan Kantor</v>
      </c>
      <c r="Q3164" s="61"/>
    </row>
    <row r="3165" spans="1:17" hidden="1" x14ac:dyDescent="0.25">
      <c r="A3165" s="60" t="str">
        <f t="shared" si="196"/>
        <v>89810,01</v>
      </c>
      <c r="B3165" s="60">
        <f>COUNTIF($J$7:J3165,J3165)</f>
        <v>89</v>
      </c>
      <c r="C3165" s="60" t="str">
        <f t="shared" si="197"/>
        <v>0</v>
      </c>
      <c r="D3165" s="60">
        <f>COUNTIF($K$7:K3165,K3165)</f>
        <v>0</v>
      </c>
      <c r="E3165" s="61"/>
      <c r="F3165" s="239">
        <v>44644</v>
      </c>
      <c r="G3165" s="232"/>
      <c r="H3165" s="73" t="s">
        <v>1615</v>
      </c>
      <c r="I3165" s="243" t="s">
        <v>282</v>
      </c>
      <c r="J3165" s="67">
        <v>810.01</v>
      </c>
      <c r="K3165" s="80"/>
      <c r="L3165" s="223">
        <v>6500</v>
      </c>
      <c r="M3165" s="258"/>
      <c r="N3165" s="258"/>
      <c r="O3165" s="61"/>
      <c r="P3165" s="69" t="str">
        <f t="shared" si="198"/>
        <v>Biaya Admin Transfer dan Rek</v>
      </c>
      <c r="Q3165" s="61"/>
    </row>
    <row r="3166" spans="1:17" hidden="1" x14ac:dyDescent="0.25">
      <c r="A3166" s="60" t="str">
        <f t="shared" si="196"/>
        <v>70119</v>
      </c>
      <c r="B3166" s="60">
        <f>COUNTIF($J$7:J3166,J3166)</f>
        <v>70</v>
      </c>
      <c r="C3166" s="60" t="str">
        <f t="shared" si="197"/>
        <v>27119,01</v>
      </c>
      <c r="D3166" s="60">
        <f>COUNTIF($K$7:K3166,K3166)</f>
        <v>27</v>
      </c>
      <c r="E3166" s="61"/>
      <c r="F3166" s="239">
        <v>44644.547685185185</v>
      </c>
      <c r="G3166" s="232"/>
      <c r="H3166" s="73" t="s">
        <v>1615</v>
      </c>
      <c r="I3166" s="243" t="s">
        <v>1735</v>
      </c>
      <c r="J3166" s="67">
        <v>119</v>
      </c>
      <c r="K3166" s="80">
        <v>119.01</v>
      </c>
      <c r="L3166" s="223">
        <v>2300000</v>
      </c>
      <c r="M3166" s="258"/>
      <c r="N3166" s="258"/>
      <c r="O3166" s="61"/>
      <c r="P3166" s="69" t="str">
        <f t="shared" si="198"/>
        <v>Uang Muka Biaya Pengiriman dan Perjalanan Dinas Marketing</v>
      </c>
      <c r="Q3166" s="61"/>
    </row>
    <row r="3167" spans="1:17" hidden="1" x14ac:dyDescent="0.25">
      <c r="A3167" s="60" t="str">
        <f t="shared" si="196"/>
        <v>1610,99</v>
      </c>
      <c r="B3167" s="60">
        <f>COUNTIF($J$7:J3167,J3167)</f>
        <v>1</v>
      </c>
      <c r="C3167" s="60" t="str">
        <f t="shared" si="197"/>
        <v>0</v>
      </c>
      <c r="D3167" s="60">
        <f>COUNTIF($K$7:K3167,K3167)</f>
        <v>0</v>
      </c>
      <c r="E3167" s="61"/>
      <c r="F3167" s="239">
        <v>44644.547685185185</v>
      </c>
      <c r="G3167" s="232"/>
      <c r="H3167" s="73" t="s">
        <v>1615</v>
      </c>
      <c r="I3167" s="243" t="s">
        <v>1736</v>
      </c>
      <c r="J3167" s="241">
        <v>610.99</v>
      </c>
      <c r="K3167" s="80"/>
      <c r="L3167" s="223">
        <v>2000000</v>
      </c>
      <c r="M3167" s="258"/>
      <c r="N3167" s="258"/>
      <c r="O3167" s="61"/>
      <c r="P3167" s="69" t="str">
        <f t="shared" si="198"/>
        <v>Biaya Umum dan Administrasi Lainnya</v>
      </c>
      <c r="Q3167" s="61"/>
    </row>
    <row r="3168" spans="1:17" hidden="1" x14ac:dyDescent="0.25">
      <c r="A3168" s="60" t="str">
        <f t="shared" si="196"/>
        <v>3512,05</v>
      </c>
      <c r="B3168" s="60">
        <f>COUNTIF($J$7:J3168,J3168)</f>
        <v>3</v>
      </c>
      <c r="C3168" s="60" t="str">
        <f t="shared" si="197"/>
        <v>0</v>
      </c>
      <c r="D3168" s="60">
        <f>COUNTIF($K$7:K3168,K3168)</f>
        <v>0</v>
      </c>
      <c r="E3168" s="61"/>
      <c r="F3168" s="239">
        <v>44644.547685185185</v>
      </c>
      <c r="G3168" s="232"/>
      <c r="H3168" s="73" t="s">
        <v>1615</v>
      </c>
      <c r="I3168" s="243" t="s">
        <v>1737</v>
      </c>
      <c r="J3168" s="241">
        <v>512.04999999999995</v>
      </c>
      <c r="K3168" s="80"/>
      <c r="L3168" s="223">
        <v>6821184</v>
      </c>
      <c r="M3168" s="258"/>
      <c r="N3168" s="258"/>
      <c r="O3168" s="61"/>
      <c r="P3168" s="69" t="str">
        <f t="shared" si="198"/>
        <v>Beban Operasional Marketing Lainnya</v>
      </c>
      <c r="Q3168" s="61"/>
    </row>
    <row r="3169" spans="1:17" hidden="1" x14ac:dyDescent="0.25">
      <c r="A3169" s="60" t="str">
        <f t="shared" si="196"/>
        <v>9610,04</v>
      </c>
      <c r="B3169" s="60">
        <f>COUNTIF($J$7:J3169,J3169)</f>
        <v>9</v>
      </c>
      <c r="C3169" s="60" t="str">
        <f t="shared" si="197"/>
        <v>0</v>
      </c>
      <c r="D3169" s="60">
        <f>COUNTIF($K$7:K3169,K3169)</f>
        <v>0</v>
      </c>
      <c r="E3169" s="61"/>
      <c r="F3169" s="239">
        <v>44644.547685185185</v>
      </c>
      <c r="G3169" s="232"/>
      <c r="H3169" s="73" t="s">
        <v>1615</v>
      </c>
      <c r="I3169" s="243" t="s">
        <v>1738</v>
      </c>
      <c r="J3169" s="61">
        <v>610.04</v>
      </c>
      <c r="K3169" s="80"/>
      <c r="L3169" s="223">
        <v>259000</v>
      </c>
      <c r="M3169" s="258"/>
      <c r="N3169" s="258"/>
      <c r="O3169" s="61"/>
      <c r="P3169" s="69" t="str">
        <f t="shared" si="198"/>
        <v>Biaya Transportasi Umum (Bensin, Tol, Parkir) dan Kirim Dokumen</v>
      </c>
      <c r="Q3169" s="61"/>
    </row>
    <row r="3170" spans="1:17" hidden="1" x14ac:dyDescent="0.25">
      <c r="A3170" s="60" t="str">
        <f t="shared" si="196"/>
        <v>397111,01</v>
      </c>
      <c r="B3170" s="60">
        <f>COUNTIF($J$7:J3170,J3170)</f>
        <v>397</v>
      </c>
      <c r="C3170" s="60" t="str">
        <f t="shared" si="197"/>
        <v>0</v>
      </c>
      <c r="D3170" s="60">
        <f>COUNTIF($K$7:K3170,K3170)</f>
        <v>0</v>
      </c>
      <c r="E3170" s="61"/>
      <c r="F3170" s="239">
        <v>44644.520405092589</v>
      </c>
      <c r="G3170" s="232"/>
      <c r="H3170" s="73" t="s">
        <v>1615</v>
      </c>
      <c r="I3170" s="243" t="s">
        <v>1728</v>
      </c>
      <c r="J3170" s="67">
        <v>111.01</v>
      </c>
      <c r="K3170" s="243"/>
      <c r="L3170" s="258"/>
      <c r="M3170" s="223">
        <v>400000000</v>
      </c>
      <c r="N3170" s="223"/>
      <c r="O3170" s="61"/>
      <c r="P3170" s="69" t="str">
        <f t="shared" si="198"/>
        <v>BNI IDR 768</v>
      </c>
      <c r="Q3170" s="61"/>
    </row>
    <row r="3171" spans="1:17" hidden="1" x14ac:dyDescent="0.25">
      <c r="A3171" s="60" t="str">
        <f t="shared" si="196"/>
        <v>398111,01</v>
      </c>
      <c r="B3171" s="60">
        <f>COUNTIF($J$7:J3171,J3171)</f>
        <v>398</v>
      </c>
      <c r="C3171" s="60" t="str">
        <f t="shared" si="197"/>
        <v>0</v>
      </c>
      <c r="D3171" s="60">
        <f>COUNTIF($K$7:K3171,K3171)</f>
        <v>0</v>
      </c>
      <c r="E3171" s="61"/>
      <c r="F3171" s="239">
        <v>44644.520405092589</v>
      </c>
      <c r="G3171" s="232"/>
      <c r="H3171" s="73" t="s">
        <v>1615</v>
      </c>
      <c r="I3171" s="243" t="s">
        <v>1729</v>
      </c>
      <c r="J3171" s="67">
        <v>111.01</v>
      </c>
      <c r="K3171" s="243"/>
      <c r="L3171" s="258"/>
      <c r="M3171" s="223">
        <v>2900</v>
      </c>
      <c r="N3171" s="223"/>
      <c r="O3171" s="61"/>
      <c r="P3171" s="69" t="str">
        <f t="shared" si="198"/>
        <v>BNI IDR 768</v>
      </c>
      <c r="Q3171" s="61"/>
    </row>
    <row r="3172" spans="1:17" hidden="1" x14ac:dyDescent="0.25">
      <c r="A3172" s="60" t="str">
        <f t="shared" si="196"/>
        <v>399111,01</v>
      </c>
      <c r="B3172" s="60">
        <f>COUNTIF($J$7:J3172,J3172)</f>
        <v>399</v>
      </c>
      <c r="C3172" s="60" t="str">
        <f t="shared" si="197"/>
        <v>0</v>
      </c>
      <c r="D3172" s="60">
        <f>COUNTIF($K$7:K3172,K3172)</f>
        <v>0</v>
      </c>
      <c r="E3172" s="61"/>
      <c r="F3172" s="239">
        <v>44644.547673611109</v>
      </c>
      <c r="G3172" s="232"/>
      <c r="H3172" s="73" t="s">
        <v>1615</v>
      </c>
      <c r="I3172" s="243" t="s">
        <v>1739</v>
      </c>
      <c r="J3172" s="67">
        <v>111.01</v>
      </c>
      <c r="K3172" s="243"/>
      <c r="L3172" s="258"/>
      <c r="M3172" s="223">
        <v>302348</v>
      </c>
      <c r="N3172" s="223"/>
      <c r="O3172" s="61"/>
      <c r="P3172" s="69" t="str">
        <f t="shared" si="198"/>
        <v>BNI IDR 768</v>
      </c>
      <c r="Q3172" s="61"/>
    </row>
    <row r="3173" spans="1:17" hidden="1" x14ac:dyDescent="0.25">
      <c r="A3173" s="60" t="str">
        <f t="shared" si="196"/>
        <v>400111,01</v>
      </c>
      <c r="B3173" s="60">
        <f>COUNTIF($J$7:J3173,J3173)</f>
        <v>400</v>
      </c>
      <c r="C3173" s="60" t="str">
        <f t="shared" si="197"/>
        <v>0</v>
      </c>
      <c r="D3173" s="60">
        <f>COUNTIF($K$7:K3173,K3173)</f>
        <v>0</v>
      </c>
      <c r="E3173" s="61"/>
      <c r="F3173" s="239">
        <v>44644.547673611109</v>
      </c>
      <c r="G3173" s="232"/>
      <c r="H3173" s="73" t="s">
        <v>1615</v>
      </c>
      <c r="I3173" s="243" t="s">
        <v>1731</v>
      </c>
      <c r="J3173" s="67">
        <v>111.01</v>
      </c>
      <c r="K3173" s="243"/>
      <c r="L3173" s="258"/>
      <c r="M3173" s="223">
        <v>90940</v>
      </c>
      <c r="N3173" s="223"/>
      <c r="O3173" s="61"/>
      <c r="P3173" s="69" t="str">
        <f t="shared" si="198"/>
        <v>BNI IDR 768</v>
      </c>
      <c r="Q3173" s="61"/>
    </row>
    <row r="3174" spans="1:17" hidden="1" x14ac:dyDescent="0.25">
      <c r="A3174" s="60" t="str">
        <f t="shared" si="196"/>
        <v>401111,01</v>
      </c>
      <c r="B3174" s="60">
        <f>COUNTIF($J$7:J3174,J3174)</f>
        <v>401</v>
      </c>
      <c r="C3174" s="60" t="str">
        <f t="shared" si="197"/>
        <v>0</v>
      </c>
      <c r="D3174" s="60">
        <f>COUNTIF($K$7:K3174,K3174)</f>
        <v>0</v>
      </c>
      <c r="E3174" s="61"/>
      <c r="F3174" s="239">
        <v>44644.547673611109</v>
      </c>
      <c r="G3174" s="232"/>
      <c r="H3174" s="73" t="s">
        <v>1615</v>
      </c>
      <c r="I3174" s="243" t="s">
        <v>1732</v>
      </c>
      <c r="J3174" s="67">
        <v>111.01</v>
      </c>
      <c r="K3174" s="243"/>
      <c r="L3174" s="258"/>
      <c r="M3174" s="223">
        <v>450000</v>
      </c>
      <c r="N3174" s="223"/>
      <c r="O3174" s="61"/>
      <c r="P3174" s="69" t="str">
        <f t="shared" si="198"/>
        <v>BNI IDR 768</v>
      </c>
      <c r="Q3174" s="61"/>
    </row>
    <row r="3175" spans="1:17" hidden="1" x14ac:dyDescent="0.25">
      <c r="A3175" s="60" t="str">
        <f t="shared" si="196"/>
        <v>402111,01</v>
      </c>
      <c r="B3175" s="60">
        <f>COUNTIF($J$7:J3175,J3175)</f>
        <v>402</v>
      </c>
      <c r="C3175" s="60" t="str">
        <f t="shared" si="197"/>
        <v>0</v>
      </c>
      <c r="D3175" s="60">
        <f>COUNTIF($K$7:K3175,K3175)</f>
        <v>0</v>
      </c>
      <c r="E3175" s="61"/>
      <c r="F3175" s="239">
        <v>44644.547673611109</v>
      </c>
      <c r="G3175" s="232"/>
      <c r="H3175" s="73" t="s">
        <v>1615</v>
      </c>
      <c r="I3175" s="243" t="s">
        <v>1733</v>
      </c>
      <c r="J3175" s="67">
        <v>111.01</v>
      </c>
      <c r="K3175" s="243"/>
      <c r="L3175" s="258"/>
      <c r="M3175" s="223">
        <v>6000000</v>
      </c>
      <c r="N3175" s="223"/>
      <c r="O3175" s="61"/>
      <c r="P3175" s="69" t="str">
        <f t="shared" si="198"/>
        <v>BNI IDR 768</v>
      </c>
      <c r="Q3175" s="61"/>
    </row>
    <row r="3176" spans="1:17" hidden="1" x14ac:dyDescent="0.25">
      <c r="A3176" s="60" t="str">
        <f t="shared" si="196"/>
        <v>403111,01</v>
      </c>
      <c r="B3176" s="60">
        <f>COUNTIF($J$7:J3176,J3176)</f>
        <v>403</v>
      </c>
      <c r="C3176" s="60" t="str">
        <f t="shared" si="197"/>
        <v>0</v>
      </c>
      <c r="D3176" s="60">
        <f>COUNTIF($K$7:K3176,K3176)</f>
        <v>0</v>
      </c>
      <c r="E3176" s="61"/>
      <c r="F3176" s="239">
        <v>44644.547673611109</v>
      </c>
      <c r="G3176" s="232"/>
      <c r="H3176" s="73" t="s">
        <v>1615</v>
      </c>
      <c r="I3176" s="243" t="s">
        <v>1734</v>
      </c>
      <c r="J3176" s="67">
        <v>111.01</v>
      </c>
      <c r="K3176" s="243"/>
      <c r="L3176" s="258"/>
      <c r="M3176" s="223">
        <v>214290</v>
      </c>
      <c r="N3176" s="223"/>
      <c r="O3176" s="61"/>
      <c r="P3176" s="69" t="str">
        <f t="shared" si="198"/>
        <v>BNI IDR 768</v>
      </c>
      <c r="Q3176" s="61"/>
    </row>
    <row r="3177" spans="1:17" hidden="1" x14ac:dyDescent="0.25">
      <c r="A3177" s="60" t="str">
        <f t="shared" si="196"/>
        <v>404111,01</v>
      </c>
      <c r="B3177" s="60">
        <f>COUNTIF($J$7:J3177,J3177)</f>
        <v>404</v>
      </c>
      <c r="C3177" s="60" t="str">
        <f t="shared" si="197"/>
        <v>0</v>
      </c>
      <c r="D3177" s="60">
        <f>COUNTIF($K$7:K3177,K3177)</f>
        <v>0</v>
      </c>
      <c r="E3177" s="61"/>
      <c r="F3177" s="239">
        <v>44644</v>
      </c>
      <c r="G3177" s="232"/>
      <c r="H3177" s="73" t="s">
        <v>1615</v>
      </c>
      <c r="I3177" s="243" t="s">
        <v>282</v>
      </c>
      <c r="J3177" s="67">
        <v>111.01</v>
      </c>
      <c r="K3177" s="243"/>
      <c r="L3177" s="258"/>
      <c r="M3177" s="223">
        <v>6500</v>
      </c>
      <c r="N3177" s="223"/>
      <c r="O3177" s="61"/>
      <c r="P3177" s="69" t="str">
        <f t="shared" si="198"/>
        <v>BNI IDR 768</v>
      </c>
      <c r="Q3177" s="61"/>
    </row>
    <row r="3178" spans="1:17" hidden="1" x14ac:dyDescent="0.25">
      <c r="A3178" s="60" t="str">
        <f t="shared" si="196"/>
        <v>405111,01</v>
      </c>
      <c r="B3178" s="60">
        <f>COUNTIF($J$7:J3178,J3178)</f>
        <v>405</v>
      </c>
      <c r="C3178" s="60" t="str">
        <f t="shared" si="197"/>
        <v>0</v>
      </c>
      <c r="D3178" s="60">
        <f>COUNTIF($K$7:K3178,K3178)</f>
        <v>0</v>
      </c>
      <c r="E3178" s="61"/>
      <c r="F3178" s="239">
        <v>44644.547685185185</v>
      </c>
      <c r="G3178" s="232"/>
      <c r="H3178" s="73" t="s">
        <v>1615</v>
      </c>
      <c r="I3178" s="243" t="s">
        <v>1735</v>
      </c>
      <c r="J3178" s="67">
        <v>111.01</v>
      </c>
      <c r="K3178" s="243"/>
      <c r="L3178" s="258"/>
      <c r="M3178" s="223">
        <v>2300000</v>
      </c>
      <c r="N3178" s="223"/>
      <c r="O3178" s="61"/>
      <c r="P3178" s="69" t="str">
        <f t="shared" si="198"/>
        <v>BNI IDR 768</v>
      </c>
      <c r="Q3178" s="61"/>
    </row>
    <row r="3179" spans="1:17" hidden="1" x14ac:dyDescent="0.25">
      <c r="A3179" s="60" t="str">
        <f t="shared" si="196"/>
        <v>406111,01</v>
      </c>
      <c r="B3179" s="60">
        <f>COUNTIF($J$7:J3179,J3179)</f>
        <v>406</v>
      </c>
      <c r="C3179" s="60" t="str">
        <f t="shared" si="197"/>
        <v>0</v>
      </c>
      <c r="D3179" s="60">
        <f>COUNTIF($K$7:K3179,K3179)</f>
        <v>0</v>
      </c>
      <c r="E3179" s="61"/>
      <c r="F3179" s="239">
        <v>44644.547685185185</v>
      </c>
      <c r="G3179" s="232"/>
      <c r="H3179" s="73" t="s">
        <v>1615</v>
      </c>
      <c r="I3179" s="243" t="s">
        <v>1736</v>
      </c>
      <c r="J3179" s="67">
        <v>111.01</v>
      </c>
      <c r="K3179" s="243"/>
      <c r="L3179" s="258"/>
      <c r="M3179" s="223">
        <v>2000000</v>
      </c>
      <c r="N3179" s="223"/>
      <c r="O3179" s="61"/>
      <c r="P3179" s="69" t="str">
        <f t="shared" si="198"/>
        <v>BNI IDR 768</v>
      </c>
      <c r="Q3179" s="61"/>
    </row>
    <row r="3180" spans="1:17" hidden="1" x14ac:dyDescent="0.25">
      <c r="A3180" s="60" t="str">
        <f t="shared" si="196"/>
        <v>407111,01</v>
      </c>
      <c r="B3180" s="60">
        <f>COUNTIF($J$7:J3180,J3180)</f>
        <v>407</v>
      </c>
      <c r="C3180" s="60" t="str">
        <f t="shared" si="197"/>
        <v>0</v>
      </c>
      <c r="D3180" s="60">
        <f>COUNTIF($K$7:K3180,K3180)</f>
        <v>0</v>
      </c>
      <c r="E3180" s="61"/>
      <c r="F3180" s="239">
        <v>44644.547685185185</v>
      </c>
      <c r="G3180" s="232"/>
      <c r="H3180" s="73" t="s">
        <v>1615</v>
      </c>
      <c r="I3180" s="243" t="s">
        <v>1740</v>
      </c>
      <c r="J3180" s="67">
        <v>111.01</v>
      </c>
      <c r="K3180" s="243"/>
      <c r="L3180" s="258"/>
      <c r="M3180" s="223">
        <v>6821184</v>
      </c>
      <c r="N3180" s="223"/>
      <c r="O3180" s="61"/>
      <c r="P3180" s="69" t="str">
        <f t="shared" si="198"/>
        <v>BNI IDR 768</v>
      </c>
      <c r="Q3180" s="61"/>
    </row>
    <row r="3181" spans="1:17" hidden="1" x14ac:dyDescent="0.25">
      <c r="A3181" s="60" t="str">
        <f t="shared" si="196"/>
        <v>408111,01</v>
      </c>
      <c r="B3181" s="60">
        <f>COUNTIF($J$7:J3181,J3181)</f>
        <v>408</v>
      </c>
      <c r="C3181" s="60" t="str">
        <f t="shared" si="197"/>
        <v>0</v>
      </c>
      <c r="D3181" s="60">
        <f>COUNTIF($K$7:K3181,K3181)</f>
        <v>0</v>
      </c>
      <c r="E3181" s="61"/>
      <c r="F3181" s="239">
        <v>44644.547685185185</v>
      </c>
      <c r="G3181" s="232"/>
      <c r="H3181" s="73" t="s">
        <v>1615</v>
      </c>
      <c r="I3181" s="243" t="s">
        <v>1741</v>
      </c>
      <c r="J3181" s="67">
        <v>111.01</v>
      </c>
      <c r="K3181" s="243"/>
      <c r="L3181" s="258"/>
      <c r="M3181" s="223">
        <v>259000</v>
      </c>
      <c r="N3181" s="223"/>
      <c r="O3181" s="61"/>
      <c r="P3181" s="69" t="str">
        <f t="shared" si="198"/>
        <v>BNI IDR 768</v>
      </c>
      <c r="Q3181" s="61"/>
    </row>
    <row r="3182" spans="1:17" hidden="1" x14ac:dyDescent="0.25">
      <c r="A3182" s="60" t="str">
        <f t="shared" si="196"/>
        <v>409111,01</v>
      </c>
      <c r="B3182" s="60">
        <f>COUNTIF($J$7:J3182,J3182)</f>
        <v>409</v>
      </c>
      <c r="C3182" s="60" t="str">
        <f t="shared" si="197"/>
        <v>0</v>
      </c>
      <c r="D3182" s="60">
        <f>COUNTIF($K$7:K3182,K3182)</f>
        <v>0</v>
      </c>
      <c r="E3182" s="61"/>
      <c r="F3182" s="239">
        <v>44644.56009259259</v>
      </c>
      <c r="G3182" s="232"/>
      <c r="H3182" s="73" t="s">
        <v>1615</v>
      </c>
      <c r="I3182" s="243" t="s">
        <v>323</v>
      </c>
      <c r="J3182" s="67">
        <v>111.01</v>
      </c>
      <c r="K3182" s="243"/>
      <c r="L3182" s="258">
        <v>16035434</v>
      </c>
      <c r="M3182" s="223"/>
      <c r="N3182" s="223"/>
      <c r="O3182" s="61"/>
      <c r="P3182" s="69" t="str">
        <f t="shared" si="198"/>
        <v>BNI IDR 768</v>
      </c>
      <c r="Q3182" s="61"/>
    </row>
    <row r="3183" spans="1:17" hidden="1" x14ac:dyDescent="0.25">
      <c r="A3183" s="60" t="str">
        <f t="shared" si="196"/>
        <v>410111,01</v>
      </c>
      <c r="B3183" s="60">
        <f>COUNTIF($J$7:J3183,J3183)</f>
        <v>410</v>
      </c>
      <c r="C3183" s="60" t="str">
        <f t="shared" si="197"/>
        <v>0</v>
      </c>
      <c r="D3183" s="60">
        <f>COUNTIF($K$7:K3183,K3183)</f>
        <v>0</v>
      </c>
      <c r="E3183" s="61"/>
      <c r="F3183" s="239">
        <v>44644.624328703707</v>
      </c>
      <c r="G3183" s="232"/>
      <c r="H3183" s="73" t="s">
        <v>1615</v>
      </c>
      <c r="I3183" s="243" t="s">
        <v>1742</v>
      </c>
      <c r="J3183" s="67">
        <v>111.01</v>
      </c>
      <c r="K3183" s="243"/>
      <c r="L3183" s="258">
        <v>4793500</v>
      </c>
      <c r="M3183" s="223"/>
      <c r="N3183" s="223"/>
      <c r="O3183" s="61"/>
      <c r="P3183" s="69" t="str">
        <f t="shared" si="198"/>
        <v>BNI IDR 768</v>
      </c>
      <c r="Q3183" s="61"/>
    </row>
    <row r="3184" spans="1:17" hidden="1" x14ac:dyDescent="0.25">
      <c r="A3184" s="60" t="str">
        <f t="shared" si="196"/>
        <v>636112</v>
      </c>
      <c r="B3184" s="60">
        <f>COUNTIF($J$7:J3184,J3184)</f>
        <v>636</v>
      </c>
      <c r="C3184" s="60" t="str">
        <f t="shared" si="197"/>
        <v>96112,4</v>
      </c>
      <c r="D3184" s="60">
        <f>COUNTIF($K$7:K3184,K3184)</f>
        <v>96</v>
      </c>
      <c r="E3184" s="61"/>
      <c r="F3184" s="239">
        <v>44644.56009259259</v>
      </c>
      <c r="G3184" s="164" t="s">
        <v>149</v>
      </c>
      <c r="H3184" s="73" t="s">
        <v>1615</v>
      </c>
      <c r="I3184" s="243" t="s">
        <v>323</v>
      </c>
      <c r="J3184" s="265">
        <v>112</v>
      </c>
      <c r="K3184" s="80">
        <v>112.4</v>
      </c>
      <c r="L3184" s="258"/>
      <c r="M3184" s="258">
        <v>16035434</v>
      </c>
      <c r="N3184" s="258"/>
      <c r="O3184" s="61"/>
      <c r="P3184" s="69" t="str">
        <f t="shared" si="198"/>
        <v>Piutang Usaha</v>
      </c>
      <c r="Q3184" s="61"/>
    </row>
    <row r="3185" spans="1:17" hidden="1" x14ac:dyDescent="0.25">
      <c r="A3185" s="60" t="str">
        <f t="shared" si="196"/>
        <v>637112</v>
      </c>
      <c r="B3185" s="60">
        <f>COUNTIF($J$7:J3185,J3185)</f>
        <v>637</v>
      </c>
      <c r="C3185" s="60" t="str">
        <f t="shared" si="197"/>
        <v>8112,57</v>
      </c>
      <c r="D3185" s="60">
        <f>COUNTIF($K$7:K3185,K3185)</f>
        <v>8</v>
      </c>
      <c r="E3185" s="61"/>
      <c r="F3185" s="239">
        <v>44644.624328703707</v>
      </c>
      <c r="G3185" s="164" t="s">
        <v>149</v>
      </c>
      <c r="H3185" s="73" t="s">
        <v>1615</v>
      </c>
      <c r="I3185" s="243" t="s">
        <v>1742</v>
      </c>
      <c r="J3185" s="265">
        <v>112</v>
      </c>
      <c r="K3185" s="80">
        <v>112.57</v>
      </c>
      <c r="L3185" s="258"/>
      <c r="M3185" s="258">
        <v>4793500</v>
      </c>
      <c r="N3185" s="258"/>
      <c r="O3185" s="61"/>
      <c r="P3185" s="69" t="str">
        <f t="shared" si="198"/>
        <v>Piutang Usaha</v>
      </c>
      <c r="Q3185" s="61"/>
    </row>
    <row r="3186" spans="1:17" hidden="1" x14ac:dyDescent="0.25">
      <c r="A3186" s="60" t="str">
        <f t="shared" si="196"/>
        <v>4512,05</v>
      </c>
      <c r="B3186" s="60">
        <f>COUNTIF($J$7:J3186,J3186)</f>
        <v>4</v>
      </c>
      <c r="C3186" s="60" t="str">
        <f t="shared" si="197"/>
        <v>0</v>
      </c>
      <c r="D3186" s="60">
        <f>COUNTIF($K$7:K3186,K3186)</f>
        <v>0</v>
      </c>
      <c r="E3186" s="61"/>
      <c r="F3186" s="239">
        <v>44644.719560185185</v>
      </c>
      <c r="G3186" s="232"/>
      <c r="H3186" s="73" t="s">
        <v>1615</v>
      </c>
      <c r="I3186" s="243" t="s">
        <v>1743</v>
      </c>
      <c r="J3186" s="241">
        <v>512.04999999999995</v>
      </c>
      <c r="K3186" s="80"/>
      <c r="L3186" s="223">
        <v>9220402</v>
      </c>
      <c r="M3186" s="258"/>
      <c r="N3186" s="258"/>
      <c r="O3186" s="61"/>
      <c r="P3186" s="69" t="str">
        <f t="shared" si="198"/>
        <v>Beban Operasional Marketing Lainnya</v>
      </c>
      <c r="Q3186" s="61"/>
    </row>
    <row r="3187" spans="1:17" hidden="1" x14ac:dyDescent="0.25">
      <c r="A3187" s="60" t="str">
        <f t="shared" si="196"/>
        <v>33610,1</v>
      </c>
      <c r="B3187" s="60">
        <f>COUNTIF($J$7:J3187,J3187)</f>
        <v>33</v>
      </c>
      <c r="C3187" s="60" t="str">
        <f t="shared" si="197"/>
        <v>0</v>
      </c>
      <c r="D3187" s="60">
        <f>COUNTIF($K$7:K3187,K3187)</f>
        <v>0</v>
      </c>
      <c r="E3187" s="61"/>
      <c r="F3187" s="239">
        <v>44644.719560185185</v>
      </c>
      <c r="G3187" s="232"/>
      <c r="H3187" s="73" t="s">
        <v>1615</v>
      </c>
      <c r="I3187" s="243" t="s">
        <v>1744</v>
      </c>
      <c r="J3187" s="61">
        <v>610.1</v>
      </c>
      <c r="K3187" s="80"/>
      <c r="L3187" s="223">
        <v>275000</v>
      </c>
      <c r="M3187" s="258"/>
      <c r="N3187" s="258"/>
      <c r="O3187" s="61"/>
      <c r="P3187" s="69" t="str">
        <f t="shared" si="198"/>
        <v>Biaya Rumah Tangga Kantor</v>
      </c>
      <c r="Q3187" s="61"/>
    </row>
    <row r="3188" spans="1:17" hidden="1" x14ac:dyDescent="0.25">
      <c r="A3188" s="60" t="str">
        <f t="shared" si="196"/>
        <v>6610,13</v>
      </c>
      <c r="B3188" s="60">
        <f>COUNTIF($J$7:J3188,J3188)</f>
        <v>6</v>
      </c>
      <c r="C3188" s="60" t="str">
        <f t="shared" si="197"/>
        <v>0</v>
      </c>
      <c r="D3188" s="60">
        <f>COUNTIF($K$7:K3188,K3188)</f>
        <v>0</v>
      </c>
      <c r="E3188" s="61"/>
      <c r="F3188" s="239">
        <v>44644.719583333332</v>
      </c>
      <c r="G3188" s="232"/>
      <c r="H3188" s="73" t="s">
        <v>1615</v>
      </c>
      <c r="I3188" s="243" t="s">
        <v>1745</v>
      </c>
      <c r="J3188" s="61">
        <v>610.13</v>
      </c>
      <c r="K3188" s="80"/>
      <c r="L3188" s="223">
        <v>115662</v>
      </c>
      <c r="M3188" s="258"/>
      <c r="N3188" s="258"/>
      <c r="O3188" s="61"/>
      <c r="P3188" s="69" t="str">
        <f t="shared" si="198"/>
        <v>Biaya Pemeliharaan Peralatan dan Inventaris Kantor</v>
      </c>
      <c r="Q3188" s="61"/>
    </row>
    <row r="3189" spans="1:17" hidden="1" x14ac:dyDescent="0.25">
      <c r="A3189" s="60" t="str">
        <f t="shared" si="196"/>
        <v>26512,03</v>
      </c>
      <c r="B3189" s="60">
        <f>COUNTIF($J$7:J3189,J3189)</f>
        <v>26</v>
      </c>
      <c r="C3189" s="60" t="str">
        <f t="shared" si="197"/>
        <v>0</v>
      </c>
      <c r="D3189" s="60">
        <f>COUNTIF($K$7:K3189,K3189)</f>
        <v>0</v>
      </c>
      <c r="E3189" s="61"/>
      <c r="F3189" s="239">
        <v>44644.719583333332</v>
      </c>
      <c r="G3189" s="232"/>
      <c r="H3189" s="73" t="s">
        <v>1615</v>
      </c>
      <c r="I3189" s="243" t="s">
        <v>1746</v>
      </c>
      <c r="J3189" s="241">
        <v>512.03</v>
      </c>
      <c r="K3189" s="80"/>
      <c r="L3189" s="223">
        <v>250000</v>
      </c>
      <c r="M3189" s="258"/>
      <c r="N3189" s="258"/>
      <c r="O3189" s="61"/>
      <c r="P3189" s="69" t="str">
        <f t="shared" si="198"/>
        <v>Beban Gasoline Marketing (Bensin, Parkir, Tol)</v>
      </c>
      <c r="Q3189" s="61"/>
    </row>
    <row r="3190" spans="1:17" hidden="1" x14ac:dyDescent="0.25">
      <c r="A3190" s="60" t="str">
        <f t="shared" si="196"/>
        <v>11610,01</v>
      </c>
      <c r="B3190" s="60">
        <f>COUNTIF($J$7:J3190,J3190)</f>
        <v>11</v>
      </c>
      <c r="C3190" s="60" t="str">
        <f t="shared" si="197"/>
        <v>0</v>
      </c>
      <c r="D3190" s="60">
        <f>COUNTIF($K$7:K3190,K3190)</f>
        <v>0</v>
      </c>
      <c r="E3190" s="61"/>
      <c r="F3190" s="239">
        <v>44644.720833333333</v>
      </c>
      <c r="G3190" s="232"/>
      <c r="H3190" s="73" t="s">
        <v>1615</v>
      </c>
      <c r="I3190" s="243" t="s">
        <v>1199</v>
      </c>
      <c r="J3190" s="61">
        <v>610.01</v>
      </c>
      <c r="K3190" s="80"/>
      <c r="L3190" s="223">
        <v>70407937</v>
      </c>
      <c r="M3190" s="258"/>
      <c r="N3190" s="258"/>
      <c r="O3190" s="61"/>
      <c r="P3190" s="69" t="str">
        <f t="shared" si="198"/>
        <v>Biaya Gaji, Upah &amp; Honorer</v>
      </c>
      <c r="Q3190" s="61"/>
    </row>
    <row r="3191" spans="1:17" hidden="1" x14ac:dyDescent="0.25">
      <c r="A3191" s="60" t="str">
        <f t="shared" si="196"/>
        <v>411111,01</v>
      </c>
      <c r="B3191" s="60">
        <f>COUNTIF($J$7:J3191,J3191)</f>
        <v>411</v>
      </c>
      <c r="C3191" s="60" t="str">
        <f t="shared" si="197"/>
        <v>0</v>
      </c>
      <c r="D3191" s="60">
        <f>COUNTIF($K$7:K3191,K3191)</f>
        <v>0</v>
      </c>
      <c r="E3191" s="61"/>
      <c r="F3191" s="239">
        <v>44644.719560185185</v>
      </c>
      <c r="G3191" s="232"/>
      <c r="H3191" s="73" t="s">
        <v>1615</v>
      </c>
      <c r="I3191" s="243" t="s">
        <v>1747</v>
      </c>
      <c r="J3191" s="67">
        <v>111.01</v>
      </c>
      <c r="K3191" s="243"/>
      <c r="L3191" s="258"/>
      <c r="M3191" s="223">
        <v>9220402</v>
      </c>
      <c r="N3191" s="223"/>
      <c r="O3191" s="61"/>
      <c r="P3191" s="69" t="str">
        <f t="shared" si="198"/>
        <v>BNI IDR 768</v>
      </c>
      <c r="Q3191" s="61"/>
    </row>
    <row r="3192" spans="1:17" hidden="1" x14ac:dyDescent="0.25">
      <c r="A3192" s="60" t="str">
        <f t="shared" si="196"/>
        <v>412111,01</v>
      </c>
      <c r="B3192" s="60">
        <f>COUNTIF($J$7:J3192,J3192)</f>
        <v>412</v>
      </c>
      <c r="C3192" s="60" t="str">
        <f t="shared" si="197"/>
        <v>0</v>
      </c>
      <c r="D3192" s="60">
        <f>COUNTIF($K$7:K3192,K3192)</f>
        <v>0</v>
      </c>
      <c r="E3192" s="61"/>
      <c r="F3192" s="239">
        <v>44644.719560185185</v>
      </c>
      <c r="G3192" s="232"/>
      <c r="H3192" s="73" t="s">
        <v>1615</v>
      </c>
      <c r="I3192" s="243" t="s">
        <v>1744</v>
      </c>
      <c r="J3192" s="67">
        <v>111.01</v>
      </c>
      <c r="K3192" s="243"/>
      <c r="L3192" s="258"/>
      <c r="M3192" s="223">
        <v>275000</v>
      </c>
      <c r="N3192" s="223"/>
      <c r="O3192" s="61"/>
      <c r="P3192" s="69" t="str">
        <f t="shared" si="198"/>
        <v>BNI IDR 768</v>
      </c>
      <c r="Q3192" s="61"/>
    </row>
    <row r="3193" spans="1:17" hidden="1" x14ac:dyDescent="0.25">
      <c r="A3193" s="60" t="str">
        <f t="shared" si="196"/>
        <v>413111,01</v>
      </c>
      <c r="B3193" s="60">
        <f>COUNTIF($J$7:J3193,J3193)</f>
        <v>413</v>
      </c>
      <c r="C3193" s="60" t="str">
        <f t="shared" si="197"/>
        <v>0</v>
      </c>
      <c r="D3193" s="60">
        <f>COUNTIF($K$7:K3193,K3193)</f>
        <v>0</v>
      </c>
      <c r="E3193" s="61"/>
      <c r="F3193" s="239">
        <v>44644.719583333332</v>
      </c>
      <c r="G3193" s="232"/>
      <c r="H3193" s="73" t="s">
        <v>1615</v>
      </c>
      <c r="I3193" s="243" t="s">
        <v>1745</v>
      </c>
      <c r="J3193" s="67">
        <v>111.01</v>
      </c>
      <c r="K3193" s="243"/>
      <c r="L3193" s="258"/>
      <c r="M3193" s="223">
        <v>115662</v>
      </c>
      <c r="N3193" s="223"/>
      <c r="O3193" s="61"/>
      <c r="P3193" s="69" t="str">
        <f t="shared" si="198"/>
        <v>BNI IDR 768</v>
      </c>
      <c r="Q3193" s="61"/>
    </row>
    <row r="3194" spans="1:17" hidden="1" x14ac:dyDescent="0.25">
      <c r="A3194" s="60" t="str">
        <f t="shared" si="196"/>
        <v>414111,01</v>
      </c>
      <c r="B3194" s="60">
        <f>COUNTIF($J$7:J3194,J3194)</f>
        <v>414</v>
      </c>
      <c r="C3194" s="60" t="str">
        <f t="shared" si="197"/>
        <v>0</v>
      </c>
      <c r="D3194" s="60">
        <f>COUNTIF($K$7:K3194,K3194)</f>
        <v>0</v>
      </c>
      <c r="E3194" s="61"/>
      <c r="F3194" s="239">
        <v>44644.719583333332</v>
      </c>
      <c r="G3194" s="232"/>
      <c r="H3194" s="73" t="s">
        <v>1615</v>
      </c>
      <c r="I3194" s="243" t="s">
        <v>1748</v>
      </c>
      <c r="J3194" s="67">
        <v>111.01</v>
      </c>
      <c r="K3194" s="243"/>
      <c r="L3194" s="258"/>
      <c r="M3194" s="223">
        <v>250000</v>
      </c>
      <c r="N3194" s="223"/>
      <c r="O3194" s="61"/>
      <c r="P3194" s="69" t="str">
        <f t="shared" si="198"/>
        <v>BNI IDR 768</v>
      </c>
      <c r="Q3194" s="61"/>
    </row>
    <row r="3195" spans="1:17" hidden="1" x14ac:dyDescent="0.25">
      <c r="A3195" s="60" t="str">
        <f t="shared" si="196"/>
        <v>415111,01</v>
      </c>
      <c r="B3195" s="60">
        <f>COUNTIF($J$7:J3195,J3195)</f>
        <v>415</v>
      </c>
      <c r="C3195" s="60" t="str">
        <f t="shared" si="197"/>
        <v>0</v>
      </c>
      <c r="D3195" s="60">
        <f>COUNTIF($K$7:K3195,K3195)</f>
        <v>0</v>
      </c>
      <c r="E3195" s="61"/>
      <c r="F3195" s="239">
        <v>44644.720833333333</v>
      </c>
      <c r="G3195" s="232"/>
      <c r="H3195" s="73" t="s">
        <v>1615</v>
      </c>
      <c r="I3195" s="243" t="s">
        <v>1199</v>
      </c>
      <c r="J3195" s="67">
        <v>111.01</v>
      </c>
      <c r="K3195" s="243"/>
      <c r="L3195" s="258"/>
      <c r="M3195" s="223">
        <v>70407937</v>
      </c>
      <c r="N3195" s="223"/>
      <c r="O3195" s="61"/>
      <c r="P3195" s="69" t="str">
        <f t="shared" si="198"/>
        <v>BNI IDR 768</v>
      </c>
      <c r="Q3195" s="61"/>
    </row>
    <row r="3196" spans="1:17" hidden="1" x14ac:dyDescent="0.25">
      <c r="A3196" s="60" t="str">
        <f t="shared" si="196"/>
        <v>416111,01</v>
      </c>
      <c r="B3196" s="60">
        <f>COUNTIF($J$7:J3196,J3196)</f>
        <v>416</v>
      </c>
      <c r="C3196" s="60" t="str">
        <f t="shared" si="197"/>
        <v>0</v>
      </c>
      <c r="D3196" s="60">
        <f>COUNTIF($K$7:K3196,K3196)</f>
        <v>0</v>
      </c>
      <c r="E3196" s="61"/>
      <c r="F3196" s="239">
        <v>44644.755254629628</v>
      </c>
      <c r="G3196" s="232"/>
      <c r="H3196" s="73" t="s">
        <v>1615</v>
      </c>
      <c r="I3196" s="243" t="s">
        <v>1749</v>
      </c>
      <c r="J3196" s="67">
        <v>111.01</v>
      </c>
      <c r="K3196" s="243"/>
      <c r="L3196" s="258">
        <v>90000</v>
      </c>
      <c r="M3196" s="223"/>
      <c r="N3196" s="223"/>
      <c r="O3196" s="61"/>
      <c r="P3196" s="69" t="str">
        <f t="shared" si="198"/>
        <v>BNI IDR 768</v>
      </c>
      <c r="Q3196" s="61"/>
    </row>
    <row r="3197" spans="1:17" hidden="1" x14ac:dyDescent="0.25">
      <c r="A3197" s="60" t="str">
        <f t="shared" si="196"/>
        <v>417111,01</v>
      </c>
      <c r="B3197" s="60">
        <f>COUNTIF($J$7:J3197,J3197)</f>
        <v>417</v>
      </c>
      <c r="C3197" s="60" t="str">
        <f t="shared" si="197"/>
        <v>0</v>
      </c>
      <c r="D3197" s="60">
        <f>COUNTIF($K$7:K3197,K3197)</f>
        <v>0</v>
      </c>
      <c r="E3197" s="61"/>
      <c r="F3197" s="239">
        <v>44644.757604166669</v>
      </c>
      <c r="G3197" s="232"/>
      <c r="H3197" s="73" t="s">
        <v>1615</v>
      </c>
      <c r="I3197" s="243" t="s">
        <v>1750</v>
      </c>
      <c r="J3197" s="67">
        <v>111.01</v>
      </c>
      <c r="K3197" s="243"/>
      <c r="L3197" s="258">
        <v>6821100</v>
      </c>
      <c r="M3197" s="223"/>
      <c r="N3197" s="223"/>
      <c r="O3197" s="61"/>
      <c r="P3197" s="69" t="str">
        <f t="shared" si="198"/>
        <v>BNI IDR 768</v>
      </c>
      <c r="Q3197" s="61"/>
    </row>
    <row r="3198" spans="1:17" hidden="1" x14ac:dyDescent="0.25">
      <c r="A3198" s="60" t="str">
        <f t="shared" si="196"/>
        <v>34610,1</v>
      </c>
      <c r="B3198" s="60">
        <f>COUNTIF($J$7:J3198,J3198)</f>
        <v>34</v>
      </c>
      <c r="C3198" s="60" t="str">
        <f t="shared" si="197"/>
        <v>0</v>
      </c>
      <c r="D3198" s="60">
        <f>COUNTIF($K$7:K3198,K3198)</f>
        <v>0</v>
      </c>
      <c r="E3198" s="61"/>
      <c r="F3198" s="239">
        <v>44644.755254629628</v>
      </c>
      <c r="G3198" s="232"/>
      <c r="H3198" s="73" t="s">
        <v>1615</v>
      </c>
      <c r="I3198" s="243" t="s">
        <v>1749</v>
      </c>
      <c r="J3198" s="61">
        <v>610.1</v>
      </c>
      <c r="K3198" s="243"/>
      <c r="L3198" s="258"/>
      <c r="M3198" s="258">
        <v>90000</v>
      </c>
      <c r="N3198" s="258"/>
      <c r="O3198" s="61"/>
      <c r="P3198" s="69" t="str">
        <f t="shared" si="198"/>
        <v>Biaya Rumah Tangga Kantor</v>
      </c>
      <c r="Q3198" s="61"/>
    </row>
    <row r="3199" spans="1:17" hidden="1" x14ac:dyDescent="0.25">
      <c r="A3199" s="60" t="str">
        <f t="shared" si="196"/>
        <v>5512,05</v>
      </c>
      <c r="B3199" s="60">
        <f>COUNTIF($J$7:J3199,J3199)</f>
        <v>5</v>
      </c>
      <c r="C3199" s="60" t="str">
        <f t="shared" si="197"/>
        <v>0</v>
      </c>
      <c r="D3199" s="60">
        <f>COUNTIF($K$7:K3199,K3199)</f>
        <v>0</v>
      </c>
      <c r="E3199" s="61"/>
      <c r="F3199" s="239">
        <v>44644.757604166669</v>
      </c>
      <c r="G3199" s="232"/>
      <c r="H3199" s="73" t="s">
        <v>1615</v>
      </c>
      <c r="I3199" s="243" t="s">
        <v>1750</v>
      </c>
      <c r="J3199" s="241">
        <v>512.04999999999995</v>
      </c>
      <c r="K3199" s="243"/>
      <c r="L3199" s="258"/>
      <c r="M3199" s="258">
        <v>6821100</v>
      </c>
      <c r="N3199" s="258"/>
      <c r="O3199" s="61"/>
      <c r="P3199" s="69" t="str">
        <f t="shared" si="198"/>
        <v>Beban Operasional Marketing Lainnya</v>
      </c>
      <c r="Q3199" s="61"/>
    </row>
    <row r="3200" spans="1:17" hidden="1" x14ac:dyDescent="0.25">
      <c r="A3200" s="60" t="str">
        <f t="shared" si="196"/>
        <v>12610,01</v>
      </c>
      <c r="B3200" s="60">
        <f>COUNTIF($J$7:J3200,J3200)</f>
        <v>12</v>
      </c>
      <c r="C3200" s="60" t="str">
        <f t="shared" si="197"/>
        <v>0</v>
      </c>
      <c r="D3200" s="60">
        <f>COUNTIF($K$7:K3200,K3200)</f>
        <v>0</v>
      </c>
      <c r="E3200" s="61"/>
      <c r="F3200" s="239">
        <v>44645.253472222219</v>
      </c>
      <c r="G3200" s="232"/>
      <c r="H3200" s="73" t="s">
        <v>1615</v>
      </c>
      <c r="I3200" s="243" t="s">
        <v>1751</v>
      </c>
      <c r="J3200" s="61">
        <v>610.01</v>
      </c>
      <c r="K3200" s="243"/>
      <c r="L3200" s="223">
        <v>10007800</v>
      </c>
      <c r="M3200" s="258"/>
      <c r="N3200" s="258"/>
      <c r="O3200" s="61"/>
      <c r="P3200" s="69" t="str">
        <f t="shared" si="198"/>
        <v>Biaya Gaji, Upah &amp; Honorer</v>
      </c>
      <c r="Q3200" s="61"/>
    </row>
    <row r="3201" spans="1:17" hidden="1" x14ac:dyDescent="0.25">
      <c r="A3201" s="60" t="str">
        <f t="shared" si="196"/>
        <v>71119</v>
      </c>
      <c r="B3201" s="60">
        <f>COUNTIF($J$7:J3201,J3201)</f>
        <v>71</v>
      </c>
      <c r="C3201" s="60" t="str">
        <f t="shared" si="197"/>
        <v>3119,08</v>
      </c>
      <c r="D3201" s="60">
        <f>COUNTIF($K$7:K3201,K3201)</f>
        <v>3</v>
      </c>
      <c r="E3201" s="61"/>
      <c r="F3201" s="239">
        <v>44645.602083333331</v>
      </c>
      <c r="G3201" s="232"/>
      <c r="H3201" s="73" t="s">
        <v>1615</v>
      </c>
      <c r="I3201" s="243" t="s">
        <v>1752</v>
      </c>
      <c r="J3201" s="67">
        <v>119</v>
      </c>
      <c r="K3201" s="243">
        <v>119.08</v>
      </c>
      <c r="L3201" s="223">
        <v>7000000</v>
      </c>
      <c r="M3201" s="258"/>
      <c r="N3201" s="258"/>
      <c r="O3201" s="61"/>
      <c r="P3201" s="69" t="str">
        <f t="shared" si="198"/>
        <v>Uang Muka Biaya Pengiriman dan Perjalanan Dinas Marketing</v>
      </c>
      <c r="Q3201" s="61"/>
    </row>
    <row r="3202" spans="1:17" hidden="1" x14ac:dyDescent="0.25">
      <c r="A3202" s="60" t="str">
        <f t="shared" si="196"/>
        <v>491211,01</v>
      </c>
      <c r="B3202" s="60">
        <f>COUNTIF($J$7:J3202,J3202)</f>
        <v>491</v>
      </c>
      <c r="C3202" s="60" t="str">
        <f t="shared" si="197"/>
        <v>0</v>
      </c>
      <c r="D3202" s="60">
        <f>COUNTIF($K$7:K3202,K3202)</f>
        <v>0</v>
      </c>
      <c r="E3202" s="61"/>
      <c r="F3202" s="239">
        <v>44645.602083333331</v>
      </c>
      <c r="G3202" s="232"/>
      <c r="H3202" s="73" t="s">
        <v>1615</v>
      </c>
      <c r="I3202" s="243" t="s">
        <v>1602</v>
      </c>
      <c r="J3202" s="67">
        <v>211.01</v>
      </c>
      <c r="K3202" s="243"/>
      <c r="L3202" s="223">
        <v>55945000</v>
      </c>
      <c r="M3202" s="258"/>
      <c r="N3202" s="258"/>
      <c r="O3202" s="61"/>
      <c r="P3202" s="69" t="str">
        <f t="shared" si="198"/>
        <v>Hutang Pajak PPN</v>
      </c>
      <c r="Q3202" s="61"/>
    </row>
    <row r="3203" spans="1:17" hidden="1" x14ac:dyDescent="0.25">
      <c r="A3203" s="60" t="str">
        <f t="shared" si="196"/>
        <v>14211,03</v>
      </c>
      <c r="B3203" s="60">
        <f>COUNTIF($J$7:J3203,J3203)</f>
        <v>14</v>
      </c>
      <c r="C3203" s="60" t="str">
        <f t="shared" si="197"/>
        <v>0</v>
      </c>
      <c r="D3203" s="60">
        <f>COUNTIF($K$7:K3203,K3203)</f>
        <v>0</v>
      </c>
      <c r="E3203" s="61"/>
      <c r="F3203" s="239">
        <v>44645.602083333331</v>
      </c>
      <c r="G3203" s="232"/>
      <c r="H3203" s="73" t="s">
        <v>1615</v>
      </c>
      <c r="I3203" s="243" t="s">
        <v>1603</v>
      </c>
      <c r="J3203" s="67">
        <v>211.03</v>
      </c>
      <c r="K3203" s="243"/>
      <c r="L3203" s="223">
        <v>41959000</v>
      </c>
      <c r="M3203" s="258"/>
      <c r="N3203" s="258"/>
      <c r="O3203" s="61"/>
      <c r="P3203" s="69" t="str">
        <f t="shared" si="198"/>
        <v>Hutang PPh 22</v>
      </c>
      <c r="Q3203" s="61"/>
    </row>
    <row r="3204" spans="1:17" hidden="1" x14ac:dyDescent="0.25">
      <c r="A3204" s="60" t="str">
        <f t="shared" si="196"/>
        <v>418111,01</v>
      </c>
      <c r="B3204" s="60">
        <f>COUNTIF($J$7:J3204,J3204)</f>
        <v>418</v>
      </c>
      <c r="C3204" s="60" t="str">
        <f t="shared" si="197"/>
        <v>0</v>
      </c>
      <c r="D3204" s="60">
        <f>COUNTIF($K$7:K3204,K3204)</f>
        <v>0</v>
      </c>
      <c r="E3204" s="61"/>
      <c r="F3204" s="239">
        <v>44645.602083333331</v>
      </c>
      <c r="G3204" s="232"/>
      <c r="H3204" s="73" t="s">
        <v>1615</v>
      </c>
      <c r="I3204" s="243" t="s">
        <v>1753</v>
      </c>
      <c r="J3204" s="67">
        <v>111.01</v>
      </c>
      <c r="K3204" s="243"/>
      <c r="L3204" s="258"/>
      <c r="M3204" s="223">
        <v>10007800</v>
      </c>
      <c r="N3204" s="223"/>
      <c r="O3204" s="61"/>
      <c r="P3204" s="69" t="str">
        <f t="shared" si="198"/>
        <v>BNI IDR 768</v>
      </c>
      <c r="Q3204" s="61"/>
    </row>
    <row r="3205" spans="1:17" hidden="1" x14ac:dyDescent="0.25">
      <c r="A3205" s="60" t="str">
        <f t="shared" si="196"/>
        <v>419111,01</v>
      </c>
      <c r="B3205" s="60">
        <f>COUNTIF($J$7:J3205,J3205)</f>
        <v>419</v>
      </c>
      <c r="C3205" s="60" t="str">
        <f t="shared" si="197"/>
        <v>0</v>
      </c>
      <c r="D3205" s="60">
        <f>COUNTIF($K$7:K3205,K3205)</f>
        <v>0</v>
      </c>
      <c r="E3205" s="61"/>
      <c r="F3205" s="239">
        <v>44645.602083333331</v>
      </c>
      <c r="G3205" s="232"/>
      <c r="H3205" s="73" t="s">
        <v>1615</v>
      </c>
      <c r="I3205" s="243" t="s">
        <v>1752</v>
      </c>
      <c r="J3205" s="67">
        <v>111.01</v>
      </c>
      <c r="K3205" s="243"/>
      <c r="L3205" s="258"/>
      <c r="M3205" s="223">
        <v>7000000</v>
      </c>
      <c r="N3205" s="223"/>
      <c r="O3205" s="61"/>
      <c r="P3205" s="69" t="str">
        <f t="shared" si="198"/>
        <v>BNI IDR 768</v>
      </c>
      <c r="Q3205" s="61"/>
    </row>
    <row r="3206" spans="1:17" hidden="1" x14ac:dyDescent="0.25">
      <c r="A3206" s="60" t="str">
        <f t="shared" si="196"/>
        <v>420111,01</v>
      </c>
      <c r="B3206" s="60">
        <f>COUNTIF($J$7:J3206,J3206)</f>
        <v>420</v>
      </c>
      <c r="C3206" s="60" t="str">
        <f t="shared" si="197"/>
        <v>0</v>
      </c>
      <c r="D3206" s="60">
        <f>COUNTIF($K$7:K3206,K3206)</f>
        <v>0</v>
      </c>
      <c r="E3206" s="61"/>
      <c r="F3206" s="239">
        <v>44645.602083333331</v>
      </c>
      <c r="G3206" s="232"/>
      <c r="H3206" s="73" t="s">
        <v>1615</v>
      </c>
      <c r="I3206" s="243" t="s">
        <v>1602</v>
      </c>
      <c r="J3206" s="67">
        <v>111.01</v>
      </c>
      <c r="K3206" s="243"/>
      <c r="L3206" s="258"/>
      <c r="M3206" s="223">
        <v>55945000</v>
      </c>
      <c r="N3206" s="223"/>
      <c r="O3206" s="61"/>
      <c r="P3206" s="69" t="str">
        <f t="shared" si="198"/>
        <v>BNI IDR 768</v>
      </c>
      <c r="Q3206" s="61"/>
    </row>
    <row r="3207" spans="1:17" hidden="1" x14ac:dyDescent="0.25">
      <c r="A3207" s="60" t="str">
        <f t="shared" ref="A3207:A3270" si="199">B3207&amp;J3207</f>
        <v>421111,01</v>
      </c>
      <c r="B3207" s="60">
        <f>COUNTIF($J$7:J3207,J3207)</f>
        <v>421</v>
      </c>
      <c r="C3207" s="60" t="str">
        <f t="shared" ref="C3207:C3270" si="200">D3207&amp;K3207</f>
        <v>0</v>
      </c>
      <c r="D3207" s="60">
        <f>COUNTIF($K$7:K3207,K3207)</f>
        <v>0</v>
      </c>
      <c r="E3207" s="61"/>
      <c r="F3207" s="239">
        <v>44645.602083333331</v>
      </c>
      <c r="G3207" s="232"/>
      <c r="H3207" s="73" t="s">
        <v>1615</v>
      </c>
      <c r="I3207" s="243" t="s">
        <v>1603</v>
      </c>
      <c r="J3207" s="67">
        <v>111.01</v>
      </c>
      <c r="K3207" s="243"/>
      <c r="L3207" s="258"/>
      <c r="M3207" s="223">
        <v>41959000</v>
      </c>
      <c r="N3207" s="223"/>
      <c r="O3207" s="61"/>
      <c r="P3207" s="69" t="str">
        <f t="shared" ref="P3207:P3270" si="201">IF(J3207=0,"-",+VLOOKUP(J3207,DAF_AKUN,2,FALSE))</f>
        <v>BNI IDR 768</v>
      </c>
      <c r="Q3207" s="61"/>
    </row>
    <row r="3208" spans="1:17" hidden="1" x14ac:dyDescent="0.25">
      <c r="A3208" s="60" t="str">
        <f t="shared" si="199"/>
        <v>422111,01</v>
      </c>
      <c r="B3208" s="60">
        <f>COUNTIF($J$7:J3208,J3208)</f>
        <v>422</v>
      </c>
      <c r="C3208" s="60" t="str">
        <f t="shared" si="200"/>
        <v>0</v>
      </c>
      <c r="D3208" s="60">
        <f>COUNTIF($K$7:K3208,K3208)</f>
        <v>0</v>
      </c>
      <c r="E3208" s="61"/>
      <c r="F3208" s="239">
        <v>44645.602083333331</v>
      </c>
      <c r="G3208" s="232"/>
      <c r="H3208" s="73" t="s">
        <v>1615</v>
      </c>
      <c r="I3208" s="243" t="s">
        <v>1754</v>
      </c>
      <c r="J3208" s="67">
        <v>111.01</v>
      </c>
      <c r="K3208" s="243"/>
      <c r="L3208" s="258">
        <v>77000</v>
      </c>
      <c r="M3208" s="223"/>
      <c r="N3208" s="223"/>
      <c r="O3208" s="61"/>
      <c r="P3208" s="69" t="str">
        <f t="shared" si="201"/>
        <v>BNI IDR 768</v>
      </c>
      <c r="Q3208" s="61"/>
    </row>
    <row r="3209" spans="1:17" hidden="1" x14ac:dyDescent="0.25">
      <c r="A3209" s="60" t="str">
        <f t="shared" si="199"/>
        <v>72119</v>
      </c>
      <c r="B3209" s="60">
        <f>COUNTIF($J$7:J3209,J3209)</f>
        <v>72</v>
      </c>
      <c r="C3209" s="60" t="str">
        <f t="shared" si="200"/>
        <v>29119,02</v>
      </c>
      <c r="D3209" s="60">
        <f>COUNTIF($K$7:K3209,K3209)</f>
        <v>29</v>
      </c>
      <c r="E3209" s="61"/>
      <c r="F3209" s="239">
        <v>44648.402986111112</v>
      </c>
      <c r="G3209" s="232"/>
      <c r="H3209" s="73" t="s">
        <v>1615</v>
      </c>
      <c r="I3209" s="243" t="s">
        <v>1754</v>
      </c>
      <c r="J3209" s="67">
        <v>119</v>
      </c>
      <c r="K3209" s="243">
        <v>119.02</v>
      </c>
      <c r="L3209" s="258"/>
      <c r="M3209" s="258">
        <v>77000</v>
      </c>
      <c r="N3209" s="258"/>
      <c r="O3209" s="61"/>
      <c r="P3209" s="69" t="str">
        <f t="shared" si="201"/>
        <v>Uang Muka Biaya Pengiriman dan Perjalanan Dinas Marketing</v>
      </c>
      <c r="Q3209" s="61"/>
    </row>
    <row r="3210" spans="1:17" hidden="1" x14ac:dyDescent="0.25">
      <c r="A3210" s="60" t="str">
        <f t="shared" si="199"/>
        <v>3118,03</v>
      </c>
      <c r="B3210" s="60">
        <f>COUNTIF($J$7:J3210,J3210)</f>
        <v>3</v>
      </c>
      <c r="C3210" s="60" t="str">
        <f t="shared" si="200"/>
        <v>0</v>
      </c>
      <c r="D3210" s="60">
        <f>COUNTIF($K$7:K3210,K3210)</f>
        <v>0</v>
      </c>
      <c r="E3210" s="61"/>
      <c r="F3210" s="239">
        <v>44648.460636574076</v>
      </c>
      <c r="G3210" s="232"/>
      <c r="H3210" s="73" t="s">
        <v>1615</v>
      </c>
      <c r="I3210" s="243" t="s">
        <v>1755</v>
      </c>
      <c r="J3210" s="67">
        <v>118.03</v>
      </c>
      <c r="K3210" s="243"/>
      <c r="L3210" s="223">
        <v>140000000</v>
      </c>
      <c r="M3210" s="258"/>
      <c r="N3210" s="258"/>
      <c r="O3210" s="61"/>
      <c r="P3210" s="69" t="str">
        <f t="shared" si="201"/>
        <v>Biaya Dibayar Dimuka Lainnya</v>
      </c>
      <c r="Q3210" s="61"/>
    </row>
    <row r="3211" spans="1:17" hidden="1" x14ac:dyDescent="0.25">
      <c r="A3211" s="60" t="str">
        <f t="shared" si="199"/>
        <v>90810,01</v>
      </c>
      <c r="B3211" s="60">
        <f>COUNTIF($J$7:J3211,J3211)</f>
        <v>90</v>
      </c>
      <c r="C3211" s="60" t="str">
        <f t="shared" si="200"/>
        <v>0</v>
      </c>
      <c r="D3211" s="60">
        <f>COUNTIF($K$7:K3211,K3211)</f>
        <v>0</v>
      </c>
      <c r="E3211" s="61"/>
      <c r="F3211" s="239">
        <v>44648.460636574076</v>
      </c>
      <c r="G3211" s="232"/>
      <c r="H3211" s="73" t="s">
        <v>1615</v>
      </c>
      <c r="I3211" s="243" t="s">
        <v>1755</v>
      </c>
      <c r="J3211" s="67">
        <v>810.01</v>
      </c>
      <c r="K3211" s="243"/>
      <c r="L3211" s="223">
        <v>30000</v>
      </c>
      <c r="M3211" s="258"/>
      <c r="N3211" s="258"/>
      <c r="O3211" s="61"/>
      <c r="P3211" s="69" t="str">
        <f t="shared" si="201"/>
        <v>Biaya Admin Transfer dan Rek</v>
      </c>
      <c r="Q3211" s="61"/>
    </row>
    <row r="3212" spans="1:17" hidden="1" x14ac:dyDescent="0.25">
      <c r="A3212" s="60" t="str">
        <f t="shared" si="199"/>
        <v>73119</v>
      </c>
      <c r="B3212" s="60">
        <f>COUNTIF($J$7:J3212,J3212)</f>
        <v>73</v>
      </c>
      <c r="C3212" s="60" t="str">
        <f t="shared" si="200"/>
        <v>30119,02</v>
      </c>
      <c r="D3212" s="60">
        <f>COUNTIF($K$7:K3212,K3212)</f>
        <v>30</v>
      </c>
      <c r="E3212" s="61"/>
      <c r="F3212" s="239">
        <v>44649.497361111113</v>
      </c>
      <c r="G3212" s="232"/>
      <c r="H3212" s="73" t="s">
        <v>1615</v>
      </c>
      <c r="I3212" s="243" t="s">
        <v>1756</v>
      </c>
      <c r="J3212" s="67">
        <v>119</v>
      </c>
      <c r="K3212" s="243">
        <v>119.02</v>
      </c>
      <c r="L3212" s="223">
        <v>2000000</v>
      </c>
      <c r="M3212" s="258"/>
      <c r="N3212" s="258"/>
      <c r="O3212" s="61"/>
      <c r="P3212" s="69" t="str">
        <f t="shared" si="201"/>
        <v>Uang Muka Biaya Pengiriman dan Perjalanan Dinas Marketing</v>
      </c>
      <c r="Q3212" s="61"/>
    </row>
    <row r="3213" spans="1:17" hidden="1" x14ac:dyDescent="0.25">
      <c r="A3213" s="60" t="str">
        <f t="shared" si="199"/>
        <v>423111,01</v>
      </c>
      <c r="B3213" s="60">
        <f>COUNTIF($J$7:J3213,J3213)</f>
        <v>423</v>
      </c>
      <c r="C3213" s="60" t="str">
        <f t="shared" si="200"/>
        <v>0</v>
      </c>
      <c r="D3213" s="60">
        <f>COUNTIF($K$7:K3213,K3213)</f>
        <v>0</v>
      </c>
      <c r="E3213" s="61"/>
      <c r="F3213" s="239">
        <v>44648.460636574076</v>
      </c>
      <c r="G3213" s="232"/>
      <c r="H3213" s="73" t="s">
        <v>1615</v>
      </c>
      <c r="I3213" s="243" t="s">
        <v>1755</v>
      </c>
      <c r="J3213" s="67">
        <v>111.01</v>
      </c>
      <c r="K3213" s="243"/>
      <c r="L3213" s="258"/>
      <c r="M3213" s="223">
        <v>140000000</v>
      </c>
      <c r="N3213" s="223"/>
      <c r="O3213" s="61"/>
      <c r="P3213" s="69" t="str">
        <f t="shared" si="201"/>
        <v>BNI IDR 768</v>
      </c>
      <c r="Q3213" s="61"/>
    </row>
    <row r="3214" spans="1:17" hidden="1" x14ac:dyDescent="0.25">
      <c r="A3214" s="60" t="str">
        <f t="shared" si="199"/>
        <v>424111,01</v>
      </c>
      <c r="B3214" s="60">
        <f>COUNTIF($J$7:J3214,J3214)</f>
        <v>424</v>
      </c>
      <c r="C3214" s="60" t="str">
        <f t="shared" si="200"/>
        <v>0</v>
      </c>
      <c r="D3214" s="60">
        <f>COUNTIF($K$7:K3214,K3214)</f>
        <v>0</v>
      </c>
      <c r="E3214" s="61"/>
      <c r="F3214" s="239">
        <v>44648.460636574076</v>
      </c>
      <c r="G3214" s="232"/>
      <c r="H3214" s="73" t="s">
        <v>1615</v>
      </c>
      <c r="I3214" s="243" t="s">
        <v>1755</v>
      </c>
      <c r="J3214" s="67">
        <v>111.01</v>
      </c>
      <c r="K3214" s="243"/>
      <c r="L3214" s="258"/>
      <c r="M3214" s="223">
        <v>30000</v>
      </c>
      <c r="N3214" s="223"/>
      <c r="O3214" s="61"/>
      <c r="P3214" s="69" t="str">
        <f t="shared" si="201"/>
        <v>BNI IDR 768</v>
      </c>
      <c r="Q3214" s="61"/>
    </row>
    <row r="3215" spans="1:17" hidden="1" x14ac:dyDescent="0.25">
      <c r="A3215" s="60" t="str">
        <f t="shared" si="199"/>
        <v>425111,01</v>
      </c>
      <c r="B3215" s="60">
        <f>COUNTIF($J$7:J3215,J3215)</f>
        <v>425</v>
      </c>
      <c r="C3215" s="60" t="str">
        <f t="shared" si="200"/>
        <v>0</v>
      </c>
      <c r="D3215" s="60">
        <f>COUNTIF($K$7:K3215,K3215)</f>
        <v>0</v>
      </c>
      <c r="E3215" s="61"/>
      <c r="F3215" s="239">
        <v>44649.497361111113</v>
      </c>
      <c r="G3215" s="232"/>
      <c r="H3215" s="73" t="s">
        <v>1615</v>
      </c>
      <c r="I3215" s="243" t="s">
        <v>1756</v>
      </c>
      <c r="J3215" s="67">
        <v>111.01</v>
      </c>
      <c r="K3215" s="243"/>
      <c r="L3215" s="258"/>
      <c r="M3215" s="223">
        <v>2000000</v>
      </c>
      <c r="N3215" s="223"/>
      <c r="O3215" s="61"/>
      <c r="P3215" s="69" t="str">
        <f t="shared" si="201"/>
        <v>BNI IDR 768</v>
      </c>
      <c r="Q3215" s="61"/>
    </row>
    <row r="3216" spans="1:17" hidden="1" x14ac:dyDescent="0.25">
      <c r="A3216" s="60" t="str">
        <f t="shared" si="199"/>
        <v>492211,01</v>
      </c>
      <c r="B3216" s="60">
        <f>COUNTIF($J$7:J3216,J3216)</f>
        <v>492</v>
      </c>
      <c r="C3216" s="60" t="str">
        <f t="shared" si="200"/>
        <v>0</v>
      </c>
      <c r="D3216" s="60">
        <f>COUNTIF($K$7:K3216,K3216)</f>
        <v>0</v>
      </c>
      <c r="E3216" s="61"/>
      <c r="F3216" s="239">
        <v>44649.497361111113</v>
      </c>
      <c r="G3216" s="232"/>
      <c r="H3216" s="73" t="s">
        <v>1615</v>
      </c>
      <c r="I3216" s="243" t="s">
        <v>1757</v>
      </c>
      <c r="J3216" s="67">
        <v>211.01</v>
      </c>
      <c r="K3216" s="243"/>
      <c r="L3216" s="258">
        <v>31243784</v>
      </c>
      <c r="M3216" s="223"/>
      <c r="N3216" s="223"/>
      <c r="O3216" s="61"/>
      <c r="P3216" s="69" t="str">
        <f t="shared" si="201"/>
        <v>Hutang Pajak PPN</v>
      </c>
      <c r="Q3216" s="61"/>
    </row>
    <row r="3217" spans="1:17" hidden="1" x14ac:dyDescent="0.25">
      <c r="A3217" s="60" t="str">
        <f t="shared" si="199"/>
        <v>426111,01</v>
      </c>
      <c r="B3217" s="60">
        <f>COUNTIF($J$7:J3217,J3217)</f>
        <v>426</v>
      </c>
      <c r="C3217" s="60" t="str">
        <f t="shared" si="200"/>
        <v>0</v>
      </c>
      <c r="D3217" s="60">
        <f>COUNTIF($K$7:K3217,K3217)</f>
        <v>0</v>
      </c>
      <c r="E3217" s="61"/>
      <c r="F3217" s="239">
        <v>44649.497361111113</v>
      </c>
      <c r="G3217" s="232"/>
      <c r="H3217" s="73" t="s">
        <v>1615</v>
      </c>
      <c r="I3217" s="243" t="s">
        <v>1757</v>
      </c>
      <c r="J3217" s="67">
        <v>111.01</v>
      </c>
      <c r="K3217" s="243"/>
      <c r="L3217" s="258"/>
      <c r="M3217" s="258">
        <v>31243784</v>
      </c>
      <c r="N3217" s="258"/>
      <c r="O3217" s="61"/>
      <c r="P3217" s="69" t="str">
        <f t="shared" si="201"/>
        <v>BNI IDR 768</v>
      </c>
      <c r="Q3217" s="61"/>
    </row>
    <row r="3218" spans="1:17" hidden="1" x14ac:dyDescent="0.25">
      <c r="A3218" s="60" t="str">
        <f t="shared" si="199"/>
        <v>4511,01</v>
      </c>
      <c r="B3218" s="60">
        <f>COUNTIF($J$7:J3218,J3218)</f>
        <v>4</v>
      </c>
      <c r="C3218" s="60" t="str">
        <f t="shared" si="200"/>
        <v>0</v>
      </c>
      <c r="D3218" s="60">
        <f>COUNTIF($K$7:K3218,K3218)</f>
        <v>0</v>
      </c>
      <c r="E3218" s="61"/>
      <c r="F3218" s="239">
        <v>44649.497361111113</v>
      </c>
      <c r="G3218" s="232"/>
      <c r="H3218" s="73" t="s">
        <v>1615</v>
      </c>
      <c r="I3218" s="243" t="s">
        <v>1758</v>
      </c>
      <c r="J3218" s="61">
        <v>511.01</v>
      </c>
      <c r="K3218" s="243"/>
      <c r="L3218" s="258">
        <v>322000</v>
      </c>
      <c r="M3218" s="258"/>
      <c r="N3218" s="258"/>
      <c r="O3218" s="61"/>
      <c r="P3218" s="69" t="str">
        <f t="shared" si="201"/>
        <v>Biaya Packing</v>
      </c>
      <c r="Q3218" s="61"/>
    </row>
    <row r="3219" spans="1:17" hidden="1" x14ac:dyDescent="0.25">
      <c r="A3219" s="60" t="str">
        <f t="shared" si="199"/>
        <v>427111,01</v>
      </c>
      <c r="B3219" s="60">
        <f>COUNTIF($J$7:J3219,J3219)</f>
        <v>427</v>
      </c>
      <c r="C3219" s="60" t="str">
        <f t="shared" si="200"/>
        <v>0</v>
      </c>
      <c r="D3219" s="60">
        <f>COUNTIF($K$7:K3219,K3219)</f>
        <v>0</v>
      </c>
      <c r="E3219" s="61"/>
      <c r="F3219" s="239">
        <v>44649.497361111113</v>
      </c>
      <c r="G3219" s="232"/>
      <c r="H3219" s="73" t="s">
        <v>1615</v>
      </c>
      <c r="I3219" s="243" t="s">
        <v>1758</v>
      </c>
      <c r="J3219" s="67">
        <v>111.01</v>
      </c>
      <c r="K3219" s="243"/>
      <c r="L3219" s="258"/>
      <c r="M3219" s="258">
        <v>322000</v>
      </c>
      <c r="N3219" s="258"/>
      <c r="O3219" s="61"/>
      <c r="P3219" s="69" t="str">
        <f t="shared" si="201"/>
        <v>BNI IDR 768</v>
      </c>
      <c r="Q3219" s="61"/>
    </row>
    <row r="3220" spans="1:17" hidden="1" x14ac:dyDescent="0.25">
      <c r="A3220" s="60" t="str">
        <f t="shared" si="199"/>
        <v>91810,01</v>
      </c>
      <c r="B3220" s="60">
        <f>COUNTIF($J$7:J3220,J3220)</f>
        <v>91</v>
      </c>
      <c r="C3220" s="60" t="str">
        <f t="shared" si="200"/>
        <v>0</v>
      </c>
      <c r="D3220" s="60">
        <f>COUNTIF($K$7:K3220,K3220)</f>
        <v>0</v>
      </c>
      <c r="E3220" s="61"/>
      <c r="F3220" s="239">
        <v>44649.497361111113</v>
      </c>
      <c r="G3220" s="232"/>
      <c r="H3220" s="73" t="s">
        <v>1615</v>
      </c>
      <c r="I3220" s="243" t="s">
        <v>1206</v>
      </c>
      <c r="J3220" s="67">
        <v>810.01</v>
      </c>
      <c r="K3220" s="243"/>
      <c r="L3220" s="258">
        <v>6500</v>
      </c>
      <c r="M3220" s="258"/>
      <c r="N3220" s="258"/>
      <c r="O3220" s="61"/>
      <c r="P3220" s="69" t="str">
        <f t="shared" si="201"/>
        <v>Biaya Admin Transfer dan Rek</v>
      </c>
      <c r="Q3220" s="61"/>
    </row>
    <row r="3221" spans="1:17" hidden="1" x14ac:dyDescent="0.25">
      <c r="A3221" s="60" t="str">
        <f t="shared" si="199"/>
        <v>428111,01</v>
      </c>
      <c r="B3221" s="60">
        <f>COUNTIF($J$7:J3221,J3221)</f>
        <v>428</v>
      </c>
      <c r="C3221" s="60" t="str">
        <f t="shared" si="200"/>
        <v>0</v>
      </c>
      <c r="D3221" s="60">
        <f>COUNTIF($K$7:K3221,K3221)</f>
        <v>0</v>
      </c>
      <c r="E3221" s="61"/>
      <c r="F3221" s="239">
        <v>44649.497361111113</v>
      </c>
      <c r="G3221" s="232"/>
      <c r="H3221" s="73" t="s">
        <v>1615</v>
      </c>
      <c r="I3221" s="243" t="s">
        <v>1206</v>
      </c>
      <c r="J3221" s="67">
        <v>111.01</v>
      </c>
      <c r="K3221" s="243"/>
      <c r="L3221" s="258"/>
      <c r="M3221" s="258">
        <v>6500</v>
      </c>
      <c r="N3221" s="258"/>
      <c r="O3221" s="61"/>
      <c r="P3221" s="69" t="str">
        <f t="shared" si="201"/>
        <v>BNI IDR 768</v>
      </c>
      <c r="Q3221" s="61"/>
    </row>
    <row r="3222" spans="1:17" hidden="1" x14ac:dyDescent="0.25">
      <c r="A3222" s="60" t="str">
        <f t="shared" si="199"/>
        <v>429111,01</v>
      </c>
      <c r="B3222" s="60">
        <f>COUNTIF($J$7:J3222,J3222)</f>
        <v>429</v>
      </c>
      <c r="C3222" s="60" t="str">
        <f t="shared" si="200"/>
        <v>0</v>
      </c>
      <c r="D3222" s="60">
        <f>COUNTIF($K$7:K3222,K3222)</f>
        <v>0</v>
      </c>
      <c r="E3222" s="61"/>
      <c r="F3222" s="239">
        <v>44650</v>
      </c>
      <c r="G3222" s="232"/>
      <c r="H3222" s="73" t="s">
        <v>1615</v>
      </c>
      <c r="I3222" s="294" t="s">
        <v>1759</v>
      </c>
      <c r="J3222" s="67">
        <v>111.01</v>
      </c>
      <c r="K3222" s="243"/>
      <c r="L3222" s="295">
        <v>62832000</v>
      </c>
      <c r="M3222" s="247"/>
      <c r="N3222" s="247"/>
      <c r="O3222" s="61"/>
      <c r="P3222" s="69" t="str">
        <f t="shared" si="201"/>
        <v>BNI IDR 768</v>
      </c>
      <c r="Q3222" s="61"/>
    </row>
    <row r="3223" spans="1:17" hidden="1" x14ac:dyDescent="0.25">
      <c r="A3223" s="60" t="str">
        <f t="shared" si="199"/>
        <v>638112</v>
      </c>
      <c r="B3223" s="60">
        <f>COUNTIF($J$7:J3223,J3223)</f>
        <v>638</v>
      </c>
      <c r="C3223" s="60" t="str">
        <f t="shared" si="200"/>
        <v>38112,43</v>
      </c>
      <c r="D3223" s="60">
        <f>COUNTIF($K$7:K3223,K3223)</f>
        <v>38</v>
      </c>
      <c r="E3223" s="61"/>
      <c r="F3223" s="239">
        <v>44650</v>
      </c>
      <c r="G3223" s="164" t="s">
        <v>149</v>
      </c>
      <c r="H3223" s="73" t="s">
        <v>1615</v>
      </c>
      <c r="I3223" s="294" t="s">
        <v>1759</v>
      </c>
      <c r="J3223" s="265">
        <v>112</v>
      </c>
      <c r="K3223" s="243">
        <v>112.43</v>
      </c>
      <c r="L3223" s="295"/>
      <c r="M3223" s="295">
        <v>62832000</v>
      </c>
      <c r="N3223" s="295"/>
      <c r="O3223" s="61"/>
      <c r="P3223" s="69" t="str">
        <f t="shared" si="201"/>
        <v>Piutang Usaha</v>
      </c>
      <c r="Q3223" s="61"/>
    </row>
    <row r="3224" spans="1:17" hidden="1" x14ac:dyDescent="0.25">
      <c r="A3224" s="60" t="str">
        <f t="shared" si="199"/>
        <v>27512,03</v>
      </c>
      <c r="B3224" s="60">
        <f>COUNTIF($J$7:J3224,J3224)</f>
        <v>27</v>
      </c>
      <c r="C3224" s="60" t="str">
        <f t="shared" si="200"/>
        <v>0</v>
      </c>
      <c r="D3224" s="60">
        <f>COUNTIF($K$7:K3224,K3224)</f>
        <v>0</v>
      </c>
      <c r="E3224" s="61"/>
      <c r="F3224" s="239">
        <v>44651</v>
      </c>
      <c r="G3224" s="232"/>
      <c r="H3224" s="73" t="s">
        <v>1615</v>
      </c>
      <c r="I3224" s="243" t="s">
        <v>1760</v>
      </c>
      <c r="J3224" s="241">
        <v>512.03</v>
      </c>
      <c r="K3224" s="243"/>
      <c r="L3224" s="295">
        <v>200000</v>
      </c>
      <c r="M3224" s="295"/>
      <c r="N3224" s="295"/>
      <c r="O3224" s="61"/>
      <c r="P3224" s="69" t="str">
        <f t="shared" si="201"/>
        <v>Beban Gasoline Marketing (Bensin, Parkir, Tol)</v>
      </c>
      <c r="Q3224" s="61"/>
    </row>
    <row r="3225" spans="1:17" hidden="1" x14ac:dyDescent="0.25">
      <c r="A3225" s="60" t="str">
        <f t="shared" si="199"/>
        <v>430111,01</v>
      </c>
      <c r="B3225" s="60">
        <f>COUNTIF($J$7:J3225,J3225)</f>
        <v>430</v>
      </c>
      <c r="C3225" s="60" t="str">
        <f t="shared" si="200"/>
        <v>0</v>
      </c>
      <c r="D3225" s="60">
        <f>COUNTIF($K$7:K3225,K3225)</f>
        <v>0</v>
      </c>
      <c r="E3225" s="61"/>
      <c r="F3225" s="239">
        <v>44651</v>
      </c>
      <c r="G3225" s="232"/>
      <c r="H3225" s="73" t="s">
        <v>1615</v>
      </c>
      <c r="I3225" s="243" t="s">
        <v>1760</v>
      </c>
      <c r="J3225" s="67">
        <v>111.01</v>
      </c>
      <c r="K3225" s="243"/>
      <c r="L3225" s="295"/>
      <c r="M3225" s="295">
        <v>200000</v>
      </c>
      <c r="N3225" s="295"/>
      <c r="O3225" s="61"/>
      <c r="P3225" s="69" t="str">
        <f t="shared" si="201"/>
        <v>BNI IDR 768</v>
      </c>
      <c r="Q3225" s="61"/>
    </row>
    <row r="3226" spans="1:17" hidden="1" x14ac:dyDescent="0.25">
      <c r="A3226" s="60" t="str">
        <f t="shared" si="199"/>
        <v>74119</v>
      </c>
      <c r="B3226" s="60">
        <f>COUNTIF($J$7:J3226,J3226)</f>
        <v>74</v>
      </c>
      <c r="C3226" s="60" t="str">
        <f t="shared" si="200"/>
        <v>28119,01</v>
      </c>
      <c r="D3226" s="60">
        <f>COUNTIF($K$7:K3226,K3226)</f>
        <v>28</v>
      </c>
      <c r="E3226" s="61"/>
      <c r="F3226" s="239">
        <v>44651</v>
      </c>
      <c r="G3226" s="232"/>
      <c r="H3226" s="73" t="s">
        <v>1615</v>
      </c>
      <c r="I3226" s="243" t="s">
        <v>1761</v>
      </c>
      <c r="J3226" s="67">
        <v>119</v>
      </c>
      <c r="K3226" s="243">
        <v>119.01</v>
      </c>
      <c r="L3226" s="295">
        <v>2000000</v>
      </c>
      <c r="M3226" s="295"/>
      <c r="N3226" s="295"/>
      <c r="O3226" s="61"/>
      <c r="P3226" s="69" t="str">
        <f t="shared" si="201"/>
        <v>Uang Muka Biaya Pengiriman dan Perjalanan Dinas Marketing</v>
      </c>
      <c r="Q3226" s="61"/>
    </row>
    <row r="3227" spans="1:17" hidden="1" x14ac:dyDescent="0.25">
      <c r="A3227" s="60" t="str">
        <f t="shared" si="199"/>
        <v>431111,01</v>
      </c>
      <c r="B3227" s="60">
        <f>COUNTIF($J$7:J3227,J3227)</f>
        <v>431</v>
      </c>
      <c r="C3227" s="60" t="str">
        <f t="shared" si="200"/>
        <v>0</v>
      </c>
      <c r="D3227" s="60">
        <f>COUNTIF($K$7:K3227,K3227)</f>
        <v>0</v>
      </c>
      <c r="E3227" s="61"/>
      <c r="F3227" s="239">
        <v>44651</v>
      </c>
      <c r="G3227" s="232"/>
      <c r="H3227" s="73" t="s">
        <v>1615</v>
      </c>
      <c r="I3227" s="243" t="s">
        <v>1761</v>
      </c>
      <c r="J3227" s="67">
        <v>111.01</v>
      </c>
      <c r="K3227" s="243"/>
      <c r="L3227" s="295"/>
      <c r="M3227" s="295">
        <v>2000000</v>
      </c>
      <c r="N3227" s="295"/>
      <c r="O3227" s="61"/>
      <c r="P3227" s="69" t="str">
        <f t="shared" si="201"/>
        <v>BNI IDR 768</v>
      </c>
      <c r="Q3227" s="61"/>
    </row>
    <row r="3228" spans="1:17" hidden="1" x14ac:dyDescent="0.25">
      <c r="A3228" s="60" t="str">
        <f t="shared" si="199"/>
        <v>85220,03</v>
      </c>
      <c r="B3228" s="60">
        <f>COUNTIF($J$7:J3228,J3228)</f>
        <v>85</v>
      </c>
      <c r="C3228" s="60" t="str">
        <f t="shared" si="200"/>
        <v>0</v>
      </c>
      <c r="D3228" s="60">
        <f>COUNTIF($K$7:K3228,K3228)</f>
        <v>0</v>
      </c>
      <c r="E3228" s="61"/>
      <c r="F3228" s="239">
        <v>44651</v>
      </c>
      <c r="G3228" s="232"/>
      <c r="H3228" s="73" t="s">
        <v>1615</v>
      </c>
      <c r="I3228" s="294" t="s">
        <v>1762</v>
      </c>
      <c r="J3228" s="67">
        <v>220.03</v>
      </c>
      <c r="K3228" s="243"/>
      <c r="L3228" s="295">
        <v>12647300</v>
      </c>
      <c r="M3228" s="295"/>
      <c r="N3228" s="295"/>
      <c r="O3228" s="61"/>
      <c r="P3228" s="69" t="str">
        <f t="shared" si="201"/>
        <v>Hutang BIaya</v>
      </c>
      <c r="Q3228" s="61"/>
    </row>
    <row r="3229" spans="1:17" hidden="1" x14ac:dyDescent="0.25">
      <c r="A3229" s="60" t="str">
        <f t="shared" si="199"/>
        <v>7114</v>
      </c>
      <c r="B3229" s="60">
        <f>COUNTIF($J$7:J3229,J3229)</f>
        <v>7</v>
      </c>
      <c r="C3229" s="60" t="str">
        <f t="shared" si="200"/>
        <v>0</v>
      </c>
      <c r="D3229" s="60">
        <f>COUNTIF($K$7:K3229,K3229)</f>
        <v>0</v>
      </c>
      <c r="E3229" s="61"/>
      <c r="F3229" s="239">
        <v>44651</v>
      </c>
      <c r="G3229" s="232"/>
      <c r="H3229" s="73" t="s">
        <v>1615</v>
      </c>
      <c r="I3229" s="294" t="s">
        <v>1762</v>
      </c>
      <c r="J3229" s="67">
        <v>114</v>
      </c>
      <c r="K3229" s="243"/>
      <c r="L3229" s="295"/>
      <c r="M3229" s="295">
        <v>2000000</v>
      </c>
      <c r="N3229" s="295"/>
      <c r="O3229" s="61"/>
      <c r="P3229" s="69" t="str">
        <f t="shared" si="201"/>
        <v>Piutang Lain - Lain</v>
      </c>
      <c r="Q3229" s="61"/>
    </row>
    <row r="3230" spans="1:17" hidden="1" x14ac:dyDescent="0.25">
      <c r="A3230" s="60" t="str">
        <f t="shared" si="199"/>
        <v>432111,01</v>
      </c>
      <c r="B3230" s="60">
        <f>COUNTIF($J$7:J3230,J3230)</f>
        <v>432</v>
      </c>
      <c r="C3230" s="60" t="str">
        <f t="shared" si="200"/>
        <v>0</v>
      </c>
      <c r="D3230" s="60">
        <f>COUNTIF($K$7:K3230,K3230)</f>
        <v>0</v>
      </c>
      <c r="E3230" s="61"/>
      <c r="F3230" s="239">
        <v>44651</v>
      </c>
      <c r="G3230" s="232"/>
      <c r="H3230" s="73" t="s">
        <v>1615</v>
      </c>
      <c r="I3230" s="294" t="s">
        <v>1762</v>
      </c>
      <c r="J3230" s="67">
        <v>111.01</v>
      </c>
      <c r="K3230" s="243"/>
      <c r="L3230" s="295"/>
      <c r="M3230" s="295">
        <f>L3228-M3229</f>
        <v>10647300</v>
      </c>
      <c r="N3230" s="295"/>
      <c r="O3230" s="61"/>
      <c r="P3230" s="69" t="str">
        <f t="shared" si="201"/>
        <v>BNI IDR 768</v>
      </c>
      <c r="Q3230" s="61"/>
    </row>
    <row r="3231" spans="1:17" hidden="1" x14ac:dyDescent="0.25">
      <c r="A3231" s="60" t="str">
        <f t="shared" si="199"/>
        <v>92810,01</v>
      </c>
      <c r="B3231" s="60">
        <f>COUNTIF($J$7:J3231,J3231)</f>
        <v>92</v>
      </c>
      <c r="C3231" s="60" t="str">
        <f t="shared" si="200"/>
        <v>0</v>
      </c>
      <c r="D3231" s="60">
        <f>COUNTIF($K$7:K3231,K3231)</f>
        <v>0</v>
      </c>
      <c r="E3231" s="61"/>
      <c r="F3231" s="239">
        <v>44651</v>
      </c>
      <c r="G3231" s="232"/>
      <c r="H3231" s="73" t="s">
        <v>1615</v>
      </c>
      <c r="I3231" s="294" t="s">
        <v>282</v>
      </c>
      <c r="J3231" s="67">
        <v>810.01</v>
      </c>
      <c r="K3231" s="243"/>
      <c r="L3231" s="295">
        <v>6500</v>
      </c>
      <c r="M3231" s="295"/>
      <c r="N3231" s="295"/>
      <c r="O3231" s="61"/>
      <c r="P3231" s="69" t="str">
        <f t="shared" si="201"/>
        <v>Biaya Admin Transfer dan Rek</v>
      </c>
      <c r="Q3231" s="61"/>
    </row>
    <row r="3232" spans="1:17" hidden="1" x14ac:dyDescent="0.25">
      <c r="A3232" s="60" t="str">
        <f t="shared" si="199"/>
        <v>433111,01</v>
      </c>
      <c r="B3232" s="60">
        <f>COUNTIF($J$7:J3232,J3232)</f>
        <v>433</v>
      </c>
      <c r="C3232" s="60" t="str">
        <f t="shared" si="200"/>
        <v>0</v>
      </c>
      <c r="D3232" s="60">
        <f>COUNTIF($K$7:K3232,K3232)</f>
        <v>0</v>
      </c>
      <c r="E3232" s="61"/>
      <c r="F3232" s="239">
        <v>44651</v>
      </c>
      <c r="G3232" s="232"/>
      <c r="H3232" s="73" t="s">
        <v>1615</v>
      </c>
      <c r="I3232" s="294" t="s">
        <v>282</v>
      </c>
      <c r="J3232" s="67">
        <v>111.01</v>
      </c>
      <c r="K3232" s="243"/>
      <c r="L3232" s="295"/>
      <c r="M3232" s="295">
        <v>6500</v>
      </c>
      <c r="N3232" s="295"/>
      <c r="O3232" s="61"/>
      <c r="P3232" s="69" t="str">
        <f t="shared" si="201"/>
        <v>BNI IDR 768</v>
      </c>
      <c r="Q3232" s="61"/>
    </row>
    <row r="3233" spans="1:17" hidden="1" x14ac:dyDescent="0.25">
      <c r="A3233" s="60" t="str">
        <f t="shared" si="199"/>
        <v>86220,03</v>
      </c>
      <c r="B3233" s="60">
        <f>COUNTIF($J$7:J3233,J3233)</f>
        <v>86</v>
      </c>
      <c r="C3233" s="60" t="str">
        <f t="shared" si="200"/>
        <v>0</v>
      </c>
      <c r="D3233" s="60">
        <f>COUNTIF($K$7:K3233,K3233)</f>
        <v>0</v>
      </c>
      <c r="E3233" s="61"/>
      <c r="F3233" s="239">
        <v>44651</v>
      </c>
      <c r="G3233" s="232"/>
      <c r="H3233" s="73" t="s">
        <v>1615</v>
      </c>
      <c r="I3233" s="294" t="s">
        <v>1763</v>
      </c>
      <c r="J3233" s="67">
        <v>220.03</v>
      </c>
      <c r="K3233" s="243"/>
      <c r="L3233" s="295">
        <v>132000</v>
      </c>
      <c r="M3233" s="295"/>
      <c r="N3233" s="295"/>
      <c r="O3233" s="61"/>
      <c r="P3233" s="69" t="str">
        <f t="shared" si="201"/>
        <v>Hutang BIaya</v>
      </c>
      <c r="Q3233" s="61"/>
    </row>
    <row r="3234" spans="1:17" hidden="1" x14ac:dyDescent="0.25">
      <c r="A3234" s="60" t="str">
        <f t="shared" si="199"/>
        <v>434111,01</v>
      </c>
      <c r="B3234" s="60">
        <f>COUNTIF($J$7:J3234,J3234)</f>
        <v>434</v>
      </c>
      <c r="C3234" s="60" t="str">
        <f t="shared" si="200"/>
        <v>0</v>
      </c>
      <c r="D3234" s="60">
        <f>COUNTIF($K$7:K3234,K3234)</f>
        <v>0</v>
      </c>
      <c r="E3234" s="61"/>
      <c r="F3234" s="239">
        <v>44651</v>
      </c>
      <c r="G3234" s="232"/>
      <c r="H3234" s="73" t="s">
        <v>1615</v>
      </c>
      <c r="I3234" s="294" t="s">
        <v>1763</v>
      </c>
      <c r="J3234" s="67">
        <v>111.01</v>
      </c>
      <c r="K3234" s="243"/>
      <c r="L3234" s="295"/>
      <c r="M3234" s="295">
        <v>132000</v>
      </c>
      <c r="N3234" s="295"/>
      <c r="O3234" s="61"/>
      <c r="P3234" s="69" t="str">
        <f t="shared" si="201"/>
        <v>BNI IDR 768</v>
      </c>
      <c r="Q3234" s="61"/>
    </row>
    <row r="3235" spans="1:17" hidden="1" x14ac:dyDescent="0.25">
      <c r="A3235" s="60" t="str">
        <f t="shared" si="199"/>
        <v>93810,01</v>
      </c>
      <c r="B3235" s="60">
        <f>COUNTIF($J$7:J3235,J3235)</f>
        <v>93</v>
      </c>
      <c r="C3235" s="60" t="str">
        <f t="shared" si="200"/>
        <v>0</v>
      </c>
      <c r="D3235" s="60">
        <f>COUNTIF($K$7:K3235,K3235)</f>
        <v>0</v>
      </c>
      <c r="E3235" s="61"/>
      <c r="F3235" s="239">
        <v>44651</v>
      </c>
      <c r="G3235" s="232"/>
      <c r="H3235" s="73" t="s">
        <v>1615</v>
      </c>
      <c r="I3235" s="294" t="s">
        <v>282</v>
      </c>
      <c r="J3235" s="67">
        <v>810.01</v>
      </c>
      <c r="K3235" s="243"/>
      <c r="L3235" s="295">
        <v>6500</v>
      </c>
      <c r="M3235" s="295"/>
      <c r="N3235" s="295"/>
      <c r="O3235" s="61"/>
      <c r="P3235" s="69" t="str">
        <f t="shared" si="201"/>
        <v>Biaya Admin Transfer dan Rek</v>
      </c>
      <c r="Q3235" s="61"/>
    </row>
    <row r="3236" spans="1:17" hidden="1" x14ac:dyDescent="0.25">
      <c r="A3236" s="60" t="str">
        <f t="shared" si="199"/>
        <v>435111,01</v>
      </c>
      <c r="B3236" s="60">
        <f>COUNTIF($J$7:J3236,J3236)</f>
        <v>435</v>
      </c>
      <c r="C3236" s="60" t="str">
        <f t="shared" si="200"/>
        <v>0</v>
      </c>
      <c r="D3236" s="60">
        <f>COUNTIF($K$7:K3236,K3236)</f>
        <v>0</v>
      </c>
      <c r="E3236" s="61"/>
      <c r="F3236" s="239">
        <v>44651</v>
      </c>
      <c r="G3236" s="232"/>
      <c r="H3236" s="73" t="s">
        <v>1615</v>
      </c>
      <c r="I3236" s="294" t="s">
        <v>282</v>
      </c>
      <c r="J3236" s="67">
        <v>111.01</v>
      </c>
      <c r="K3236" s="243"/>
      <c r="L3236" s="295"/>
      <c r="M3236" s="295">
        <v>6500</v>
      </c>
      <c r="N3236" s="295"/>
      <c r="O3236" s="61"/>
      <c r="P3236" s="69" t="str">
        <f t="shared" si="201"/>
        <v>BNI IDR 768</v>
      </c>
      <c r="Q3236" s="61"/>
    </row>
    <row r="3237" spans="1:17" hidden="1" x14ac:dyDescent="0.25">
      <c r="A3237" s="60" t="str">
        <f t="shared" si="199"/>
        <v>28512,03</v>
      </c>
      <c r="B3237" s="60">
        <f>COUNTIF($J$7:J3237,J3237)</f>
        <v>28</v>
      </c>
      <c r="C3237" s="60" t="str">
        <f t="shared" si="200"/>
        <v>0</v>
      </c>
      <c r="D3237" s="60">
        <f>COUNTIF($K$7:K3237,K3237)</f>
        <v>0</v>
      </c>
      <c r="E3237" s="61"/>
      <c r="F3237" s="239">
        <v>44651</v>
      </c>
      <c r="G3237" s="232"/>
      <c r="H3237" s="73" t="s">
        <v>1615</v>
      </c>
      <c r="I3237" s="294" t="s">
        <v>1764</v>
      </c>
      <c r="J3237" s="241">
        <v>512.03</v>
      </c>
      <c r="K3237" s="243"/>
      <c r="L3237" s="295">
        <f>1747127-1300000</f>
        <v>447127</v>
      </c>
      <c r="M3237" s="295"/>
      <c r="N3237" s="295"/>
      <c r="O3237" s="61"/>
      <c r="P3237" s="69" t="str">
        <f t="shared" si="201"/>
        <v>Beban Gasoline Marketing (Bensin, Parkir, Tol)</v>
      </c>
      <c r="Q3237" s="61"/>
    </row>
    <row r="3238" spans="1:17" hidden="1" x14ac:dyDescent="0.25">
      <c r="A3238" s="60" t="str">
        <f t="shared" si="199"/>
        <v>2512,04</v>
      </c>
      <c r="B3238" s="60">
        <f>COUNTIF($J$7:J3238,J3238)</f>
        <v>2</v>
      </c>
      <c r="C3238" s="60" t="str">
        <f t="shared" si="200"/>
        <v>0</v>
      </c>
      <c r="D3238" s="60">
        <f>COUNTIF($K$7:K3238,K3238)</f>
        <v>0</v>
      </c>
      <c r="E3238" s="61"/>
      <c r="F3238" s="239">
        <v>44651</v>
      </c>
      <c r="G3238" s="232"/>
      <c r="H3238" s="73" t="s">
        <v>1615</v>
      </c>
      <c r="I3238" s="294" t="s">
        <v>1765</v>
      </c>
      <c r="J3238" s="241">
        <v>512.04</v>
      </c>
      <c r="K3238" s="243"/>
      <c r="L3238" s="295">
        <f>900000+400000</f>
        <v>1300000</v>
      </c>
      <c r="M3238" s="295"/>
      <c r="N3238" s="295"/>
      <c r="O3238" s="61"/>
      <c r="P3238" s="69" t="str">
        <f t="shared" si="201"/>
        <v>Beban Akomodasi</v>
      </c>
      <c r="Q3238" s="61"/>
    </row>
    <row r="3239" spans="1:17" hidden="1" x14ac:dyDescent="0.25">
      <c r="A3239" s="60" t="str">
        <f t="shared" si="199"/>
        <v>436111,01</v>
      </c>
      <c r="B3239" s="60">
        <f>COUNTIF($J$7:J3239,J3239)</f>
        <v>436</v>
      </c>
      <c r="C3239" s="60" t="str">
        <f t="shared" si="200"/>
        <v>0</v>
      </c>
      <c r="D3239" s="60">
        <f>COUNTIF($K$7:K3239,K3239)</f>
        <v>0</v>
      </c>
      <c r="E3239" s="61"/>
      <c r="F3239" s="239">
        <v>44651</v>
      </c>
      <c r="G3239" s="232"/>
      <c r="H3239" s="73" t="s">
        <v>1615</v>
      </c>
      <c r="I3239" s="294" t="s">
        <v>1764</v>
      </c>
      <c r="J3239" s="67">
        <v>111.01</v>
      </c>
      <c r="K3239" s="243"/>
      <c r="L3239" s="295"/>
      <c r="M3239" s="295">
        <v>1747127</v>
      </c>
      <c r="N3239" s="295"/>
      <c r="O3239" s="61"/>
      <c r="P3239" s="69" t="str">
        <f t="shared" si="201"/>
        <v>BNI IDR 768</v>
      </c>
      <c r="Q3239" s="61"/>
    </row>
    <row r="3240" spans="1:17" hidden="1" x14ac:dyDescent="0.25">
      <c r="A3240" s="60" t="str">
        <f t="shared" si="199"/>
        <v>10610,04</v>
      </c>
      <c r="B3240" s="60">
        <f>COUNTIF($J$7:J3240,J3240)</f>
        <v>10</v>
      </c>
      <c r="C3240" s="60" t="str">
        <f t="shared" si="200"/>
        <v>0</v>
      </c>
      <c r="D3240" s="60">
        <f>COUNTIF($K$7:K3240,K3240)</f>
        <v>0</v>
      </c>
      <c r="E3240" s="61"/>
      <c r="F3240" s="239">
        <v>44651</v>
      </c>
      <c r="G3240" s="232"/>
      <c r="H3240" s="73" t="s">
        <v>1615</v>
      </c>
      <c r="I3240" s="294" t="s">
        <v>1766</v>
      </c>
      <c r="J3240" s="61">
        <v>610.04</v>
      </c>
      <c r="K3240" s="243"/>
      <c r="L3240" s="295">
        <v>101500</v>
      </c>
      <c r="M3240" s="295"/>
      <c r="N3240" s="295"/>
      <c r="O3240" s="61"/>
      <c r="P3240" s="69" t="str">
        <f t="shared" si="201"/>
        <v>Biaya Transportasi Umum (Bensin, Tol, Parkir) dan Kirim Dokumen</v>
      </c>
      <c r="Q3240" s="61"/>
    </row>
    <row r="3241" spans="1:17" hidden="1" x14ac:dyDescent="0.25">
      <c r="A3241" s="60" t="str">
        <f t="shared" si="199"/>
        <v>437111,01</v>
      </c>
      <c r="B3241" s="60">
        <f>COUNTIF($J$7:J3241,J3241)</f>
        <v>437</v>
      </c>
      <c r="C3241" s="60" t="str">
        <f t="shared" si="200"/>
        <v>0</v>
      </c>
      <c r="D3241" s="60">
        <f>COUNTIF($K$7:K3241,K3241)</f>
        <v>0</v>
      </c>
      <c r="E3241" s="61"/>
      <c r="F3241" s="239">
        <v>44651</v>
      </c>
      <c r="G3241" s="232"/>
      <c r="H3241" s="73" t="s">
        <v>1615</v>
      </c>
      <c r="I3241" s="294" t="s">
        <v>1766</v>
      </c>
      <c r="J3241" s="67">
        <v>111.01</v>
      </c>
      <c r="K3241" s="243"/>
      <c r="L3241" s="295"/>
      <c r="M3241" s="295">
        <v>101500</v>
      </c>
      <c r="N3241" s="295"/>
      <c r="O3241" s="61"/>
      <c r="P3241" s="69" t="str">
        <f t="shared" si="201"/>
        <v>BNI IDR 768</v>
      </c>
      <c r="Q3241" s="61"/>
    </row>
    <row r="3242" spans="1:17" hidden="1" x14ac:dyDescent="0.25">
      <c r="A3242" s="60" t="str">
        <f t="shared" si="199"/>
        <v>35610,1</v>
      </c>
      <c r="B3242" s="60">
        <f>COUNTIF($J$7:J3242,J3242)</f>
        <v>35</v>
      </c>
      <c r="C3242" s="60" t="str">
        <f t="shared" si="200"/>
        <v>0</v>
      </c>
      <c r="D3242" s="60">
        <f>COUNTIF($K$7:K3242,K3242)</f>
        <v>0</v>
      </c>
      <c r="E3242" s="61"/>
      <c r="F3242" s="239">
        <v>44651</v>
      </c>
      <c r="G3242" s="232"/>
      <c r="H3242" s="73" t="s">
        <v>1615</v>
      </c>
      <c r="I3242" s="294" t="s">
        <v>1767</v>
      </c>
      <c r="J3242" s="61">
        <v>610.1</v>
      </c>
      <c r="K3242" s="243"/>
      <c r="L3242" s="295">
        <v>860000</v>
      </c>
      <c r="M3242" s="295"/>
      <c r="N3242" s="295"/>
      <c r="O3242" s="61"/>
      <c r="P3242" s="69" t="str">
        <f t="shared" si="201"/>
        <v>Biaya Rumah Tangga Kantor</v>
      </c>
      <c r="Q3242" s="61"/>
    </row>
    <row r="3243" spans="1:17" hidden="1" x14ac:dyDescent="0.25">
      <c r="A3243" s="60" t="str">
        <f t="shared" si="199"/>
        <v>438111,01</v>
      </c>
      <c r="B3243" s="60">
        <f>COUNTIF($J$7:J3243,J3243)</f>
        <v>438</v>
      </c>
      <c r="C3243" s="60" t="str">
        <f t="shared" si="200"/>
        <v>0</v>
      </c>
      <c r="D3243" s="60">
        <f>COUNTIF($K$7:K3243,K3243)</f>
        <v>0</v>
      </c>
      <c r="E3243" s="61"/>
      <c r="F3243" s="239">
        <v>44651</v>
      </c>
      <c r="G3243" s="232"/>
      <c r="H3243" s="73" t="s">
        <v>1615</v>
      </c>
      <c r="I3243" s="294" t="s">
        <v>1767</v>
      </c>
      <c r="J3243" s="67">
        <v>111.01</v>
      </c>
      <c r="K3243" s="243"/>
      <c r="L3243" s="295"/>
      <c r="M3243" s="295">
        <v>860000</v>
      </c>
      <c r="N3243" s="295"/>
      <c r="O3243" s="61"/>
      <c r="P3243" s="69" t="str">
        <f t="shared" si="201"/>
        <v>BNI IDR 768</v>
      </c>
      <c r="Q3243" s="61"/>
    </row>
    <row r="3244" spans="1:17" hidden="1" x14ac:dyDescent="0.25">
      <c r="A3244" s="60" t="str">
        <f t="shared" si="199"/>
        <v>94810,01</v>
      </c>
      <c r="B3244" s="60">
        <f>COUNTIF($J$7:J3244,J3244)</f>
        <v>94</v>
      </c>
      <c r="C3244" s="60" t="str">
        <f t="shared" si="200"/>
        <v>0</v>
      </c>
      <c r="D3244" s="60">
        <f>COUNTIF($K$7:K3244,K3244)</f>
        <v>0</v>
      </c>
      <c r="E3244" s="61"/>
      <c r="F3244" s="239">
        <v>44651</v>
      </c>
      <c r="G3244" s="232"/>
      <c r="H3244" s="73" t="s">
        <v>1615</v>
      </c>
      <c r="I3244" s="294" t="s">
        <v>282</v>
      </c>
      <c r="J3244" s="67">
        <v>810.01</v>
      </c>
      <c r="K3244" s="243"/>
      <c r="L3244" s="295">
        <v>6500</v>
      </c>
      <c r="M3244" s="295"/>
      <c r="N3244" s="295"/>
      <c r="O3244" s="61"/>
      <c r="P3244" s="69" t="str">
        <f t="shared" si="201"/>
        <v>Biaya Admin Transfer dan Rek</v>
      </c>
      <c r="Q3244" s="61"/>
    </row>
    <row r="3245" spans="1:17" hidden="1" x14ac:dyDescent="0.25">
      <c r="A3245" s="60" t="str">
        <f t="shared" si="199"/>
        <v>439111,01</v>
      </c>
      <c r="B3245" s="60">
        <f>COUNTIF($J$7:J3245,J3245)</f>
        <v>439</v>
      </c>
      <c r="C3245" s="60" t="str">
        <f t="shared" si="200"/>
        <v>0</v>
      </c>
      <c r="D3245" s="60">
        <f>COUNTIF($K$7:K3245,K3245)</f>
        <v>0</v>
      </c>
      <c r="E3245" s="61"/>
      <c r="F3245" s="239">
        <v>44651</v>
      </c>
      <c r="G3245" s="232"/>
      <c r="H3245" s="73" t="s">
        <v>1615</v>
      </c>
      <c r="I3245" s="294" t="s">
        <v>282</v>
      </c>
      <c r="J3245" s="67">
        <v>111.01</v>
      </c>
      <c r="K3245" s="243"/>
      <c r="L3245" s="295"/>
      <c r="M3245" s="295">
        <v>6500</v>
      </c>
      <c r="N3245" s="295"/>
      <c r="O3245" s="61"/>
      <c r="P3245" s="69" t="str">
        <f t="shared" si="201"/>
        <v>BNI IDR 768</v>
      </c>
      <c r="Q3245" s="61"/>
    </row>
    <row r="3246" spans="1:17" hidden="1" x14ac:dyDescent="0.25">
      <c r="A3246" s="60" t="str">
        <f t="shared" si="199"/>
        <v>440111,01</v>
      </c>
      <c r="B3246" s="60">
        <f>COUNTIF($J$7:J3246,J3246)</f>
        <v>440</v>
      </c>
      <c r="C3246" s="60" t="str">
        <f t="shared" si="200"/>
        <v>0</v>
      </c>
      <c r="D3246" s="60">
        <f>COUNTIF($K$7:K3246,K3246)</f>
        <v>0</v>
      </c>
      <c r="E3246" s="61"/>
      <c r="F3246" s="239">
        <v>44651</v>
      </c>
      <c r="G3246" s="232"/>
      <c r="H3246" s="73" t="s">
        <v>1615</v>
      </c>
      <c r="I3246" s="294" t="s">
        <v>429</v>
      </c>
      <c r="J3246" s="67">
        <v>111.01</v>
      </c>
      <c r="K3246" s="243"/>
      <c r="L3246" s="295">
        <v>1837319</v>
      </c>
      <c r="M3246" s="295"/>
      <c r="N3246" s="295"/>
      <c r="O3246" s="61"/>
      <c r="P3246" s="69" t="str">
        <f t="shared" si="201"/>
        <v>BNI IDR 768</v>
      </c>
      <c r="Q3246" s="61"/>
    </row>
    <row r="3247" spans="1:17" hidden="1" x14ac:dyDescent="0.25">
      <c r="A3247" s="60" t="str">
        <f t="shared" si="199"/>
        <v>5710,01</v>
      </c>
      <c r="B3247" s="60">
        <f>COUNTIF($J$7:J3247,J3247)</f>
        <v>5</v>
      </c>
      <c r="C3247" s="60" t="str">
        <f t="shared" si="200"/>
        <v>0</v>
      </c>
      <c r="D3247" s="60">
        <f>COUNTIF($K$7:K3247,K3247)</f>
        <v>0</v>
      </c>
      <c r="E3247" s="61"/>
      <c r="F3247" s="239">
        <v>44651</v>
      </c>
      <c r="G3247" s="232"/>
      <c r="H3247" s="73" t="s">
        <v>1615</v>
      </c>
      <c r="I3247" s="294" t="s">
        <v>429</v>
      </c>
      <c r="J3247" s="67">
        <v>710.01</v>
      </c>
      <c r="K3247" s="243"/>
      <c r="L3247" s="295"/>
      <c r="M3247" s="295">
        <v>1837319</v>
      </c>
      <c r="N3247" s="295"/>
      <c r="O3247" s="61"/>
      <c r="P3247" s="69" t="str">
        <f t="shared" si="201"/>
        <v>Pendapatan Jasa Giro/Bunga Bank</v>
      </c>
      <c r="Q3247" s="61"/>
    </row>
    <row r="3248" spans="1:17" hidden="1" x14ac:dyDescent="0.25">
      <c r="A3248" s="60" t="str">
        <f t="shared" si="199"/>
        <v>5810,02</v>
      </c>
      <c r="B3248" s="60">
        <f>COUNTIF($J$7:J3248,J3248)</f>
        <v>5</v>
      </c>
      <c r="C3248" s="60" t="str">
        <f t="shared" si="200"/>
        <v>0</v>
      </c>
      <c r="D3248" s="60">
        <f>COUNTIF($K$7:K3248,K3248)</f>
        <v>0</v>
      </c>
      <c r="E3248" s="61"/>
      <c r="F3248" s="239">
        <v>44651</v>
      </c>
      <c r="G3248" s="232"/>
      <c r="H3248" s="73" t="s">
        <v>1615</v>
      </c>
      <c r="I3248" s="294" t="s">
        <v>1768</v>
      </c>
      <c r="J3248" s="61">
        <v>810.02</v>
      </c>
      <c r="K3248" s="243"/>
      <c r="L3248" s="295">
        <v>367464</v>
      </c>
      <c r="M3248" s="295"/>
      <c r="N3248" s="295"/>
      <c r="O3248" s="61"/>
      <c r="P3248" s="69" t="str">
        <f t="shared" si="201"/>
        <v>Biaya Pajak Jagir</v>
      </c>
      <c r="Q3248" s="61"/>
    </row>
    <row r="3249" spans="1:17" hidden="1" x14ac:dyDescent="0.25">
      <c r="A3249" s="60" t="str">
        <f t="shared" si="199"/>
        <v>441111,01</v>
      </c>
      <c r="B3249" s="60">
        <f>COUNTIF($J$7:J3249,J3249)</f>
        <v>441</v>
      </c>
      <c r="C3249" s="60" t="str">
        <f t="shared" si="200"/>
        <v>0</v>
      </c>
      <c r="D3249" s="60">
        <f>COUNTIF($K$7:K3249,K3249)</f>
        <v>0</v>
      </c>
      <c r="E3249" s="61"/>
      <c r="F3249" s="239">
        <v>44651</v>
      </c>
      <c r="G3249" s="232"/>
      <c r="H3249" s="73" t="s">
        <v>1615</v>
      </c>
      <c r="I3249" s="294" t="s">
        <v>1768</v>
      </c>
      <c r="J3249" s="67">
        <v>111.01</v>
      </c>
      <c r="K3249" s="243"/>
      <c r="L3249" s="295"/>
      <c r="M3249" s="295">
        <v>367464</v>
      </c>
      <c r="N3249" s="295"/>
      <c r="O3249" s="61"/>
      <c r="P3249" s="69" t="str">
        <f t="shared" si="201"/>
        <v>BNI IDR 768</v>
      </c>
      <c r="Q3249" s="61"/>
    </row>
    <row r="3250" spans="1:17" hidden="1" x14ac:dyDescent="0.25">
      <c r="A3250" s="60" t="str">
        <f t="shared" si="199"/>
        <v>95810,01</v>
      </c>
      <c r="B3250" s="60">
        <f>COUNTIF($J$7:J3250,J3250)</f>
        <v>95</v>
      </c>
      <c r="C3250" s="60" t="str">
        <f t="shared" si="200"/>
        <v>0</v>
      </c>
      <c r="D3250" s="60">
        <f>COUNTIF($K$7:K3250,K3250)</f>
        <v>0</v>
      </c>
      <c r="E3250" s="61"/>
      <c r="F3250" s="239">
        <v>44651</v>
      </c>
      <c r="G3250" s="232"/>
      <c r="H3250" s="73" t="s">
        <v>1615</v>
      </c>
      <c r="I3250" s="294" t="s">
        <v>1769</v>
      </c>
      <c r="J3250" s="61">
        <v>810.01</v>
      </c>
      <c r="K3250" s="243"/>
      <c r="L3250" s="295">
        <v>25000</v>
      </c>
      <c r="M3250" s="295"/>
      <c r="N3250" s="295"/>
      <c r="O3250" s="61"/>
      <c r="P3250" s="69" t="str">
        <f t="shared" si="201"/>
        <v>Biaya Admin Transfer dan Rek</v>
      </c>
      <c r="Q3250" s="61"/>
    </row>
    <row r="3251" spans="1:17" hidden="1" x14ac:dyDescent="0.25">
      <c r="A3251" s="60" t="str">
        <f t="shared" si="199"/>
        <v>442111,01</v>
      </c>
      <c r="B3251" s="60">
        <f>COUNTIF($J$7:J3251,J3251)</f>
        <v>442</v>
      </c>
      <c r="C3251" s="60" t="str">
        <f t="shared" si="200"/>
        <v>0</v>
      </c>
      <c r="D3251" s="60">
        <f>COUNTIF($K$7:K3251,K3251)</f>
        <v>0</v>
      </c>
      <c r="E3251" s="61"/>
      <c r="F3251" s="239">
        <v>44651</v>
      </c>
      <c r="G3251" s="232"/>
      <c r="H3251" s="73" t="s">
        <v>1615</v>
      </c>
      <c r="I3251" s="294" t="s">
        <v>1769</v>
      </c>
      <c r="J3251" s="67">
        <v>111.01</v>
      </c>
      <c r="K3251" s="243"/>
      <c r="L3251" s="295"/>
      <c r="M3251" s="295">
        <v>25000</v>
      </c>
      <c r="N3251" s="295"/>
      <c r="O3251" s="61"/>
      <c r="P3251" s="69" t="str">
        <f t="shared" si="201"/>
        <v>BNI IDR 768</v>
      </c>
      <c r="Q3251" s="61"/>
    </row>
    <row r="3252" spans="1:17" hidden="1" x14ac:dyDescent="0.25">
      <c r="A3252" s="60" t="str">
        <f t="shared" si="199"/>
        <v>130111,03</v>
      </c>
      <c r="B3252" s="60">
        <f>COUNTIF($J$7:J3252,J3252)</f>
        <v>130</v>
      </c>
      <c r="C3252" s="60" t="str">
        <f t="shared" si="200"/>
        <v>0</v>
      </c>
      <c r="D3252" s="60">
        <f>COUNTIF($K$7:K3252,K3252)</f>
        <v>0</v>
      </c>
      <c r="E3252" s="61"/>
      <c r="F3252" s="232">
        <v>44621</v>
      </c>
      <c r="G3252" s="232"/>
      <c r="H3252" s="61" t="s">
        <v>1228</v>
      </c>
      <c r="I3252" s="63" t="s">
        <v>504</v>
      </c>
      <c r="J3252" s="67">
        <v>111.03</v>
      </c>
      <c r="K3252" s="65"/>
      <c r="L3252" s="224">
        <v>6720000</v>
      </c>
      <c r="M3252" s="223"/>
      <c r="N3252" s="223"/>
      <c r="O3252" s="61"/>
      <c r="P3252" s="69" t="str">
        <f t="shared" si="201"/>
        <v>BCA 8607</v>
      </c>
      <c r="Q3252" s="61"/>
    </row>
    <row r="3253" spans="1:17" hidden="1" x14ac:dyDescent="0.25">
      <c r="A3253" s="60" t="str">
        <f t="shared" si="199"/>
        <v>131111,03</v>
      </c>
      <c r="B3253" s="60">
        <f>COUNTIF($J$7:J3253,J3253)</f>
        <v>131</v>
      </c>
      <c r="C3253" s="60" t="str">
        <f t="shared" si="200"/>
        <v>0</v>
      </c>
      <c r="D3253" s="60">
        <f>COUNTIF($K$7:K3253,K3253)</f>
        <v>0</v>
      </c>
      <c r="E3253" s="61"/>
      <c r="F3253" s="232">
        <v>44621</v>
      </c>
      <c r="G3253" s="232"/>
      <c r="H3253" s="61" t="s">
        <v>1228</v>
      </c>
      <c r="I3253" s="63" t="s">
        <v>1246</v>
      </c>
      <c r="J3253" s="67">
        <v>111.03</v>
      </c>
      <c r="K3253" s="65"/>
      <c r="L3253" s="224">
        <v>15000000</v>
      </c>
      <c r="M3253" s="223"/>
      <c r="N3253" s="223"/>
      <c r="O3253" s="61"/>
      <c r="P3253" s="69" t="str">
        <f t="shared" si="201"/>
        <v>BCA 8607</v>
      </c>
      <c r="Q3253" s="61"/>
    </row>
    <row r="3254" spans="1:17" hidden="1" x14ac:dyDescent="0.25">
      <c r="A3254" s="60" t="str">
        <f t="shared" si="199"/>
        <v>132111,03</v>
      </c>
      <c r="B3254" s="60">
        <f>COUNTIF($J$7:J3254,J3254)</f>
        <v>132</v>
      </c>
      <c r="C3254" s="60" t="str">
        <f t="shared" si="200"/>
        <v>0</v>
      </c>
      <c r="D3254" s="60">
        <f>COUNTIF($K$7:K3254,K3254)</f>
        <v>0</v>
      </c>
      <c r="E3254" s="61"/>
      <c r="F3254" s="232">
        <v>44621</v>
      </c>
      <c r="G3254" s="232"/>
      <c r="H3254" s="61" t="s">
        <v>1228</v>
      </c>
      <c r="I3254" s="63" t="s">
        <v>1770</v>
      </c>
      <c r="J3254" s="67">
        <v>111.03</v>
      </c>
      <c r="K3254" s="65"/>
      <c r="L3254" s="224">
        <v>19206000</v>
      </c>
      <c r="M3254" s="223"/>
      <c r="N3254" s="223"/>
      <c r="O3254" s="61"/>
      <c r="P3254" s="69" t="str">
        <f t="shared" si="201"/>
        <v>BCA 8607</v>
      </c>
      <c r="Q3254" s="61"/>
    </row>
    <row r="3255" spans="1:17" hidden="1" x14ac:dyDescent="0.25">
      <c r="A3255" s="60" t="str">
        <f t="shared" si="199"/>
        <v>133111,03</v>
      </c>
      <c r="B3255" s="60">
        <f>COUNTIF($J$7:J3255,J3255)</f>
        <v>133</v>
      </c>
      <c r="C3255" s="60" t="str">
        <f t="shared" si="200"/>
        <v>0</v>
      </c>
      <c r="D3255" s="60">
        <f>COUNTIF($K$7:K3255,K3255)</f>
        <v>0</v>
      </c>
      <c r="E3255" s="61"/>
      <c r="F3255" s="232">
        <v>44621</v>
      </c>
      <c r="G3255" s="232"/>
      <c r="H3255" s="61" t="s">
        <v>1228</v>
      </c>
      <c r="I3255" s="63" t="s">
        <v>1771</v>
      </c>
      <c r="J3255" s="67">
        <v>111.03</v>
      </c>
      <c r="K3255" s="65"/>
      <c r="L3255" s="224">
        <v>324000</v>
      </c>
      <c r="M3255" s="223"/>
      <c r="N3255" s="223"/>
      <c r="O3255" s="61"/>
      <c r="P3255" s="69" t="str">
        <f t="shared" si="201"/>
        <v>BCA 8607</v>
      </c>
      <c r="Q3255" s="61"/>
    </row>
    <row r="3256" spans="1:17" hidden="1" x14ac:dyDescent="0.25">
      <c r="A3256" s="60" t="str">
        <f t="shared" si="199"/>
        <v>134111,03</v>
      </c>
      <c r="B3256" s="60">
        <f>COUNTIF($J$7:J3256,J3256)</f>
        <v>134</v>
      </c>
      <c r="C3256" s="60" t="str">
        <f t="shared" si="200"/>
        <v>0</v>
      </c>
      <c r="D3256" s="60">
        <f>COUNTIF($K$7:K3256,K3256)</f>
        <v>0</v>
      </c>
      <c r="E3256" s="61"/>
      <c r="F3256" s="232">
        <v>44621</v>
      </c>
      <c r="G3256" s="232"/>
      <c r="H3256" s="61" t="s">
        <v>1228</v>
      </c>
      <c r="I3256" s="63" t="s">
        <v>1771</v>
      </c>
      <c r="J3256" s="67">
        <v>111.03</v>
      </c>
      <c r="K3256" s="65"/>
      <c r="L3256" s="224">
        <v>240000</v>
      </c>
      <c r="M3256" s="223"/>
      <c r="N3256" s="223"/>
      <c r="O3256" s="61"/>
      <c r="P3256" s="69" t="str">
        <f t="shared" si="201"/>
        <v>BCA 8607</v>
      </c>
      <c r="Q3256" s="61"/>
    </row>
    <row r="3257" spans="1:17" hidden="1" x14ac:dyDescent="0.25">
      <c r="A3257" s="60" t="str">
        <f t="shared" si="199"/>
        <v>135111,03</v>
      </c>
      <c r="B3257" s="60">
        <f>COUNTIF($J$7:J3257,J3257)</f>
        <v>135</v>
      </c>
      <c r="C3257" s="60" t="str">
        <f t="shared" si="200"/>
        <v>0</v>
      </c>
      <c r="D3257" s="60">
        <f>COUNTIF($K$7:K3257,K3257)</f>
        <v>0</v>
      </c>
      <c r="E3257" s="61"/>
      <c r="F3257" s="232">
        <v>44621</v>
      </c>
      <c r="G3257" s="232"/>
      <c r="H3257" s="61" t="s">
        <v>1228</v>
      </c>
      <c r="I3257" s="63" t="s">
        <v>1772</v>
      </c>
      <c r="J3257" s="67">
        <v>111.03</v>
      </c>
      <c r="K3257" s="65"/>
      <c r="L3257" s="224">
        <v>6737500</v>
      </c>
      <c r="M3257" s="223"/>
      <c r="N3257" s="223"/>
      <c r="O3257" s="61"/>
      <c r="P3257" s="69" t="str">
        <f t="shared" si="201"/>
        <v>BCA 8607</v>
      </c>
      <c r="Q3257" s="61"/>
    </row>
    <row r="3258" spans="1:17" hidden="1" x14ac:dyDescent="0.25">
      <c r="A3258" s="60" t="str">
        <f t="shared" si="199"/>
        <v>136111,03</v>
      </c>
      <c r="B3258" s="60">
        <f>COUNTIF($J$7:J3258,J3258)</f>
        <v>136</v>
      </c>
      <c r="C3258" s="60" t="str">
        <f t="shared" si="200"/>
        <v>0</v>
      </c>
      <c r="D3258" s="60">
        <f>COUNTIF($K$7:K3258,K3258)</f>
        <v>0</v>
      </c>
      <c r="E3258" s="61"/>
      <c r="F3258" s="232">
        <v>44622</v>
      </c>
      <c r="G3258" s="232"/>
      <c r="H3258" s="61" t="s">
        <v>1228</v>
      </c>
      <c r="I3258" s="63" t="s">
        <v>1773</v>
      </c>
      <c r="J3258" s="67">
        <v>111.03</v>
      </c>
      <c r="K3258" s="65"/>
      <c r="L3258" s="224">
        <v>2887500</v>
      </c>
      <c r="M3258" s="223"/>
      <c r="N3258" s="223"/>
      <c r="O3258" s="61"/>
      <c r="P3258" s="69" t="str">
        <f t="shared" si="201"/>
        <v>BCA 8607</v>
      </c>
      <c r="Q3258" s="61"/>
    </row>
    <row r="3259" spans="1:17" hidden="1" x14ac:dyDescent="0.25">
      <c r="A3259" s="60" t="str">
        <f t="shared" si="199"/>
        <v>137111,03</v>
      </c>
      <c r="B3259" s="60">
        <f>COUNTIF($J$7:J3259,J3259)</f>
        <v>137</v>
      </c>
      <c r="C3259" s="60" t="str">
        <f t="shared" si="200"/>
        <v>0</v>
      </c>
      <c r="D3259" s="60">
        <f>COUNTIF($K$7:K3259,K3259)</f>
        <v>0</v>
      </c>
      <c r="E3259" s="61"/>
      <c r="F3259" s="232">
        <v>44622</v>
      </c>
      <c r="G3259" s="232"/>
      <c r="H3259" s="61" t="s">
        <v>1228</v>
      </c>
      <c r="I3259" s="63" t="s">
        <v>1246</v>
      </c>
      <c r="J3259" s="67">
        <v>111.03</v>
      </c>
      <c r="K3259" s="65"/>
      <c r="L3259" s="224">
        <v>16000000</v>
      </c>
      <c r="M3259" s="223"/>
      <c r="N3259" s="223"/>
      <c r="O3259" s="61"/>
      <c r="P3259" s="69" t="str">
        <f t="shared" si="201"/>
        <v>BCA 8607</v>
      </c>
      <c r="Q3259" s="61"/>
    </row>
    <row r="3260" spans="1:17" hidden="1" x14ac:dyDescent="0.25">
      <c r="A3260" s="60" t="str">
        <f t="shared" si="199"/>
        <v>138111,03</v>
      </c>
      <c r="B3260" s="60">
        <f>COUNTIF($J$7:J3260,J3260)</f>
        <v>138</v>
      </c>
      <c r="C3260" s="60" t="str">
        <f t="shared" si="200"/>
        <v>0</v>
      </c>
      <c r="D3260" s="60">
        <f>COUNTIF($K$7:K3260,K3260)</f>
        <v>0</v>
      </c>
      <c r="E3260" s="61"/>
      <c r="F3260" s="232">
        <v>44622</v>
      </c>
      <c r="G3260" s="232"/>
      <c r="H3260" s="61" t="s">
        <v>1228</v>
      </c>
      <c r="I3260" s="79" t="s">
        <v>1774</v>
      </c>
      <c r="J3260" s="67">
        <v>111.03</v>
      </c>
      <c r="K3260" s="65"/>
      <c r="L3260" s="224">
        <v>1210000</v>
      </c>
      <c r="M3260" s="223"/>
      <c r="N3260" s="223"/>
      <c r="O3260" s="61"/>
      <c r="P3260" s="69" t="str">
        <f t="shared" si="201"/>
        <v>BCA 8607</v>
      </c>
      <c r="Q3260" s="61"/>
    </row>
    <row r="3261" spans="1:17" hidden="1" x14ac:dyDescent="0.25">
      <c r="A3261" s="60" t="str">
        <f t="shared" si="199"/>
        <v>139111,03</v>
      </c>
      <c r="B3261" s="60">
        <f>COUNTIF($J$7:J3261,J3261)</f>
        <v>139</v>
      </c>
      <c r="C3261" s="60" t="str">
        <f t="shared" si="200"/>
        <v>0</v>
      </c>
      <c r="D3261" s="60">
        <f>COUNTIF($K$7:K3261,K3261)</f>
        <v>0</v>
      </c>
      <c r="E3261" s="61"/>
      <c r="F3261" s="232">
        <v>44624</v>
      </c>
      <c r="G3261" s="232"/>
      <c r="H3261" s="61" t="s">
        <v>1228</v>
      </c>
      <c r="I3261" s="79" t="s">
        <v>1775</v>
      </c>
      <c r="J3261" s="67">
        <v>111.03</v>
      </c>
      <c r="K3261" s="65"/>
      <c r="L3261" s="224">
        <v>4840000</v>
      </c>
      <c r="M3261" s="223"/>
      <c r="N3261" s="223"/>
      <c r="O3261" s="61"/>
      <c r="P3261" s="69" t="str">
        <f t="shared" si="201"/>
        <v>BCA 8607</v>
      </c>
      <c r="Q3261" s="61"/>
    </row>
    <row r="3262" spans="1:17" hidden="1" x14ac:dyDescent="0.25">
      <c r="A3262" s="60" t="str">
        <f t="shared" si="199"/>
        <v>140111,03</v>
      </c>
      <c r="B3262" s="60">
        <f>COUNTIF($J$7:J3262,J3262)</f>
        <v>140</v>
      </c>
      <c r="C3262" s="60" t="str">
        <f t="shared" si="200"/>
        <v>0</v>
      </c>
      <c r="D3262" s="60">
        <f>COUNTIF($K$7:K3262,K3262)</f>
        <v>0</v>
      </c>
      <c r="E3262" s="61"/>
      <c r="F3262" s="232">
        <v>44624</v>
      </c>
      <c r="G3262" s="232"/>
      <c r="H3262" s="61" t="s">
        <v>1228</v>
      </c>
      <c r="I3262" s="79" t="s">
        <v>555</v>
      </c>
      <c r="J3262" s="67">
        <v>111.03</v>
      </c>
      <c r="K3262" s="65"/>
      <c r="L3262" s="224">
        <v>45100000</v>
      </c>
      <c r="M3262" s="223"/>
      <c r="N3262" s="223"/>
      <c r="O3262" s="61"/>
      <c r="P3262" s="69" t="str">
        <f t="shared" si="201"/>
        <v>BCA 8607</v>
      </c>
      <c r="Q3262" s="61"/>
    </row>
    <row r="3263" spans="1:17" hidden="1" x14ac:dyDescent="0.25">
      <c r="A3263" s="60" t="str">
        <f t="shared" si="199"/>
        <v>141111,03</v>
      </c>
      <c r="B3263" s="60">
        <f>COUNTIF($J$7:J3263,J3263)</f>
        <v>141</v>
      </c>
      <c r="C3263" s="60" t="str">
        <f t="shared" si="200"/>
        <v>0</v>
      </c>
      <c r="D3263" s="60">
        <f>COUNTIF($K$7:K3263,K3263)</f>
        <v>0</v>
      </c>
      <c r="E3263" s="61"/>
      <c r="F3263" s="232">
        <v>44624</v>
      </c>
      <c r="G3263" s="232"/>
      <c r="H3263" s="61" t="s">
        <v>1228</v>
      </c>
      <c r="I3263" s="79" t="s">
        <v>1776</v>
      </c>
      <c r="J3263" s="67">
        <v>111.03</v>
      </c>
      <c r="K3263" s="65"/>
      <c r="L3263" s="224">
        <v>3019500</v>
      </c>
      <c r="M3263" s="223"/>
      <c r="N3263" s="223"/>
      <c r="O3263" s="61"/>
      <c r="P3263" s="69" t="str">
        <f t="shared" si="201"/>
        <v>BCA 8607</v>
      </c>
      <c r="Q3263" s="61"/>
    </row>
    <row r="3264" spans="1:17" hidden="1" x14ac:dyDescent="0.25">
      <c r="A3264" s="60" t="str">
        <f t="shared" si="199"/>
        <v>142111,03</v>
      </c>
      <c r="B3264" s="60">
        <f>COUNTIF($J$7:J3264,J3264)</f>
        <v>142</v>
      </c>
      <c r="C3264" s="60" t="str">
        <f t="shared" si="200"/>
        <v>0</v>
      </c>
      <c r="D3264" s="60">
        <f>COUNTIF($K$7:K3264,K3264)</f>
        <v>0</v>
      </c>
      <c r="E3264" s="61"/>
      <c r="F3264" s="232">
        <v>44624</v>
      </c>
      <c r="G3264" s="232"/>
      <c r="H3264" s="61" t="s">
        <v>1228</v>
      </c>
      <c r="I3264" s="79" t="s">
        <v>1776</v>
      </c>
      <c r="J3264" s="67">
        <v>111.03</v>
      </c>
      <c r="K3264" s="65"/>
      <c r="L3264" s="224">
        <v>902000</v>
      </c>
      <c r="M3264" s="223"/>
      <c r="N3264" s="223"/>
      <c r="O3264" s="61"/>
      <c r="P3264" s="69" t="str">
        <f t="shared" si="201"/>
        <v>BCA 8607</v>
      </c>
      <c r="Q3264" s="61"/>
    </row>
    <row r="3265" spans="1:17" hidden="1" x14ac:dyDescent="0.25">
      <c r="A3265" s="60" t="str">
        <f t="shared" si="199"/>
        <v>143111,03</v>
      </c>
      <c r="B3265" s="60">
        <f>COUNTIF($J$7:J3265,J3265)</f>
        <v>143</v>
      </c>
      <c r="C3265" s="60" t="str">
        <f t="shared" si="200"/>
        <v>0</v>
      </c>
      <c r="D3265" s="60">
        <f>COUNTIF($K$7:K3265,K3265)</f>
        <v>0</v>
      </c>
      <c r="E3265" s="61"/>
      <c r="F3265" s="232">
        <v>44627</v>
      </c>
      <c r="G3265" s="232"/>
      <c r="H3265" s="61" t="s">
        <v>1228</v>
      </c>
      <c r="I3265" s="79" t="s">
        <v>1777</v>
      </c>
      <c r="J3265" s="67">
        <v>111.03</v>
      </c>
      <c r="K3265" s="65"/>
      <c r="L3265" s="224">
        <v>10557100</v>
      </c>
      <c r="M3265" s="223"/>
      <c r="N3265" s="223"/>
      <c r="O3265" s="61"/>
      <c r="P3265" s="69" t="str">
        <f t="shared" si="201"/>
        <v>BCA 8607</v>
      </c>
      <c r="Q3265" s="61"/>
    </row>
    <row r="3266" spans="1:17" hidden="1" x14ac:dyDescent="0.25">
      <c r="A3266" s="60" t="str">
        <f t="shared" si="199"/>
        <v>144111,03</v>
      </c>
      <c r="B3266" s="60">
        <f>COUNTIF($J$7:J3266,J3266)</f>
        <v>144</v>
      </c>
      <c r="C3266" s="60" t="str">
        <f t="shared" si="200"/>
        <v>0</v>
      </c>
      <c r="D3266" s="60">
        <f>COUNTIF($K$7:K3266,K3266)</f>
        <v>0</v>
      </c>
      <c r="E3266" s="61"/>
      <c r="F3266" s="232">
        <v>44624</v>
      </c>
      <c r="G3266" s="232"/>
      <c r="H3266" s="61" t="s">
        <v>1228</v>
      </c>
      <c r="I3266" s="63" t="s">
        <v>1778</v>
      </c>
      <c r="J3266" s="67">
        <v>111.03</v>
      </c>
      <c r="K3266" s="65"/>
      <c r="L3266" s="224">
        <v>97614000</v>
      </c>
      <c r="M3266" s="223"/>
      <c r="N3266" s="223"/>
      <c r="O3266" s="61"/>
      <c r="P3266" s="69" t="str">
        <f t="shared" si="201"/>
        <v>BCA 8607</v>
      </c>
      <c r="Q3266" s="61"/>
    </row>
    <row r="3267" spans="1:17" hidden="1" x14ac:dyDescent="0.25">
      <c r="A3267" s="60" t="str">
        <f t="shared" si="199"/>
        <v>145111,03</v>
      </c>
      <c r="B3267" s="60">
        <f>COUNTIF($J$7:J3267,J3267)</f>
        <v>145</v>
      </c>
      <c r="C3267" s="60" t="str">
        <f t="shared" si="200"/>
        <v>0</v>
      </c>
      <c r="D3267" s="60">
        <f>COUNTIF($K$7:K3267,K3267)</f>
        <v>0</v>
      </c>
      <c r="E3267" s="61"/>
      <c r="F3267" s="232">
        <v>44627</v>
      </c>
      <c r="G3267" s="232"/>
      <c r="H3267" s="61" t="s">
        <v>1228</v>
      </c>
      <c r="I3267" s="63" t="s">
        <v>1246</v>
      </c>
      <c r="J3267" s="67">
        <v>111.03</v>
      </c>
      <c r="K3267" s="65"/>
      <c r="L3267" s="224">
        <v>22000000</v>
      </c>
      <c r="M3267" s="223"/>
      <c r="N3267" s="223"/>
      <c r="O3267" s="61"/>
      <c r="P3267" s="69" t="str">
        <f t="shared" si="201"/>
        <v>BCA 8607</v>
      </c>
      <c r="Q3267" s="61"/>
    </row>
    <row r="3268" spans="1:17" hidden="1" x14ac:dyDescent="0.25">
      <c r="A3268" s="60" t="str">
        <f t="shared" si="199"/>
        <v>146111,03</v>
      </c>
      <c r="B3268" s="60">
        <f>COUNTIF($J$7:J3268,J3268)</f>
        <v>146</v>
      </c>
      <c r="C3268" s="60" t="str">
        <f t="shared" si="200"/>
        <v>0</v>
      </c>
      <c r="D3268" s="60">
        <f>COUNTIF($K$7:K3268,K3268)</f>
        <v>0</v>
      </c>
      <c r="E3268" s="61"/>
      <c r="F3268" s="232">
        <v>44627</v>
      </c>
      <c r="G3268" s="232"/>
      <c r="H3268" s="61" t="s">
        <v>1228</v>
      </c>
      <c r="I3268" s="79" t="s">
        <v>1779</v>
      </c>
      <c r="J3268" s="67">
        <v>111.03</v>
      </c>
      <c r="K3268" s="65"/>
      <c r="L3268" s="224">
        <v>80000000</v>
      </c>
      <c r="M3268" s="223"/>
      <c r="N3268" s="223"/>
      <c r="O3268" s="61"/>
      <c r="P3268" s="69" t="str">
        <f t="shared" si="201"/>
        <v>BCA 8607</v>
      </c>
      <c r="Q3268" s="61"/>
    </row>
    <row r="3269" spans="1:17" hidden="1" x14ac:dyDescent="0.25">
      <c r="A3269" s="60" t="str">
        <f t="shared" si="199"/>
        <v>147111,03</v>
      </c>
      <c r="B3269" s="60">
        <f>COUNTIF($J$7:J3269,J3269)</f>
        <v>147</v>
      </c>
      <c r="C3269" s="60" t="str">
        <f t="shared" si="200"/>
        <v>0</v>
      </c>
      <c r="D3269" s="60">
        <f>COUNTIF($K$7:K3269,K3269)</f>
        <v>0</v>
      </c>
      <c r="E3269" s="61"/>
      <c r="F3269" s="232">
        <v>44628</v>
      </c>
      <c r="G3269" s="232"/>
      <c r="H3269" s="61" t="s">
        <v>1228</v>
      </c>
      <c r="I3269" s="63" t="s">
        <v>1780</v>
      </c>
      <c r="J3269" s="67">
        <v>111.03</v>
      </c>
      <c r="K3269" s="65"/>
      <c r="L3269" s="224">
        <v>37240500</v>
      </c>
      <c r="M3269" s="223"/>
      <c r="N3269" s="223"/>
      <c r="O3269" s="61"/>
      <c r="P3269" s="69" t="str">
        <f t="shared" si="201"/>
        <v>BCA 8607</v>
      </c>
      <c r="Q3269" s="61"/>
    </row>
    <row r="3270" spans="1:17" hidden="1" x14ac:dyDescent="0.25">
      <c r="A3270" s="60" t="str">
        <f t="shared" si="199"/>
        <v>148111,03</v>
      </c>
      <c r="B3270" s="60">
        <f>COUNTIF($J$7:J3270,J3270)</f>
        <v>148</v>
      </c>
      <c r="C3270" s="60" t="str">
        <f t="shared" si="200"/>
        <v>0</v>
      </c>
      <c r="D3270" s="60">
        <f>COUNTIF($K$7:K3270,K3270)</f>
        <v>0</v>
      </c>
      <c r="E3270" s="61"/>
      <c r="F3270" s="232">
        <v>44628</v>
      </c>
      <c r="G3270" s="232"/>
      <c r="H3270" s="61" t="s">
        <v>1228</v>
      </c>
      <c r="I3270" s="63" t="s">
        <v>1781</v>
      </c>
      <c r="J3270" s="67">
        <v>111.03</v>
      </c>
      <c r="K3270" s="65"/>
      <c r="L3270" s="224">
        <v>8976000</v>
      </c>
      <c r="M3270" s="223"/>
      <c r="N3270" s="223"/>
      <c r="O3270" s="61"/>
      <c r="P3270" s="69" t="str">
        <f t="shared" si="201"/>
        <v>BCA 8607</v>
      </c>
      <c r="Q3270" s="61"/>
    </row>
    <row r="3271" spans="1:17" hidden="1" x14ac:dyDescent="0.25">
      <c r="A3271" s="60" t="str">
        <f t="shared" ref="A3271:A3334" si="202">B3271&amp;J3271</f>
        <v>149111,03</v>
      </c>
      <c r="B3271" s="60">
        <f>COUNTIF($J$7:J3271,J3271)</f>
        <v>149</v>
      </c>
      <c r="C3271" s="60" t="str">
        <f t="shared" ref="C3271:C3334" si="203">D3271&amp;K3271</f>
        <v>0</v>
      </c>
      <c r="D3271" s="60">
        <f>COUNTIF($K$7:K3271,K3271)</f>
        <v>0</v>
      </c>
      <c r="E3271" s="61"/>
      <c r="F3271" s="232">
        <v>44628</v>
      </c>
      <c r="G3271" s="232"/>
      <c r="H3271" s="61" t="s">
        <v>1228</v>
      </c>
      <c r="I3271" s="79" t="s">
        <v>1782</v>
      </c>
      <c r="J3271" s="67">
        <v>111.03</v>
      </c>
      <c r="K3271" s="65"/>
      <c r="L3271" s="224">
        <v>1772905</v>
      </c>
      <c r="M3271" s="223"/>
      <c r="N3271" s="223"/>
      <c r="O3271" s="61"/>
      <c r="P3271" s="69" t="str">
        <f t="shared" ref="P3271:P3334" si="204">IF(J3271=0,"-",+VLOOKUP(J3271,DAF_AKUN,2,FALSE))</f>
        <v>BCA 8607</v>
      </c>
      <c r="Q3271" s="61"/>
    </row>
    <row r="3272" spans="1:17" hidden="1" x14ac:dyDescent="0.25">
      <c r="A3272" s="60" t="str">
        <f t="shared" si="202"/>
        <v>150111,03</v>
      </c>
      <c r="B3272" s="60">
        <f>COUNTIF($J$7:J3272,J3272)</f>
        <v>150</v>
      </c>
      <c r="C3272" s="60" t="str">
        <f t="shared" si="203"/>
        <v>0</v>
      </c>
      <c r="D3272" s="60">
        <f>COUNTIF($K$7:K3272,K3272)</f>
        <v>0</v>
      </c>
      <c r="E3272" s="61"/>
      <c r="F3272" s="232">
        <v>44628</v>
      </c>
      <c r="G3272" s="232"/>
      <c r="H3272" s="61" t="s">
        <v>1228</v>
      </c>
      <c r="I3272" s="79" t="s">
        <v>1783</v>
      </c>
      <c r="J3272" s="67">
        <v>111.03</v>
      </c>
      <c r="K3272" s="65"/>
      <c r="L3272" s="224">
        <v>14256000</v>
      </c>
      <c r="M3272" s="223"/>
      <c r="N3272" s="223"/>
      <c r="O3272" s="61"/>
      <c r="P3272" s="69" t="str">
        <f t="shared" si="204"/>
        <v>BCA 8607</v>
      </c>
      <c r="Q3272" s="61"/>
    </row>
    <row r="3273" spans="1:17" hidden="1" x14ac:dyDescent="0.25">
      <c r="A3273" s="60" t="str">
        <f t="shared" si="202"/>
        <v>151111,03</v>
      </c>
      <c r="B3273" s="60">
        <f>COUNTIF($J$7:J3273,J3273)</f>
        <v>151</v>
      </c>
      <c r="C3273" s="60" t="str">
        <f t="shared" si="203"/>
        <v>0</v>
      </c>
      <c r="D3273" s="60">
        <f>COUNTIF($K$7:K3273,K3273)</f>
        <v>0</v>
      </c>
      <c r="E3273" s="61"/>
      <c r="F3273" s="232">
        <v>44629</v>
      </c>
      <c r="G3273" s="232"/>
      <c r="H3273" s="61" t="s">
        <v>1228</v>
      </c>
      <c r="I3273" s="63" t="s">
        <v>1246</v>
      </c>
      <c r="J3273" s="67">
        <v>111.03</v>
      </c>
      <c r="K3273" s="65"/>
      <c r="L3273" s="224">
        <v>16500000</v>
      </c>
      <c r="M3273" s="223"/>
      <c r="N3273" s="223"/>
      <c r="O3273" s="61"/>
      <c r="P3273" s="69" t="str">
        <f t="shared" si="204"/>
        <v>BCA 8607</v>
      </c>
      <c r="Q3273" s="61"/>
    </row>
    <row r="3274" spans="1:17" hidden="1" x14ac:dyDescent="0.25">
      <c r="A3274" s="60" t="str">
        <f t="shared" si="202"/>
        <v>152111,03</v>
      </c>
      <c r="B3274" s="60">
        <f>COUNTIF($J$7:J3274,J3274)</f>
        <v>152</v>
      </c>
      <c r="C3274" s="60" t="str">
        <f t="shared" si="203"/>
        <v>0</v>
      </c>
      <c r="D3274" s="60">
        <f>COUNTIF($K$7:K3274,K3274)</f>
        <v>0</v>
      </c>
      <c r="E3274" s="61"/>
      <c r="F3274" s="232">
        <v>44629</v>
      </c>
      <c r="G3274" s="232"/>
      <c r="H3274" s="61" t="s">
        <v>1228</v>
      </c>
      <c r="I3274" s="79" t="s">
        <v>1784</v>
      </c>
      <c r="J3274" s="67">
        <v>111.03</v>
      </c>
      <c r="K3274" s="65"/>
      <c r="L3274" s="224">
        <v>13464000</v>
      </c>
      <c r="M3274" s="223"/>
      <c r="N3274" s="223"/>
      <c r="O3274" s="61"/>
      <c r="P3274" s="69" t="str">
        <f t="shared" si="204"/>
        <v>BCA 8607</v>
      </c>
      <c r="Q3274" s="61"/>
    </row>
    <row r="3275" spans="1:17" hidden="1" x14ac:dyDescent="0.25">
      <c r="A3275" s="60" t="str">
        <f t="shared" si="202"/>
        <v>153111,03</v>
      </c>
      <c r="B3275" s="60">
        <f>COUNTIF($J$7:J3275,J3275)</f>
        <v>153</v>
      </c>
      <c r="C3275" s="60" t="str">
        <f t="shared" si="203"/>
        <v>0</v>
      </c>
      <c r="D3275" s="60">
        <f>COUNTIF($K$7:K3275,K3275)</f>
        <v>0</v>
      </c>
      <c r="E3275" s="61"/>
      <c r="F3275" s="232">
        <v>44630</v>
      </c>
      <c r="G3275" s="232"/>
      <c r="H3275" s="61" t="s">
        <v>1228</v>
      </c>
      <c r="I3275" s="63" t="s">
        <v>1785</v>
      </c>
      <c r="J3275" s="67">
        <v>111.03</v>
      </c>
      <c r="K3275" s="65"/>
      <c r="L3275" s="224">
        <v>4262500</v>
      </c>
      <c r="M3275" s="223"/>
      <c r="N3275" s="223"/>
      <c r="O3275" s="61"/>
      <c r="P3275" s="69" t="str">
        <f t="shared" si="204"/>
        <v>BCA 8607</v>
      </c>
      <c r="Q3275" s="61"/>
    </row>
    <row r="3276" spans="1:17" hidden="1" x14ac:dyDescent="0.25">
      <c r="A3276" s="60" t="str">
        <f t="shared" si="202"/>
        <v>154111,03</v>
      </c>
      <c r="B3276" s="60">
        <f>COUNTIF($J$7:J3276,J3276)</f>
        <v>154</v>
      </c>
      <c r="C3276" s="60" t="str">
        <f t="shared" si="203"/>
        <v>0</v>
      </c>
      <c r="D3276" s="60">
        <f>COUNTIF($K$7:K3276,K3276)</f>
        <v>0</v>
      </c>
      <c r="E3276" s="61"/>
      <c r="F3276" s="232">
        <v>44630</v>
      </c>
      <c r="G3276" s="232"/>
      <c r="H3276" s="61" t="s">
        <v>1228</v>
      </c>
      <c r="I3276" s="63" t="s">
        <v>1786</v>
      </c>
      <c r="J3276" s="67">
        <v>111.03</v>
      </c>
      <c r="K3276" s="65"/>
      <c r="L3276" s="224">
        <v>120000</v>
      </c>
      <c r="M3276" s="223"/>
      <c r="N3276" s="223"/>
      <c r="O3276" s="61"/>
      <c r="P3276" s="69" t="str">
        <f t="shared" si="204"/>
        <v>BCA 8607</v>
      </c>
      <c r="Q3276" s="61"/>
    </row>
    <row r="3277" spans="1:17" hidden="1" x14ac:dyDescent="0.25">
      <c r="A3277" s="60" t="str">
        <f t="shared" si="202"/>
        <v>155111,03</v>
      </c>
      <c r="B3277" s="60">
        <f>COUNTIF($J$7:J3277,J3277)</f>
        <v>155</v>
      </c>
      <c r="C3277" s="60" t="str">
        <f t="shared" si="203"/>
        <v>0</v>
      </c>
      <c r="D3277" s="60">
        <f>COUNTIF($K$7:K3277,K3277)</f>
        <v>0</v>
      </c>
      <c r="E3277" s="61"/>
      <c r="F3277" s="232">
        <v>44630</v>
      </c>
      <c r="G3277" s="232"/>
      <c r="H3277" s="61" t="s">
        <v>1228</v>
      </c>
      <c r="I3277" s="63" t="s">
        <v>1246</v>
      </c>
      <c r="J3277" s="67">
        <v>111.03</v>
      </c>
      <c r="K3277" s="65"/>
      <c r="L3277" s="224">
        <v>30000000</v>
      </c>
      <c r="M3277" s="223"/>
      <c r="N3277" s="223"/>
      <c r="O3277" s="61"/>
      <c r="P3277" s="69" t="str">
        <f t="shared" si="204"/>
        <v>BCA 8607</v>
      </c>
      <c r="Q3277" s="61"/>
    </row>
    <row r="3278" spans="1:17" hidden="1" x14ac:dyDescent="0.25">
      <c r="A3278" s="60" t="str">
        <f t="shared" si="202"/>
        <v>156111,03</v>
      </c>
      <c r="B3278" s="60">
        <f>COUNTIF($J$7:J3278,J3278)</f>
        <v>156</v>
      </c>
      <c r="C3278" s="60" t="str">
        <f t="shared" si="203"/>
        <v>0</v>
      </c>
      <c r="D3278" s="60">
        <f>COUNTIF($K$7:K3278,K3278)</f>
        <v>0</v>
      </c>
      <c r="E3278" s="61"/>
      <c r="F3278" s="232">
        <v>44630</v>
      </c>
      <c r="G3278" s="232"/>
      <c r="H3278" s="61" t="s">
        <v>1228</v>
      </c>
      <c r="I3278" s="63" t="s">
        <v>1787</v>
      </c>
      <c r="J3278" s="67">
        <v>111.03</v>
      </c>
      <c r="K3278" s="65"/>
      <c r="L3278" s="224">
        <v>10106250</v>
      </c>
      <c r="M3278" s="223"/>
      <c r="N3278" s="223"/>
      <c r="O3278" s="61"/>
      <c r="P3278" s="69" t="str">
        <f t="shared" si="204"/>
        <v>BCA 8607</v>
      </c>
      <c r="Q3278" s="61"/>
    </row>
    <row r="3279" spans="1:17" hidden="1" x14ac:dyDescent="0.25">
      <c r="A3279" s="60" t="str">
        <f t="shared" si="202"/>
        <v>157111,03</v>
      </c>
      <c r="B3279" s="60">
        <f>COUNTIF($J$7:J3279,J3279)</f>
        <v>157</v>
      </c>
      <c r="C3279" s="60" t="str">
        <f t="shared" si="203"/>
        <v>0</v>
      </c>
      <c r="D3279" s="60">
        <f>COUNTIF($K$7:K3279,K3279)</f>
        <v>0</v>
      </c>
      <c r="E3279" s="61"/>
      <c r="F3279" s="232">
        <v>44630</v>
      </c>
      <c r="G3279" s="232"/>
      <c r="H3279" s="61" t="s">
        <v>1228</v>
      </c>
      <c r="I3279" s="79" t="s">
        <v>1788</v>
      </c>
      <c r="J3279" s="67">
        <v>111.03</v>
      </c>
      <c r="K3279" s="65"/>
      <c r="L3279" s="224">
        <v>3465000</v>
      </c>
      <c r="M3279" s="223"/>
      <c r="N3279" s="223"/>
      <c r="O3279" s="61"/>
      <c r="P3279" s="69" t="str">
        <f t="shared" si="204"/>
        <v>BCA 8607</v>
      </c>
      <c r="Q3279" s="61"/>
    </row>
    <row r="3280" spans="1:17" hidden="1" x14ac:dyDescent="0.25">
      <c r="A3280" s="60" t="str">
        <f t="shared" si="202"/>
        <v>639112</v>
      </c>
      <c r="B3280" s="60">
        <f>COUNTIF($J$7:J3280,J3280)</f>
        <v>639</v>
      </c>
      <c r="C3280" s="60" t="str">
        <f t="shared" si="203"/>
        <v>18112,35</v>
      </c>
      <c r="D3280" s="60">
        <f>COUNTIF($K$7:K3280,K3280)</f>
        <v>18</v>
      </c>
      <c r="E3280" s="61"/>
      <c r="F3280" s="232">
        <v>44621</v>
      </c>
      <c r="G3280" s="164" t="s">
        <v>149</v>
      </c>
      <c r="H3280" s="61" t="s">
        <v>1228</v>
      </c>
      <c r="I3280" s="63" t="s">
        <v>504</v>
      </c>
      <c r="J3280" s="265">
        <v>112</v>
      </c>
      <c r="K3280" s="80">
        <v>112.35</v>
      </c>
      <c r="L3280" s="224"/>
      <c r="M3280" s="223">
        <v>6720000</v>
      </c>
      <c r="N3280" s="223"/>
      <c r="O3280" s="61"/>
      <c r="P3280" s="69" t="str">
        <f t="shared" si="204"/>
        <v>Piutang Usaha</v>
      </c>
      <c r="Q3280" s="61"/>
    </row>
    <row r="3281" spans="1:17" hidden="1" x14ac:dyDescent="0.25">
      <c r="A3281" s="60" t="str">
        <f t="shared" si="202"/>
        <v>640112</v>
      </c>
      <c r="B3281" s="60">
        <f>COUNTIF($J$7:J3281,J3281)</f>
        <v>640</v>
      </c>
      <c r="C3281" s="60" t="str">
        <f t="shared" si="203"/>
        <v>70112,02</v>
      </c>
      <c r="D3281" s="60">
        <f>COUNTIF($K$7:K3281,K3281)</f>
        <v>70</v>
      </c>
      <c r="E3281" s="61"/>
      <c r="F3281" s="232">
        <v>44621</v>
      </c>
      <c r="G3281" s="164" t="s">
        <v>149</v>
      </c>
      <c r="H3281" s="61" t="s">
        <v>1228</v>
      </c>
      <c r="I3281" s="63" t="s">
        <v>1246</v>
      </c>
      <c r="J3281" s="265">
        <v>112</v>
      </c>
      <c r="K3281" s="296">
        <v>112.02</v>
      </c>
      <c r="L3281" s="224"/>
      <c r="M3281" s="223">
        <v>15000000</v>
      </c>
      <c r="N3281" s="223"/>
      <c r="O3281" s="61"/>
      <c r="P3281" s="69" t="str">
        <f t="shared" si="204"/>
        <v>Piutang Usaha</v>
      </c>
      <c r="Q3281" s="61"/>
    </row>
    <row r="3282" spans="1:17" hidden="1" x14ac:dyDescent="0.25">
      <c r="A3282" s="60" t="str">
        <f t="shared" si="202"/>
        <v>641112</v>
      </c>
      <c r="B3282" s="60">
        <f>COUNTIF($J$7:J3282,J3282)</f>
        <v>641</v>
      </c>
      <c r="C3282" s="60" t="str">
        <f t="shared" si="203"/>
        <v>95112,06</v>
      </c>
      <c r="D3282" s="60">
        <f>COUNTIF($K$7:K3282,K3282)</f>
        <v>95</v>
      </c>
      <c r="E3282" s="61"/>
      <c r="F3282" s="232">
        <v>44621</v>
      </c>
      <c r="G3282" s="164" t="s">
        <v>149</v>
      </c>
      <c r="H3282" s="61" t="s">
        <v>1228</v>
      </c>
      <c r="I3282" s="63" t="s">
        <v>1770</v>
      </c>
      <c r="J3282" s="265">
        <v>112</v>
      </c>
      <c r="K3282" s="80">
        <v>112.06</v>
      </c>
      <c r="L3282" s="224"/>
      <c r="M3282" s="223">
        <v>19206000</v>
      </c>
      <c r="N3282" s="223"/>
      <c r="O3282" s="61"/>
      <c r="P3282" s="69" t="str">
        <f t="shared" si="204"/>
        <v>Piutang Usaha</v>
      </c>
      <c r="Q3282" s="61"/>
    </row>
    <row r="3283" spans="1:17" hidden="1" x14ac:dyDescent="0.25">
      <c r="A3283" s="60" t="str">
        <f t="shared" si="202"/>
        <v>71511,03</v>
      </c>
      <c r="B3283" s="60">
        <f>COUNTIF($J$7:J3283,J3283)</f>
        <v>71</v>
      </c>
      <c r="C3283" s="60" t="str">
        <f t="shared" si="203"/>
        <v>0</v>
      </c>
      <c r="D3283" s="60">
        <f>COUNTIF($K$7:K3283,K3283)</f>
        <v>0</v>
      </c>
      <c r="E3283" s="61"/>
      <c r="F3283" s="232">
        <v>44621</v>
      </c>
      <c r="G3283" s="232"/>
      <c r="H3283" s="61" t="s">
        <v>1228</v>
      </c>
      <c r="I3283" s="63" t="s">
        <v>1771</v>
      </c>
      <c r="J3283" s="64">
        <v>511.03</v>
      </c>
      <c r="K3283" s="65"/>
      <c r="L3283" s="224"/>
      <c r="M3283" s="223">
        <v>324000</v>
      </c>
      <c r="N3283" s="223"/>
      <c r="O3283" s="61"/>
      <c r="P3283" s="69" t="str">
        <f t="shared" si="204"/>
        <v>Biaya Pengiriman Barang Ekspedisi</v>
      </c>
      <c r="Q3283" s="61"/>
    </row>
    <row r="3284" spans="1:17" hidden="1" x14ac:dyDescent="0.25">
      <c r="A3284" s="60" t="str">
        <f t="shared" si="202"/>
        <v>72511,03</v>
      </c>
      <c r="B3284" s="60">
        <f>COUNTIF($J$7:J3284,J3284)</f>
        <v>72</v>
      </c>
      <c r="C3284" s="60" t="str">
        <f t="shared" si="203"/>
        <v>0</v>
      </c>
      <c r="D3284" s="60">
        <f>COUNTIF($K$7:K3284,K3284)</f>
        <v>0</v>
      </c>
      <c r="E3284" s="61"/>
      <c r="F3284" s="232">
        <v>44621</v>
      </c>
      <c r="G3284" s="232"/>
      <c r="H3284" s="61" t="s">
        <v>1228</v>
      </c>
      <c r="I3284" s="63" t="s">
        <v>1771</v>
      </c>
      <c r="J3284" s="64">
        <v>511.03</v>
      </c>
      <c r="K3284" s="65"/>
      <c r="L3284" s="224"/>
      <c r="M3284" s="223">
        <v>240000</v>
      </c>
      <c r="N3284" s="223"/>
      <c r="O3284" s="61"/>
      <c r="P3284" s="69" t="str">
        <f t="shared" si="204"/>
        <v>Biaya Pengiriman Barang Ekspedisi</v>
      </c>
      <c r="Q3284" s="61"/>
    </row>
    <row r="3285" spans="1:17" hidden="1" x14ac:dyDescent="0.25">
      <c r="A3285" s="60" t="str">
        <f t="shared" si="202"/>
        <v>642112</v>
      </c>
      <c r="B3285" s="60">
        <f>COUNTIF($J$7:J3285,J3285)</f>
        <v>642</v>
      </c>
      <c r="C3285" s="60" t="str">
        <f t="shared" si="203"/>
        <v>96112,06</v>
      </c>
      <c r="D3285" s="60">
        <f>COUNTIF($K$7:K3285,K3285)</f>
        <v>96</v>
      </c>
      <c r="E3285" s="61"/>
      <c r="F3285" s="232">
        <v>44621</v>
      </c>
      <c r="G3285" s="164" t="s">
        <v>149</v>
      </c>
      <c r="H3285" s="61" t="s">
        <v>1228</v>
      </c>
      <c r="I3285" s="63" t="s">
        <v>1772</v>
      </c>
      <c r="J3285" s="265">
        <v>112</v>
      </c>
      <c r="K3285" s="80">
        <v>112.06</v>
      </c>
      <c r="L3285" s="224"/>
      <c r="M3285" s="223">
        <v>6737500</v>
      </c>
      <c r="N3285" s="223"/>
      <c r="O3285" s="61"/>
      <c r="P3285" s="69" t="str">
        <f t="shared" si="204"/>
        <v>Piutang Usaha</v>
      </c>
      <c r="Q3285" s="61"/>
    </row>
    <row r="3286" spans="1:17" hidden="1" x14ac:dyDescent="0.25">
      <c r="A3286" s="60" t="str">
        <f t="shared" si="202"/>
        <v>643112</v>
      </c>
      <c r="B3286" s="60">
        <f>COUNTIF($J$7:J3286,J3286)</f>
        <v>643</v>
      </c>
      <c r="C3286" s="60" t="str">
        <f t="shared" si="203"/>
        <v>97112,06</v>
      </c>
      <c r="D3286" s="60">
        <f>COUNTIF($K$7:K3286,K3286)</f>
        <v>97</v>
      </c>
      <c r="E3286" s="61"/>
      <c r="F3286" s="232">
        <v>44622</v>
      </c>
      <c r="G3286" s="164" t="s">
        <v>149</v>
      </c>
      <c r="H3286" s="61" t="s">
        <v>1228</v>
      </c>
      <c r="I3286" s="63" t="s">
        <v>1773</v>
      </c>
      <c r="J3286" s="265">
        <v>112</v>
      </c>
      <c r="K3286" s="80">
        <v>112.06</v>
      </c>
      <c r="L3286" s="224"/>
      <c r="M3286" s="223">
        <v>2887500</v>
      </c>
      <c r="N3286" s="223"/>
      <c r="O3286" s="61"/>
      <c r="P3286" s="69" t="str">
        <f t="shared" si="204"/>
        <v>Piutang Usaha</v>
      </c>
      <c r="Q3286" s="61"/>
    </row>
    <row r="3287" spans="1:17" hidden="1" x14ac:dyDescent="0.25">
      <c r="A3287" s="60" t="str">
        <f t="shared" si="202"/>
        <v>644112</v>
      </c>
      <c r="B3287" s="60">
        <f>COUNTIF($J$7:J3287,J3287)</f>
        <v>644</v>
      </c>
      <c r="C3287" s="60" t="str">
        <f t="shared" si="203"/>
        <v>71112,02</v>
      </c>
      <c r="D3287" s="60">
        <f>COUNTIF($K$7:K3287,K3287)</f>
        <v>71</v>
      </c>
      <c r="E3287" s="61"/>
      <c r="F3287" s="232">
        <v>44622</v>
      </c>
      <c r="G3287" s="164" t="s">
        <v>149</v>
      </c>
      <c r="H3287" s="61" t="s">
        <v>1228</v>
      </c>
      <c r="I3287" s="63" t="s">
        <v>1246</v>
      </c>
      <c r="J3287" s="265">
        <v>112</v>
      </c>
      <c r="K3287" s="296">
        <v>112.02</v>
      </c>
      <c r="L3287" s="224"/>
      <c r="M3287" s="223">
        <v>16000000</v>
      </c>
      <c r="N3287" s="223"/>
      <c r="O3287" s="61"/>
      <c r="P3287" s="69" t="str">
        <f t="shared" si="204"/>
        <v>Piutang Usaha</v>
      </c>
      <c r="Q3287" s="61"/>
    </row>
    <row r="3288" spans="1:17" hidden="1" x14ac:dyDescent="0.25">
      <c r="A3288" s="60" t="str">
        <f t="shared" si="202"/>
        <v>645112</v>
      </c>
      <c r="B3288" s="60">
        <f>COUNTIF($J$7:J3288,J3288)</f>
        <v>645</v>
      </c>
      <c r="C3288" s="60" t="str">
        <f t="shared" si="203"/>
        <v>3112,71</v>
      </c>
      <c r="D3288" s="60">
        <f>COUNTIF($K$7:K3288,K3288)</f>
        <v>3</v>
      </c>
      <c r="E3288" s="61"/>
      <c r="F3288" s="232">
        <v>44622</v>
      </c>
      <c r="G3288" s="164" t="s">
        <v>149</v>
      </c>
      <c r="H3288" s="61" t="s">
        <v>1228</v>
      </c>
      <c r="I3288" s="79" t="s">
        <v>1774</v>
      </c>
      <c r="J3288" s="265">
        <v>112</v>
      </c>
      <c r="K3288" s="80">
        <v>112.71</v>
      </c>
      <c r="L3288" s="224"/>
      <c r="M3288" s="223">
        <v>1210000</v>
      </c>
      <c r="N3288" s="223"/>
      <c r="O3288" s="61"/>
      <c r="P3288" s="69" t="str">
        <f t="shared" si="204"/>
        <v>Piutang Usaha</v>
      </c>
      <c r="Q3288" s="61"/>
    </row>
    <row r="3289" spans="1:17" hidden="1" x14ac:dyDescent="0.25">
      <c r="A3289" s="60" t="str">
        <f t="shared" si="202"/>
        <v>646112</v>
      </c>
      <c r="B3289" s="60">
        <f>COUNTIF($J$7:J3289,J3289)</f>
        <v>646</v>
      </c>
      <c r="C3289" s="60" t="str">
        <f t="shared" si="203"/>
        <v>7112,31</v>
      </c>
      <c r="D3289" s="60">
        <f>COUNTIF($K$7:K3289,K3289)</f>
        <v>7</v>
      </c>
      <c r="E3289" s="61"/>
      <c r="F3289" s="232">
        <v>44624</v>
      </c>
      <c r="G3289" s="164" t="s">
        <v>149</v>
      </c>
      <c r="H3289" s="61" t="s">
        <v>1228</v>
      </c>
      <c r="I3289" s="79" t="s">
        <v>1775</v>
      </c>
      <c r="J3289" s="265">
        <v>112</v>
      </c>
      <c r="K3289" s="80">
        <v>112.31</v>
      </c>
      <c r="L3289" s="224"/>
      <c r="M3289" s="223">
        <v>4840000</v>
      </c>
      <c r="N3289" s="223"/>
      <c r="O3289" s="61"/>
      <c r="P3289" s="69" t="str">
        <f t="shared" si="204"/>
        <v>Piutang Usaha</v>
      </c>
      <c r="Q3289" s="61"/>
    </row>
    <row r="3290" spans="1:17" hidden="1" x14ac:dyDescent="0.25">
      <c r="A3290" s="60" t="str">
        <f t="shared" si="202"/>
        <v>647112</v>
      </c>
      <c r="B3290" s="60">
        <f>COUNTIF($J$7:J3290,J3290)</f>
        <v>647</v>
      </c>
      <c r="C3290" s="60" t="str">
        <f t="shared" si="203"/>
        <v>106112,01</v>
      </c>
      <c r="D3290" s="60">
        <f>COUNTIF($K$7:K3290,K3290)</f>
        <v>106</v>
      </c>
      <c r="E3290" s="61"/>
      <c r="F3290" s="232">
        <v>44624</v>
      </c>
      <c r="G3290" s="164" t="s">
        <v>149</v>
      </c>
      <c r="H3290" s="61" t="s">
        <v>1228</v>
      </c>
      <c r="I3290" s="79" t="s">
        <v>555</v>
      </c>
      <c r="J3290" s="265">
        <v>112</v>
      </c>
      <c r="K3290" s="296">
        <v>112.01</v>
      </c>
      <c r="L3290" s="224"/>
      <c r="M3290" s="223">
        <v>45100000</v>
      </c>
      <c r="N3290" s="223"/>
      <c r="O3290" s="61"/>
      <c r="P3290" s="69" t="str">
        <f t="shared" si="204"/>
        <v>Piutang Usaha</v>
      </c>
      <c r="Q3290" s="61"/>
    </row>
    <row r="3291" spans="1:17" hidden="1" x14ac:dyDescent="0.25">
      <c r="A3291" s="60" t="str">
        <f t="shared" si="202"/>
        <v>648112</v>
      </c>
      <c r="B3291" s="60">
        <f>COUNTIF($J$7:J3291,J3291)</f>
        <v>648</v>
      </c>
      <c r="C3291" s="60" t="str">
        <f t="shared" si="203"/>
        <v>107112,01</v>
      </c>
      <c r="D3291" s="60">
        <f>COUNTIF($K$7:K3291,K3291)</f>
        <v>107</v>
      </c>
      <c r="E3291" s="61"/>
      <c r="F3291" s="232">
        <v>44624</v>
      </c>
      <c r="G3291" s="164" t="s">
        <v>149</v>
      </c>
      <c r="H3291" s="61" t="s">
        <v>1228</v>
      </c>
      <c r="I3291" s="79" t="s">
        <v>1776</v>
      </c>
      <c r="J3291" s="265">
        <v>112</v>
      </c>
      <c r="K3291" s="296">
        <v>112.01</v>
      </c>
      <c r="L3291" s="224"/>
      <c r="M3291" s="223">
        <v>3019500</v>
      </c>
      <c r="N3291" s="223"/>
      <c r="O3291" s="61"/>
      <c r="P3291" s="69" t="str">
        <f t="shared" si="204"/>
        <v>Piutang Usaha</v>
      </c>
      <c r="Q3291" s="61"/>
    </row>
    <row r="3292" spans="1:17" hidden="1" x14ac:dyDescent="0.25">
      <c r="A3292" s="60" t="str">
        <f t="shared" si="202"/>
        <v>649112</v>
      </c>
      <c r="B3292" s="60">
        <f>COUNTIF($J$7:J3292,J3292)</f>
        <v>649</v>
      </c>
      <c r="C3292" s="60" t="str">
        <f t="shared" si="203"/>
        <v>108112,01</v>
      </c>
      <c r="D3292" s="60">
        <f>COUNTIF($K$7:K3292,K3292)</f>
        <v>108</v>
      </c>
      <c r="E3292" s="61"/>
      <c r="F3292" s="232">
        <v>44624</v>
      </c>
      <c r="G3292" s="164" t="s">
        <v>149</v>
      </c>
      <c r="H3292" s="61" t="s">
        <v>1228</v>
      </c>
      <c r="I3292" s="79" t="s">
        <v>1776</v>
      </c>
      <c r="J3292" s="265">
        <v>112</v>
      </c>
      <c r="K3292" s="296">
        <v>112.01</v>
      </c>
      <c r="L3292" s="224"/>
      <c r="M3292" s="223">
        <v>902000</v>
      </c>
      <c r="N3292" s="223"/>
      <c r="O3292" s="61"/>
      <c r="P3292" s="69" t="str">
        <f t="shared" si="204"/>
        <v>Piutang Usaha</v>
      </c>
      <c r="Q3292" s="61"/>
    </row>
    <row r="3293" spans="1:17" hidden="1" x14ac:dyDescent="0.25">
      <c r="A3293" s="60" t="str">
        <f t="shared" si="202"/>
        <v>650112</v>
      </c>
      <c r="B3293" s="60">
        <f>COUNTIF($J$7:J3293,J3293)</f>
        <v>650</v>
      </c>
      <c r="C3293" s="60" t="str">
        <f t="shared" si="203"/>
        <v>9112,64</v>
      </c>
      <c r="D3293" s="60">
        <f>COUNTIF($K$7:K3293,K3293)</f>
        <v>9</v>
      </c>
      <c r="E3293" s="61"/>
      <c r="F3293" s="232">
        <v>44627</v>
      </c>
      <c r="G3293" s="164" t="s">
        <v>149</v>
      </c>
      <c r="H3293" s="61" t="s">
        <v>1228</v>
      </c>
      <c r="I3293" s="79" t="s">
        <v>1777</v>
      </c>
      <c r="J3293" s="265">
        <v>112</v>
      </c>
      <c r="K3293" s="80">
        <v>112.64</v>
      </c>
      <c r="L3293" s="224"/>
      <c r="M3293" s="223">
        <v>10557100</v>
      </c>
      <c r="N3293" s="223"/>
      <c r="O3293" s="61"/>
      <c r="P3293" s="69" t="str">
        <f t="shared" si="204"/>
        <v>Piutang Usaha</v>
      </c>
      <c r="Q3293" s="61"/>
    </row>
    <row r="3294" spans="1:17" hidden="1" x14ac:dyDescent="0.25">
      <c r="A3294" s="60" t="str">
        <f t="shared" si="202"/>
        <v>651112</v>
      </c>
      <c r="B3294" s="60">
        <f>COUNTIF($J$7:J3294,J3294)</f>
        <v>651</v>
      </c>
      <c r="C3294" s="60" t="str">
        <f t="shared" si="203"/>
        <v>39112,43</v>
      </c>
      <c r="D3294" s="60">
        <f>COUNTIF($K$7:K3294,K3294)</f>
        <v>39</v>
      </c>
      <c r="E3294" s="61"/>
      <c r="F3294" s="232">
        <v>44624</v>
      </c>
      <c r="G3294" s="164" t="s">
        <v>149</v>
      </c>
      <c r="H3294" s="61" t="s">
        <v>1228</v>
      </c>
      <c r="I3294" s="63" t="s">
        <v>1778</v>
      </c>
      <c r="J3294" s="265">
        <v>112</v>
      </c>
      <c r="K3294" s="80">
        <v>112.43</v>
      </c>
      <c r="L3294" s="224"/>
      <c r="M3294" s="223">
        <v>97614000</v>
      </c>
      <c r="N3294" s="223"/>
      <c r="O3294" s="61"/>
      <c r="P3294" s="69" t="str">
        <f t="shared" si="204"/>
        <v>Piutang Usaha</v>
      </c>
      <c r="Q3294" s="61"/>
    </row>
    <row r="3295" spans="1:17" hidden="1" x14ac:dyDescent="0.25">
      <c r="A3295" s="60" t="str">
        <f t="shared" si="202"/>
        <v>652112</v>
      </c>
      <c r="B3295" s="60">
        <f>COUNTIF($J$7:J3295,J3295)</f>
        <v>652</v>
      </c>
      <c r="C3295" s="60" t="str">
        <f t="shared" si="203"/>
        <v>72112,02</v>
      </c>
      <c r="D3295" s="60">
        <f>COUNTIF($K$7:K3295,K3295)</f>
        <v>72</v>
      </c>
      <c r="E3295" s="61"/>
      <c r="F3295" s="232">
        <v>44627</v>
      </c>
      <c r="G3295" s="164" t="s">
        <v>149</v>
      </c>
      <c r="H3295" s="61" t="s">
        <v>1228</v>
      </c>
      <c r="I3295" s="63" t="s">
        <v>1246</v>
      </c>
      <c r="J3295" s="265">
        <v>112</v>
      </c>
      <c r="K3295" s="296">
        <v>112.02</v>
      </c>
      <c r="L3295" s="224"/>
      <c r="M3295" s="223">
        <v>22000000</v>
      </c>
      <c r="N3295" s="223"/>
      <c r="O3295" s="61"/>
      <c r="P3295" s="69" t="str">
        <f t="shared" si="204"/>
        <v>Piutang Usaha</v>
      </c>
      <c r="Q3295" s="61"/>
    </row>
    <row r="3296" spans="1:17" hidden="1" x14ac:dyDescent="0.25">
      <c r="A3296" s="60" t="str">
        <f t="shared" si="202"/>
        <v>653112</v>
      </c>
      <c r="B3296" s="60">
        <f>COUNTIF($J$7:J3296,J3296)</f>
        <v>653</v>
      </c>
      <c r="C3296" s="60" t="str">
        <f t="shared" si="203"/>
        <v>109112,01</v>
      </c>
      <c r="D3296" s="60">
        <f>COUNTIF($K$7:K3296,K3296)</f>
        <v>109</v>
      </c>
      <c r="E3296" s="61"/>
      <c r="F3296" s="232">
        <v>44627</v>
      </c>
      <c r="G3296" s="164" t="s">
        <v>149</v>
      </c>
      <c r="H3296" s="61" t="s">
        <v>1228</v>
      </c>
      <c r="I3296" s="79" t="s">
        <v>1779</v>
      </c>
      <c r="J3296" s="265">
        <v>112</v>
      </c>
      <c r="K3296" s="296">
        <v>112.01</v>
      </c>
      <c r="L3296" s="224"/>
      <c r="M3296" s="223">
        <v>80000000</v>
      </c>
      <c r="N3296" s="223"/>
      <c r="O3296" s="61"/>
      <c r="P3296" s="69" t="str">
        <f t="shared" si="204"/>
        <v>Piutang Usaha</v>
      </c>
      <c r="Q3296" s="61"/>
    </row>
    <row r="3297" spans="1:17" hidden="1" x14ac:dyDescent="0.25">
      <c r="A3297" s="60" t="str">
        <f t="shared" si="202"/>
        <v>654112</v>
      </c>
      <c r="B3297" s="60">
        <f>COUNTIF($J$7:J3297,J3297)</f>
        <v>654</v>
      </c>
      <c r="C3297" s="60" t="str">
        <f t="shared" si="203"/>
        <v>98112,06</v>
      </c>
      <c r="D3297" s="60">
        <f>COUNTIF($K$7:K3297,K3297)</f>
        <v>98</v>
      </c>
      <c r="E3297" s="61"/>
      <c r="F3297" s="232">
        <v>44628</v>
      </c>
      <c r="G3297" s="164" t="s">
        <v>149</v>
      </c>
      <c r="H3297" s="61" t="s">
        <v>1228</v>
      </c>
      <c r="I3297" s="63" t="s">
        <v>1780</v>
      </c>
      <c r="J3297" s="265">
        <v>112</v>
      </c>
      <c r="K3297" s="80">
        <v>112.06</v>
      </c>
      <c r="L3297" s="224"/>
      <c r="M3297" s="223">
        <v>37240500</v>
      </c>
      <c r="N3297" s="223"/>
      <c r="O3297" s="61"/>
      <c r="P3297" s="69" t="str">
        <f t="shared" si="204"/>
        <v>Piutang Usaha</v>
      </c>
      <c r="Q3297" s="61"/>
    </row>
    <row r="3298" spans="1:17" hidden="1" x14ac:dyDescent="0.25">
      <c r="A3298" s="60" t="str">
        <f t="shared" si="202"/>
        <v>655112</v>
      </c>
      <c r="B3298" s="60">
        <f>COUNTIF($J$7:J3298,J3298)</f>
        <v>655</v>
      </c>
      <c r="C3298" s="60" t="str">
        <f t="shared" si="203"/>
        <v>2112,72</v>
      </c>
      <c r="D3298" s="60">
        <f>COUNTIF($K$7:K3298,K3298)</f>
        <v>2</v>
      </c>
      <c r="E3298" s="61"/>
      <c r="F3298" s="232">
        <v>44628</v>
      </c>
      <c r="G3298" s="164" t="s">
        <v>149</v>
      </c>
      <c r="H3298" s="61" t="s">
        <v>1228</v>
      </c>
      <c r="I3298" s="63" t="s">
        <v>1781</v>
      </c>
      <c r="J3298" s="265">
        <v>112</v>
      </c>
      <c r="K3298" s="80">
        <v>112.72</v>
      </c>
      <c r="L3298" s="224"/>
      <c r="M3298" s="223">
        <v>8976000</v>
      </c>
      <c r="N3298" s="223"/>
      <c r="O3298" s="61"/>
      <c r="P3298" s="69" t="str">
        <f t="shared" si="204"/>
        <v>Piutang Usaha</v>
      </c>
      <c r="Q3298" s="61"/>
    </row>
    <row r="3299" spans="1:17" hidden="1" x14ac:dyDescent="0.25">
      <c r="A3299" s="60" t="str">
        <f t="shared" si="202"/>
        <v>73511,03</v>
      </c>
      <c r="B3299" s="60">
        <f>COUNTIF($J$7:J3299,J3299)</f>
        <v>73</v>
      </c>
      <c r="C3299" s="60" t="str">
        <f t="shared" si="203"/>
        <v>0</v>
      </c>
      <c r="D3299" s="60">
        <f>COUNTIF($K$7:K3299,K3299)</f>
        <v>0</v>
      </c>
      <c r="E3299" s="61"/>
      <c r="F3299" s="232">
        <v>44628</v>
      </c>
      <c r="G3299" s="232"/>
      <c r="H3299" s="61" t="s">
        <v>1228</v>
      </c>
      <c r="I3299" s="79" t="s">
        <v>1782</v>
      </c>
      <c r="J3299" s="64">
        <v>511.03</v>
      </c>
      <c r="K3299" s="65"/>
      <c r="L3299" s="224"/>
      <c r="M3299" s="223">
        <v>1772905</v>
      </c>
      <c r="N3299" s="223"/>
      <c r="O3299" s="61"/>
      <c r="P3299" s="69" t="str">
        <f t="shared" si="204"/>
        <v>Biaya Pengiriman Barang Ekspedisi</v>
      </c>
      <c r="Q3299" s="61"/>
    </row>
    <row r="3300" spans="1:17" hidden="1" x14ac:dyDescent="0.25">
      <c r="A3300" s="60" t="str">
        <f t="shared" si="202"/>
        <v>656112</v>
      </c>
      <c r="B3300" s="60">
        <f>COUNTIF($J$7:J3300,J3300)</f>
        <v>656</v>
      </c>
      <c r="C3300" s="60" t="str">
        <f t="shared" si="203"/>
        <v>6112,67</v>
      </c>
      <c r="D3300" s="60">
        <f>COUNTIF($K$7:K3300,K3300)</f>
        <v>6</v>
      </c>
      <c r="E3300" s="61"/>
      <c r="F3300" s="232">
        <v>44628</v>
      </c>
      <c r="G3300" s="164" t="s">
        <v>149</v>
      </c>
      <c r="H3300" s="61" t="s">
        <v>1228</v>
      </c>
      <c r="I3300" s="79" t="s">
        <v>1783</v>
      </c>
      <c r="J3300" s="265">
        <v>112</v>
      </c>
      <c r="K3300" s="80">
        <v>112.67</v>
      </c>
      <c r="L3300" s="224"/>
      <c r="M3300" s="223">
        <v>14256000</v>
      </c>
      <c r="N3300" s="223"/>
      <c r="O3300" s="61"/>
      <c r="P3300" s="69" t="str">
        <f t="shared" si="204"/>
        <v>Piutang Usaha</v>
      </c>
      <c r="Q3300" s="61"/>
    </row>
    <row r="3301" spans="1:17" hidden="1" x14ac:dyDescent="0.25">
      <c r="A3301" s="60" t="str">
        <f t="shared" si="202"/>
        <v>657112</v>
      </c>
      <c r="B3301" s="60">
        <f>COUNTIF($J$7:J3301,J3301)</f>
        <v>657</v>
      </c>
      <c r="C3301" s="60" t="str">
        <f t="shared" si="203"/>
        <v>73112,02</v>
      </c>
      <c r="D3301" s="60">
        <f>COUNTIF($K$7:K3301,K3301)</f>
        <v>73</v>
      </c>
      <c r="E3301" s="61"/>
      <c r="F3301" s="232">
        <v>44629</v>
      </c>
      <c r="G3301" s="164" t="s">
        <v>149</v>
      </c>
      <c r="H3301" s="61" t="s">
        <v>1228</v>
      </c>
      <c r="I3301" s="63" t="s">
        <v>1246</v>
      </c>
      <c r="J3301" s="265">
        <v>112</v>
      </c>
      <c r="K3301" s="296">
        <v>112.02</v>
      </c>
      <c r="L3301" s="224"/>
      <c r="M3301" s="223">
        <v>16500000</v>
      </c>
      <c r="N3301" s="223"/>
      <c r="O3301" s="61"/>
      <c r="P3301" s="69" t="str">
        <f t="shared" si="204"/>
        <v>Piutang Usaha</v>
      </c>
      <c r="Q3301" s="61"/>
    </row>
    <row r="3302" spans="1:17" hidden="1" x14ac:dyDescent="0.25">
      <c r="A3302" s="60" t="str">
        <f t="shared" si="202"/>
        <v>658112</v>
      </c>
      <c r="B3302" s="60">
        <f>COUNTIF($J$7:J3302,J3302)</f>
        <v>658</v>
      </c>
      <c r="C3302" s="60" t="str">
        <f t="shared" si="203"/>
        <v>40112,43</v>
      </c>
      <c r="D3302" s="60">
        <f>COUNTIF($K$7:K3302,K3302)</f>
        <v>40</v>
      </c>
      <c r="E3302" s="61"/>
      <c r="F3302" s="232">
        <v>44629</v>
      </c>
      <c r="G3302" s="164" t="s">
        <v>149</v>
      </c>
      <c r="H3302" s="61" t="s">
        <v>1228</v>
      </c>
      <c r="I3302" s="79" t="s">
        <v>1784</v>
      </c>
      <c r="J3302" s="265">
        <v>112</v>
      </c>
      <c r="K3302" s="80">
        <v>112.43</v>
      </c>
      <c r="L3302" s="224"/>
      <c r="M3302" s="223">
        <v>13464000</v>
      </c>
      <c r="N3302" s="223"/>
      <c r="O3302" s="61"/>
      <c r="P3302" s="69" t="str">
        <f t="shared" si="204"/>
        <v>Piutang Usaha</v>
      </c>
      <c r="Q3302" s="61"/>
    </row>
    <row r="3303" spans="1:17" hidden="1" x14ac:dyDescent="0.25">
      <c r="A3303" s="60" t="str">
        <f t="shared" si="202"/>
        <v>659112</v>
      </c>
      <c r="B3303" s="60">
        <f>COUNTIF($J$7:J3303,J3303)</f>
        <v>659</v>
      </c>
      <c r="C3303" s="60" t="str">
        <f t="shared" si="203"/>
        <v>17112,07</v>
      </c>
      <c r="D3303" s="60">
        <f>COUNTIF($K$7:K3303,K3303)</f>
        <v>17</v>
      </c>
      <c r="E3303" s="61"/>
      <c r="F3303" s="232">
        <v>44630</v>
      </c>
      <c r="G3303" s="164" t="s">
        <v>149</v>
      </c>
      <c r="H3303" s="61" t="s">
        <v>1228</v>
      </c>
      <c r="I3303" s="63" t="s">
        <v>1785</v>
      </c>
      <c r="J3303" s="265">
        <v>112</v>
      </c>
      <c r="K3303" s="80">
        <v>112.07</v>
      </c>
      <c r="L3303" s="224"/>
      <c r="M3303" s="223">
        <v>4262500</v>
      </c>
      <c r="N3303" s="223"/>
      <c r="O3303" s="61"/>
      <c r="P3303" s="69" t="str">
        <f t="shared" si="204"/>
        <v>Piutang Usaha</v>
      </c>
      <c r="Q3303" s="61"/>
    </row>
    <row r="3304" spans="1:17" hidden="1" x14ac:dyDescent="0.25">
      <c r="A3304" s="60" t="str">
        <f t="shared" si="202"/>
        <v>74511,03</v>
      </c>
      <c r="B3304" s="60">
        <f>COUNTIF($J$7:J3304,J3304)</f>
        <v>74</v>
      </c>
      <c r="C3304" s="60" t="str">
        <f t="shared" si="203"/>
        <v>0</v>
      </c>
      <c r="D3304" s="60">
        <f>COUNTIF($K$7:K3304,K3304)</f>
        <v>0</v>
      </c>
      <c r="E3304" s="61"/>
      <c r="F3304" s="232">
        <v>44630</v>
      </c>
      <c r="G3304" s="232"/>
      <c r="H3304" s="61" t="s">
        <v>1228</v>
      </c>
      <c r="I3304" s="63" t="s">
        <v>1786</v>
      </c>
      <c r="J3304" s="64">
        <v>511.03</v>
      </c>
      <c r="K3304" s="65"/>
      <c r="L3304" s="224"/>
      <c r="M3304" s="223">
        <v>120000</v>
      </c>
      <c r="N3304" s="223"/>
      <c r="O3304" s="61"/>
      <c r="P3304" s="69" t="str">
        <f t="shared" si="204"/>
        <v>Biaya Pengiriman Barang Ekspedisi</v>
      </c>
      <c r="Q3304" s="61"/>
    </row>
    <row r="3305" spans="1:17" hidden="1" x14ac:dyDescent="0.25">
      <c r="A3305" s="60" t="str">
        <f t="shared" si="202"/>
        <v>660112</v>
      </c>
      <c r="B3305" s="60">
        <f>COUNTIF($J$7:J3305,J3305)</f>
        <v>660</v>
      </c>
      <c r="C3305" s="60" t="str">
        <f t="shared" si="203"/>
        <v>74112,02</v>
      </c>
      <c r="D3305" s="60">
        <f>COUNTIF($K$7:K3305,K3305)</f>
        <v>74</v>
      </c>
      <c r="E3305" s="61"/>
      <c r="F3305" s="232">
        <v>44630</v>
      </c>
      <c r="G3305" s="164" t="s">
        <v>149</v>
      </c>
      <c r="H3305" s="61" t="s">
        <v>1228</v>
      </c>
      <c r="I3305" s="63" t="s">
        <v>1246</v>
      </c>
      <c r="J3305" s="265">
        <v>112</v>
      </c>
      <c r="K3305" s="296">
        <v>112.02</v>
      </c>
      <c r="L3305" s="224"/>
      <c r="M3305" s="223">
        <v>30000000</v>
      </c>
      <c r="N3305" s="223"/>
      <c r="O3305" s="61"/>
      <c r="P3305" s="69" t="str">
        <f t="shared" si="204"/>
        <v>Piutang Usaha</v>
      </c>
      <c r="Q3305" s="61"/>
    </row>
    <row r="3306" spans="1:17" hidden="1" x14ac:dyDescent="0.25">
      <c r="A3306" s="60" t="str">
        <f t="shared" si="202"/>
        <v>661112</v>
      </c>
      <c r="B3306" s="60">
        <f>COUNTIF($J$7:J3306,J3306)</f>
        <v>661</v>
      </c>
      <c r="C3306" s="60" t="str">
        <f t="shared" si="203"/>
        <v>99112,06</v>
      </c>
      <c r="D3306" s="60">
        <f>COUNTIF($K$7:K3306,K3306)</f>
        <v>99</v>
      </c>
      <c r="E3306" s="61"/>
      <c r="F3306" s="232">
        <v>44630</v>
      </c>
      <c r="G3306" s="164" t="s">
        <v>149</v>
      </c>
      <c r="H3306" s="61" t="s">
        <v>1228</v>
      </c>
      <c r="I3306" s="63" t="s">
        <v>1787</v>
      </c>
      <c r="J3306" s="265">
        <v>112</v>
      </c>
      <c r="K3306" s="80">
        <v>112.06</v>
      </c>
      <c r="L3306" s="224"/>
      <c r="M3306" s="223">
        <v>10106250</v>
      </c>
      <c r="N3306" s="223"/>
      <c r="O3306" s="61"/>
      <c r="P3306" s="69" t="str">
        <f t="shared" si="204"/>
        <v>Piutang Usaha</v>
      </c>
      <c r="Q3306" s="61"/>
    </row>
    <row r="3307" spans="1:17" hidden="1" x14ac:dyDescent="0.25">
      <c r="A3307" s="60" t="str">
        <f t="shared" si="202"/>
        <v>662112</v>
      </c>
      <c r="B3307" s="60">
        <f>COUNTIF($J$7:J3307,J3307)</f>
        <v>662</v>
      </c>
      <c r="C3307" s="60" t="str">
        <f t="shared" si="203"/>
        <v>100112,06</v>
      </c>
      <c r="D3307" s="60">
        <f>COUNTIF($K$7:K3307,K3307)</f>
        <v>100</v>
      </c>
      <c r="E3307" s="61"/>
      <c r="F3307" s="232">
        <v>44630</v>
      </c>
      <c r="G3307" s="164" t="s">
        <v>149</v>
      </c>
      <c r="H3307" s="61" t="s">
        <v>1228</v>
      </c>
      <c r="I3307" s="79" t="s">
        <v>1788</v>
      </c>
      <c r="J3307" s="265">
        <v>112</v>
      </c>
      <c r="K3307" s="80">
        <v>112.06</v>
      </c>
      <c r="L3307" s="224"/>
      <c r="M3307" s="223">
        <v>3465000</v>
      </c>
      <c r="N3307" s="223"/>
      <c r="O3307" s="61"/>
      <c r="P3307" s="69" t="str">
        <f t="shared" si="204"/>
        <v>Piutang Usaha</v>
      </c>
      <c r="Q3307" s="61"/>
    </row>
    <row r="3308" spans="1:17" ht="28.5" hidden="1" x14ac:dyDescent="0.25">
      <c r="A3308" s="60" t="str">
        <f t="shared" si="202"/>
        <v>13210,01</v>
      </c>
      <c r="B3308" s="60">
        <f>COUNTIF($J$7:J3308,J3308)</f>
        <v>13</v>
      </c>
      <c r="C3308" s="60" t="str">
        <f t="shared" si="203"/>
        <v>2210,01,48</v>
      </c>
      <c r="D3308" s="60">
        <f>COUNTIF($K$7:K3308,K3308)</f>
        <v>2</v>
      </c>
      <c r="E3308" s="61"/>
      <c r="F3308" s="232">
        <v>44631</v>
      </c>
      <c r="G3308" s="164"/>
      <c r="H3308" s="61" t="s">
        <v>1228</v>
      </c>
      <c r="I3308" s="297" t="s">
        <v>1789</v>
      </c>
      <c r="J3308" s="233">
        <v>210.01</v>
      </c>
      <c r="K3308" s="80" t="s">
        <v>158</v>
      </c>
      <c r="L3308" s="282">
        <v>64582425.599999994</v>
      </c>
      <c r="M3308" s="223"/>
      <c r="N3308" s="223"/>
      <c r="O3308" s="247">
        <f>4480*14320</f>
        <v>64153600</v>
      </c>
      <c r="P3308" s="69" t="str">
        <f t="shared" si="204"/>
        <v>Hutang Usaha</v>
      </c>
      <c r="Q3308" s="61"/>
    </row>
    <row r="3309" spans="1:17" ht="30" hidden="1" x14ac:dyDescent="0.25">
      <c r="A3309" s="60" t="str">
        <f t="shared" si="202"/>
        <v>7810,04</v>
      </c>
      <c r="B3309" s="60">
        <f>COUNTIF($J$7:J3309,J3309)</f>
        <v>7</v>
      </c>
      <c r="C3309" s="60" t="str">
        <f t="shared" si="203"/>
        <v>0</v>
      </c>
      <c r="D3309" s="60">
        <f>COUNTIF($K$7:K3309,K3309)</f>
        <v>0</v>
      </c>
      <c r="E3309" s="61"/>
      <c r="F3309" s="232">
        <v>44631</v>
      </c>
      <c r="G3309" s="164"/>
      <c r="H3309" s="61" t="s">
        <v>1228</v>
      </c>
      <c r="I3309" s="230" t="s">
        <v>1790</v>
      </c>
      <c r="J3309" s="61">
        <v>810.04</v>
      </c>
      <c r="K3309" s="80"/>
      <c r="L3309" s="224"/>
      <c r="M3309" s="223">
        <f>L3308+L3310-M3311</f>
        <v>428825.59999999404</v>
      </c>
      <c r="N3309" s="223"/>
      <c r="O3309" s="224">
        <v>64582425.599999994</v>
      </c>
      <c r="P3309" s="69" t="str">
        <f t="shared" si="204"/>
        <v>Selisih kurs</v>
      </c>
      <c r="Q3309" s="61"/>
    </row>
    <row r="3310" spans="1:17" ht="30" hidden="1" x14ac:dyDescent="0.25">
      <c r="A3310" s="60" t="str">
        <f t="shared" si="202"/>
        <v>96810,01</v>
      </c>
      <c r="B3310" s="60">
        <f>COUNTIF($J$7:J3310,J3310)</f>
        <v>96</v>
      </c>
      <c r="C3310" s="60" t="str">
        <f t="shared" si="203"/>
        <v>0</v>
      </c>
      <c r="D3310" s="60">
        <f>COUNTIF($K$7:K3310,K3310)</f>
        <v>0</v>
      </c>
      <c r="E3310" s="61"/>
      <c r="F3310" s="232">
        <v>44631</v>
      </c>
      <c r="G3310" s="164"/>
      <c r="H3310" s="61" t="s">
        <v>1228</v>
      </c>
      <c r="I3310" s="230" t="s">
        <v>1791</v>
      </c>
      <c r="J3310" s="67">
        <v>810.01</v>
      </c>
      <c r="K3310" s="80"/>
      <c r="L3310" s="224">
        <v>50000</v>
      </c>
      <c r="M3310" s="223"/>
      <c r="N3310" s="223"/>
      <c r="O3310" s="264">
        <f>O3309-O3308</f>
        <v>428825.59999999404</v>
      </c>
      <c r="P3310" s="69" t="str">
        <f t="shared" si="204"/>
        <v>Biaya Admin Transfer dan Rek</v>
      </c>
      <c r="Q3310" s="61"/>
    </row>
    <row r="3311" spans="1:17" ht="30" hidden="1" x14ac:dyDescent="0.25">
      <c r="A3311" s="60" t="str">
        <f t="shared" si="202"/>
        <v>158111,03</v>
      </c>
      <c r="B3311" s="60">
        <f>COUNTIF($J$7:J3311,J3311)</f>
        <v>158</v>
      </c>
      <c r="C3311" s="60" t="str">
        <f t="shared" si="203"/>
        <v>0</v>
      </c>
      <c r="D3311" s="60">
        <f>COUNTIF($K$7:K3311,K3311)</f>
        <v>0</v>
      </c>
      <c r="E3311" s="61"/>
      <c r="F3311" s="232">
        <v>44631</v>
      </c>
      <c r="G3311" s="164"/>
      <c r="H3311" s="61" t="s">
        <v>1228</v>
      </c>
      <c r="I3311" s="230" t="s">
        <v>1789</v>
      </c>
      <c r="J3311" s="67">
        <v>111.03</v>
      </c>
      <c r="K3311" s="80"/>
      <c r="L3311" s="224"/>
      <c r="M3311" s="247">
        <f>64203600</f>
        <v>64203600</v>
      </c>
      <c r="N3311" s="247"/>
      <c r="O3311" s="264"/>
      <c r="P3311" s="69" t="str">
        <f t="shared" si="204"/>
        <v>BCA 8607</v>
      </c>
      <c r="Q3311" s="61"/>
    </row>
    <row r="3312" spans="1:17" ht="28.5" hidden="1" x14ac:dyDescent="0.25">
      <c r="A3312" s="60" t="str">
        <f t="shared" si="202"/>
        <v>14210,01</v>
      </c>
      <c r="B3312" s="60">
        <f>COUNTIF($J$7:J3312,J3312)</f>
        <v>14</v>
      </c>
      <c r="C3312" s="60" t="str">
        <f t="shared" si="203"/>
        <v>2210,01,49</v>
      </c>
      <c r="D3312" s="60">
        <f>COUNTIF($K$7:K3312,K3312)</f>
        <v>2</v>
      </c>
      <c r="E3312" s="61"/>
      <c r="F3312" s="232">
        <v>44631</v>
      </c>
      <c r="G3312" s="164"/>
      <c r="H3312" s="61" t="s">
        <v>1228</v>
      </c>
      <c r="I3312" s="297" t="s">
        <v>1792</v>
      </c>
      <c r="J3312" s="233">
        <v>210.01</v>
      </c>
      <c r="K3312" s="80" t="s">
        <v>924</v>
      </c>
      <c r="L3312" s="282">
        <v>770602712</v>
      </c>
      <c r="M3312" s="224"/>
      <c r="N3312" s="224"/>
      <c r="O3312" s="264"/>
      <c r="P3312" s="69" t="str">
        <f t="shared" si="204"/>
        <v>Hutang Usaha</v>
      </c>
      <c r="Q3312" s="61"/>
    </row>
    <row r="3313" spans="1:17" ht="30" hidden="1" x14ac:dyDescent="0.25">
      <c r="A3313" s="60" t="str">
        <f t="shared" si="202"/>
        <v>8810,04</v>
      </c>
      <c r="B3313" s="60">
        <f>COUNTIF($J$7:J3313,J3313)</f>
        <v>8</v>
      </c>
      <c r="C3313" s="60" t="str">
        <f t="shared" si="203"/>
        <v>0</v>
      </c>
      <c r="D3313" s="60">
        <f>COUNTIF($K$7:K3313,K3313)</f>
        <v>0</v>
      </c>
      <c r="E3313" s="61"/>
      <c r="F3313" s="232">
        <v>44631</v>
      </c>
      <c r="G3313" s="164"/>
      <c r="H3313" s="61" t="s">
        <v>1228</v>
      </c>
      <c r="I3313" s="230" t="s">
        <v>1793</v>
      </c>
      <c r="J3313" s="67">
        <v>810.04</v>
      </c>
      <c r="K3313" s="80"/>
      <c r="L3313" s="224"/>
      <c r="M3313" s="223">
        <f>L3312+L3314-M3315</f>
        <v>1289352</v>
      </c>
      <c r="N3313" s="223"/>
      <c r="O3313" s="61"/>
      <c r="P3313" s="69" t="str">
        <f t="shared" si="204"/>
        <v>Selisih kurs</v>
      </c>
      <c r="Q3313" s="61"/>
    </row>
    <row r="3314" spans="1:17" ht="30" hidden="1" x14ac:dyDescent="0.25">
      <c r="A3314" s="60" t="str">
        <f t="shared" si="202"/>
        <v>97810,01</v>
      </c>
      <c r="B3314" s="60">
        <f>COUNTIF($J$7:J3314,J3314)</f>
        <v>97</v>
      </c>
      <c r="C3314" s="60" t="str">
        <f t="shared" si="203"/>
        <v>0</v>
      </c>
      <c r="D3314" s="60">
        <f>COUNTIF($K$7:K3314,K3314)</f>
        <v>0</v>
      </c>
      <c r="E3314" s="61"/>
      <c r="F3314" s="232">
        <v>44631</v>
      </c>
      <c r="G3314" s="164"/>
      <c r="H3314" s="61" t="s">
        <v>1228</v>
      </c>
      <c r="I3314" s="230" t="s">
        <v>1794</v>
      </c>
      <c r="J3314" s="67">
        <v>810.01</v>
      </c>
      <c r="K3314" s="80"/>
      <c r="L3314" s="224">
        <v>50000</v>
      </c>
      <c r="M3314" s="223"/>
      <c r="N3314" s="223"/>
      <c r="O3314" s="61"/>
      <c r="P3314" s="69" t="str">
        <f t="shared" si="204"/>
        <v>Biaya Admin Transfer dan Rek</v>
      </c>
      <c r="Q3314" s="61"/>
    </row>
    <row r="3315" spans="1:17" ht="30" hidden="1" x14ac:dyDescent="0.25">
      <c r="A3315" s="60" t="str">
        <f t="shared" si="202"/>
        <v>159111,03</v>
      </c>
      <c r="B3315" s="60">
        <f>COUNTIF($J$7:J3315,J3315)</f>
        <v>159</v>
      </c>
      <c r="C3315" s="60" t="str">
        <f t="shared" si="203"/>
        <v>0</v>
      </c>
      <c r="D3315" s="60">
        <f>COUNTIF($K$7:K3315,K3315)</f>
        <v>0</v>
      </c>
      <c r="E3315" s="61"/>
      <c r="F3315" s="232">
        <v>44631</v>
      </c>
      <c r="G3315" s="164"/>
      <c r="H3315" s="61" t="s">
        <v>1228</v>
      </c>
      <c r="I3315" s="230" t="s">
        <v>1792</v>
      </c>
      <c r="J3315" s="67">
        <v>111.03</v>
      </c>
      <c r="K3315" s="80"/>
      <c r="L3315" s="224"/>
      <c r="M3315" s="223">
        <f>(14320*53723)+50000</f>
        <v>769363360</v>
      </c>
      <c r="N3315" s="223"/>
      <c r="O3315" s="61"/>
      <c r="P3315" s="69" t="str">
        <f t="shared" si="204"/>
        <v>BCA 8607</v>
      </c>
      <c r="Q3315" s="61"/>
    </row>
    <row r="3316" spans="1:17" ht="30" hidden="1" x14ac:dyDescent="0.25">
      <c r="A3316" s="60" t="str">
        <f t="shared" si="202"/>
        <v>15210,01</v>
      </c>
      <c r="B3316" s="60">
        <f>COUNTIF($J$7:J3316,J3316)</f>
        <v>15</v>
      </c>
      <c r="C3316" s="60" t="str">
        <f t="shared" si="203"/>
        <v>2210,01,47</v>
      </c>
      <c r="D3316" s="60">
        <f>COUNTIF($K$7:K3316,K3316)</f>
        <v>2</v>
      </c>
      <c r="E3316" s="61"/>
      <c r="F3316" s="232">
        <v>44631</v>
      </c>
      <c r="G3316" s="164"/>
      <c r="H3316" s="61" t="s">
        <v>1228</v>
      </c>
      <c r="I3316" s="230" t="s">
        <v>1795</v>
      </c>
      <c r="J3316" s="298">
        <v>210.01</v>
      </c>
      <c r="K3316" s="80" t="s">
        <v>155</v>
      </c>
      <c r="L3316" s="282">
        <v>889772912</v>
      </c>
      <c r="M3316" s="223"/>
      <c r="N3316" s="223"/>
      <c r="O3316" s="61"/>
      <c r="P3316" s="69" t="str">
        <f t="shared" si="204"/>
        <v>Hutang Usaha</v>
      </c>
      <c r="Q3316" s="61"/>
    </row>
    <row r="3317" spans="1:17" ht="30" hidden="1" x14ac:dyDescent="0.25">
      <c r="A3317" s="60" t="str">
        <f t="shared" si="202"/>
        <v>98810,01</v>
      </c>
      <c r="B3317" s="60">
        <f>COUNTIF($J$7:J3317,J3317)</f>
        <v>98</v>
      </c>
      <c r="C3317" s="60" t="str">
        <f t="shared" si="203"/>
        <v>0</v>
      </c>
      <c r="D3317" s="60">
        <f>COUNTIF($K$7:K3317,K3317)</f>
        <v>0</v>
      </c>
      <c r="E3317" s="61"/>
      <c r="F3317" s="232">
        <v>44631</v>
      </c>
      <c r="G3317" s="164"/>
      <c r="H3317" s="61" t="s">
        <v>1228</v>
      </c>
      <c r="I3317" s="230" t="s">
        <v>1796</v>
      </c>
      <c r="J3317" s="67">
        <v>810.01</v>
      </c>
      <c r="K3317" s="80"/>
      <c r="L3317" s="224">
        <v>50000</v>
      </c>
      <c r="M3317" s="223"/>
      <c r="N3317" s="223"/>
      <c r="O3317" s="61"/>
      <c r="P3317" s="69" t="str">
        <f t="shared" si="204"/>
        <v>Biaya Admin Transfer dan Rek</v>
      </c>
      <c r="Q3317" s="61"/>
    </row>
    <row r="3318" spans="1:17" ht="30" hidden="1" x14ac:dyDescent="0.25">
      <c r="A3318" s="60" t="str">
        <f t="shared" si="202"/>
        <v>9810,04</v>
      </c>
      <c r="B3318" s="60">
        <f>COUNTIF($J$7:J3318,J3318)</f>
        <v>9</v>
      </c>
      <c r="C3318" s="60" t="str">
        <f t="shared" si="203"/>
        <v>0</v>
      </c>
      <c r="D3318" s="60">
        <f>COUNTIF($K$7:K3318,K3318)</f>
        <v>0</v>
      </c>
      <c r="E3318" s="61"/>
      <c r="F3318" s="232">
        <v>44631</v>
      </c>
      <c r="G3318" s="164"/>
      <c r="H3318" s="61" t="s">
        <v>1228</v>
      </c>
      <c r="I3318" s="230" t="s">
        <v>1797</v>
      </c>
      <c r="J3318" s="67">
        <v>810.04</v>
      </c>
      <c r="K3318" s="80"/>
      <c r="L3318" s="224">
        <v>1618448</v>
      </c>
      <c r="M3318" s="223"/>
      <c r="N3318" s="223"/>
      <c r="O3318" s="61"/>
      <c r="P3318" s="69" t="str">
        <f t="shared" si="204"/>
        <v>Selisih kurs</v>
      </c>
      <c r="Q3318" s="61"/>
    </row>
    <row r="3319" spans="1:17" ht="30" hidden="1" x14ac:dyDescent="0.25">
      <c r="A3319" s="60" t="str">
        <f t="shared" si="202"/>
        <v>160111,03</v>
      </c>
      <c r="B3319" s="60">
        <f>COUNTIF($J$7:J3319,J3319)</f>
        <v>160</v>
      </c>
      <c r="C3319" s="60" t="str">
        <f t="shared" si="203"/>
        <v>0</v>
      </c>
      <c r="D3319" s="60">
        <f>COUNTIF($K$7:K3319,K3319)</f>
        <v>0</v>
      </c>
      <c r="E3319" s="61"/>
      <c r="F3319" s="232">
        <v>44631</v>
      </c>
      <c r="G3319" s="164"/>
      <c r="H3319" s="61" t="s">
        <v>1228</v>
      </c>
      <c r="I3319" s="230" t="s">
        <v>1795</v>
      </c>
      <c r="J3319" s="67">
        <v>111.03</v>
      </c>
      <c r="K3319" s="80"/>
      <c r="L3319" s="224"/>
      <c r="M3319" s="224">
        <f>1725008320-M3311-M3315</f>
        <v>891441360</v>
      </c>
      <c r="N3319" s="224"/>
      <c r="O3319" s="61"/>
      <c r="P3319" s="69" t="str">
        <f t="shared" si="204"/>
        <v>BCA 8607</v>
      </c>
      <c r="Q3319" s="61"/>
    </row>
    <row r="3320" spans="1:17" hidden="1" x14ac:dyDescent="0.25">
      <c r="A3320" s="60" t="str">
        <f t="shared" si="202"/>
        <v>161111,03</v>
      </c>
      <c r="B3320" s="60">
        <f>COUNTIF($J$7:J3320,J3320)</f>
        <v>161</v>
      </c>
      <c r="C3320" s="60" t="str">
        <f t="shared" si="203"/>
        <v>0</v>
      </c>
      <c r="D3320" s="60">
        <f>COUNTIF($K$7:K3320,K3320)</f>
        <v>0</v>
      </c>
      <c r="E3320" s="61"/>
      <c r="F3320" s="232">
        <v>44634</v>
      </c>
      <c r="G3320" s="164"/>
      <c r="H3320" s="61" t="s">
        <v>1228</v>
      </c>
      <c r="I3320" s="230" t="s">
        <v>1798</v>
      </c>
      <c r="J3320" s="67">
        <v>111.03</v>
      </c>
      <c r="K3320" s="80"/>
      <c r="L3320" s="224">
        <v>21202500</v>
      </c>
      <c r="M3320" s="223"/>
      <c r="N3320" s="223"/>
      <c r="O3320" s="61"/>
      <c r="P3320" s="69" t="str">
        <f t="shared" si="204"/>
        <v>BCA 8607</v>
      </c>
      <c r="Q3320" s="61"/>
    </row>
    <row r="3321" spans="1:17" hidden="1" x14ac:dyDescent="0.25">
      <c r="A3321" s="60" t="str">
        <f t="shared" si="202"/>
        <v>663112</v>
      </c>
      <c r="B3321" s="60">
        <f>COUNTIF($J$7:J3321,J3321)</f>
        <v>663</v>
      </c>
      <c r="C3321" s="60" t="str">
        <f t="shared" si="203"/>
        <v>101112,06</v>
      </c>
      <c r="D3321" s="60">
        <f>COUNTIF($K$7:K3321,K3321)</f>
        <v>101</v>
      </c>
      <c r="E3321" s="61"/>
      <c r="F3321" s="232">
        <v>44634</v>
      </c>
      <c r="G3321" s="164" t="s">
        <v>149</v>
      </c>
      <c r="H3321" s="61" t="s">
        <v>1228</v>
      </c>
      <c r="I3321" s="230" t="s">
        <v>1798</v>
      </c>
      <c r="J3321" s="265">
        <v>112</v>
      </c>
      <c r="K3321" s="80">
        <v>112.06</v>
      </c>
      <c r="L3321" s="224"/>
      <c r="M3321" s="224">
        <v>21202500</v>
      </c>
      <c r="N3321" s="224"/>
      <c r="O3321" s="61"/>
      <c r="P3321" s="69" t="str">
        <f t="shared" si="204"/>
        <v>Piutang Usaha</v>
      </c>
      <c r="Q3321" s="61"/>
    </row>
    <row r="3322" spans="1:17" ht="30" hidden="1" x14ac:dyDescent="0.25">
      <c r="A3322" s="60" t="str">
        <f t="shared" si="202"/>
        <v>162111,03</v>
      </c>
      <c r="B3322" s="60">
        <f>COUNTIF($J$7:J3322,J3322)</f>
        <v>162</v>
      </c>
      <c r="C3322" s="60" t="str">
        <f t="shared" si="203"/>
        <v>0</v>
      </c>
      <c r="D3322" s="60">
        <f>COUNTIF($K$7:K3322,K3322)</f>
        <v>0</v>
      </c>
      <c r="E3322" s="61"/>
      <c r="F3322" s="232">
        <v>44634</v>
      </c>
      <c r="G3322" s="164"/>
      <c r="H3322" s="61" t="s">
        <v>1228</v>
      </c>
      <c r="I3322" s="230" t="s">
        <v>1799</v>
      </c>
      <c r="J3322" s="67">
        <v>111.03</v>
      </c>
      <c r="K3322" s="80"/>
      <c r="L3322" s="224">
        <v>8800000</v>
      </c>
      <c r="M3322" s="223"/>
      <c r="N3322" s="223"/>
      <c r="O3322" s="61"/>
      <c r="P3322" s="69" t="str">
        <f t="shared" si="204"/>
        <v>BCA 8607</v>
      </c>
      <c r="Q3322" s="61"/>
    </row>
    <row r="3323" spans="1:17" hidden="1" x14ac:dyDescent="0.25">
      <c r="A3323" s="60" t="str">
        <f t="shared" si="202"/>
        <v>163111,03</v>
      </c>
      <c r="B3323" s="60">
        <f>COUNTIF($J$7:J3323,J3323)</f>
        <v>163</v>
      </c>
      <c r="C3323" s="60" t="str">
        <f t="shared" si="203"/>
        <v>0</v>
      </c>
      <c r="D3323" s="60">
        <f>COUNTIF($K$7:K3323,K3323)</f>
        <v>0</v>
      </c>
      <c r="E3323" s="61"/>
      <c r="F3323" s="232">
        <v>44634</v>
      </c>
      <c r="G3323" s="164"/>
      <c r="H3323" s="61" t="s">
        <v>1228</v>
      </c>
      <c r="I3323" s="230" t="s">
        <v>1800</v>
      </c>
      <c r="J3323" s="67">
        <v>111.03</v>
      </c>
      <c r="K3323" s="80"/>
      <c r="L3323" s="224">
        <v>20000000</v>
      </c>
      <c r="M3323" s="223"/>
      <c r="N3323" s="223"/>
      <c r="O3323" s="61"/>
      <c r="P3323" s="69" t="str">
        <f t="shared" si="204"/>
        <v>BCA 8607</v>
      </c>
      <c r="Q3323" s="61"/>
    </row>
    <row r="3324" spans="1:17" ht="30" hidden="1" x14ac:dyDescent="0.25">
      <c r="A3324" s="60" t="str">
        <f t="shared" si="202"/>
        <v>164111,03</v>
      </c>
      <c r="B3324" s="60">
        <f>COUNTIF($J$7:J3324,J3324)</f>
        <v>164</v>
      </c>
      <c r="C3324" s="60" t="str">
        <f t="shared" si="203"/>
        <v>0</v>
      </c>
      <c r="D3324" s="60">
        <f>COUNTIF($K$7:K3324,K3324)</f>
        <v>0</v>
      </c>
      <c r="E3324" s="61"/>
      <c r="F3324" s="232">
        <v>44635</v>
      </c>
      <c r="G3324" s="164"/>
      <c r="H3324" s="61" t="s">
        <v>1228</v>
      </c>
      <c r="I3324" s="230" t="s">
        <v>1801</v>
      </c>
      <c r="J3324" s="67">
        <v>111.03</v>
      </c>
      <c r="K3324" s="80"/>
      <c r="L3324" s="224">
        <v>10780000</v>
      </c>
      <c r="M3324" s="223"/>
      <c r="N3324" s="223"/>
      <c r="O3324" s="61"/>
      <c r="P3324" s="69" t="str">
        <f t="shared" si="204"/>
        <v>BCA 8607</v>
      </c>
      <c r="Q3324" s="61"/>
    </row>
    <row r="3325" spans="1:17" ht="30" hidden="1" x14ac:dyDescent="0.25">
      <c r="A3325" s="60" t="str">
        <f t="shared" si="202"/>
        <v>165111,03</v>
      </c>
      <c r="B3325" s="60">
        <f>COUNTIF($J$7:J3325,J3325)</f>
        <v>165</v>
      </c>
      <c r="C3325" s="60" t="str">
        <f t="shared" si="203"/>
        <v>0</v>
      </c>
      <c r="D3325" s="60">
        <f>COUNTIF($K$7:K3325,K3325)</f>
        <v>0</v>
      </c>
      <c r="E3325" s="61"/>
      <c r="F3325" s="232">
        <v>44635</v>
      </c>
      <c r="G3325" s="164"/>
      <c r="H3325" s="61" t="s">
        <v>1228</v>
      </c>
      <c r="I3325" s="230" t="s">
        <v>1802</v>
      </c>
      <c r="J3325" s="67">
        <v>111.03</v>
      </c>
      <c r="K3325" s="80"/>
      <c r="L3325" s="224">
        <v>2598750</v>
      </c>
      <c r="M3325" s="223"/>
      <c r="N3325" s="223"/>
      <c r="O3325" s="61"/>
      <c r="P3325" s="69" t="str">
        <f t="shared" si="204"/>
        <v>BCA 8607</v>
      </c>
      <c r="Q3325" s="61"/>
    </row>
    <row r="3326" spans="1:17" hidden="1" x14ac:dyDescent="0.25">
      <c r="A3326" s="60" t="str">
        <f t="shared" si="202"/>
        <v>166111,03</v>
      </c>
      <c r="B3326" s="60">
        <f>COUNTIF($J$7:J3326,J3326)</f>
        <v>166</v>
      </c>
      <c r="C3326" s="60" t="str">
        <f t="shared" si="203"/>
        <v>0</v>
      </c>
      <c r="D3326" s="60">
        <f>COUNTIF($K$7:K3326,K3326)</f>
        <v>0</v>
      </c>
      <c r="E3326" s="61"/>
      <c r="F3326" s="232">
        <v>44635</v>
      </c>
      <c r="G3326" s="164"/>
      <c r="H3326" s="61" t="s">
        <v>1228</v>
      </c>
      <c r="I3326" s="230" t="s">
        <v>1803</v>
      </c>
      <c r="J3326" s="67">
        <v>111.03</v>
      </c>
      <c r="K3326" s="80"/>
      <c r="L3326" s="224">
        <v>1925000</v>
      </c>
      <c r="M3326" s="223"/>
      <c r="N3326" s="223"/>
      <c r="O3326" s="61"/>
      <c r="P3326" s="69" t="str">
        <f t="shared" si="204"/>
        <v>BCA 8607</v>
      </c>
      <c r="Q3326" s="61"/>
    </row>
    <row r="3327" spans="1:17" ht="30" hidden="1" x14ac:dyDescent="0.25">
      <c r="A3327" s="60" t="str">
        <f t="shared" si="202"/>
        <v>167111,03</v>
      </c>
      <c r="B3327" s="60">
        <f>COUNTIF($J$7:J3327,J3327)</f>
        <v>167</v>
      </c>
      <c r="C3327" s="60" t="str">
        <f t="shared" si="203"/>
        <v>0</v>
      </c>
      <c r="D3327" s="60">
        <f>COUNTIF($K$7:K3327,K3327)</f>
        <v>0</v>
      </c>
      <c r="E3327" s="61"/>
      <c r="F3327" s="232">
        <v>44637</v>
      </c>
      <c r="G3327" s="164"/>
      <c r="H3327" s="61" t="s">
        <v>1228</v>
      </c>
      <c r="I3327" s="230" t="s">
        <v>1804</v>
      </c>
      <c r="J3327" s="67">
        <v>111.03</v>
      </c>
      <c r="K3327" s="80"/>
      <c r="L3327" s="224">
        <v>15097500</v>
      </c>
      <c r="M3327" s="223"/>
      <c r="N3327" s="223"/>
      <c r="O3327" s="61"/>
      <c r="P3327" s="69" t="str">
        <f t="shared" si="204"/>
        <v>BCA 8607</v>
      </c>
      <c r="Q3327" s="61"/>
    </row>
    <row r="3328" spans="1:17" hidden="1" x14ac:dyDescent="0.25">
      <c r="A3328" s="60" t="str">
        <f t="shared" si="202"/>
        <v>168111,03</v>
      </c>
      <c r="B3328" s="60">
        <f>COUNTIF($J$7:J3328,J3328)</f>
        <v>168</v>
      </c>
      <c r="C3328" s="60" t="str">
        <f t="shared" si="203"/>
        <v>0</v>
      </c>
      <c r="D3328" s="60">
        <f>COUNTIF($K$7:K3328,K3328)</f>
        <v>0</v>
      </c>
      <c r="E3328" s="61"/>
      <c r="F3328" s="232">
        <v>44638</v>
      </c>
      <c r="G3328" s="164"/>
      <c r="H3328" s="61" t="s">
        <v>1228</v>
      </c>
      <c r="I3328" s="230" t="s">
        <v>1800</v>
      </c>
      <c r="J3328" s="67">
        <v>111.03</v>
      </c>
      <c r="K3328" s="80"/>
      <c r="L3328" s="224">
        <v>30000000</v>
      </c>
      <c r="M3328" s="223"/>
      <c r="N3328" s="223"/>
      <c r="O3328" s="61"/>
      <c r="P3328" s="69" t="str">
        <f t="shared" si="204"/>
        <v>BCA 8607</v>
      </c>
      <c r="Q3328" s="61"/>
    </row>
    <row r="3329" spans="1:17" ht="30" hidden="1" x14ac:dyDescent="0.25">
      <c r="A3329" s="60" t="str">
        <f t="shared" si="202"/>
        <v>169111,03</v>
      </c>
      <c r="B3329" s="60">
        <f>COUNTIF($J$7:J3329,J3329)</f>
        <v>169</v>
      </c>
      <c r="C3329" s="60" t="str">
        <f t="shared" si="203"/>
        <v>0</v>
      </c>
      <c r="D3329" s="60">
        <f>COUNTIF($K$7:K3329,K3329)</f>
        <v>0</v>
      </c>
      <c r="E3329" s="61"/>
      <c r="F3329" s="232">
        <v>44638</v>
      </c>
      <c r="G3329" s="164"/>
      <c r="H3329" s="61" t="s">
        <v>1228</v>
      </c>
      <c r="I3329" s="230" t="s">
        <v>1805</v>
      </c>
      <c r="J3329" s="67">
        <v>111.03</v>
      </c>
      <c r="K3329" s="80"/>
      <c r="L3329" s="224">
        <v>1273998</v>
      </c>
      <c r="M3329" s="223"/>
      <c r="N3329" s="223"/>
      <c r="O3329" s="61"/>
      <c r="P3329" s="69" t="str">
        <f t="shared" si="204"/>
        <v>BCA 8607</v>
      </c>
      <c r="Q3329" s="61"/>
    </row>
    <row r="3330" spans="1:17" hidden="1" x14ac:dyDescent="0.25">
      <c r="A3330" s="60" t="str">
        <f t="shared" si="202"/>
        <v>170111,03</v>
      </c>
      <c r="B3330" s="60">
        <f>COUNTIF($J$7:J3330,J3330)</f>
        <v>170</v>
      </c>
      <c r="C3330" s="60" t="str">
        <f t="shared" si="203"/>
        <v>0</v>
      </c>
      <c r="D3330" s="60">
        <f>COUNTIF($K$7:K3330,K3330)</f>
        <v>0</v>
      </c>
      <c r="E3330" s="61"/>
      <c r="F3330" s="232">
        <v>44638</v>
      </c>
      <c r="G3330" s="164"/>
      <c r="H3330" s="61" t="s">
        <v>1228</v>
      </c>
      <c r="I3330" s="230" t="s">
        <v>476</v>
      </c>
      <c r="J3330" s="67">
        <v>111.03</v>
      </c>
      <c r="K3330" s="80"/>
      <c r="L3330" s="224">
        <v>120000000</v>
      </c>
      <c r="M3330" s="223"/>
      <c r="N3330" s="223"/>
      <c r="O3330" s="61"/>
      <c r="P3330" s="69" t="str">
        <f t="shared" si="204"/>
        <v>BCA 8607</v>
      </c>
      <c r="Q3330" s="61"/>
    </row>
    <row r="3331" spans="1:17" ht="30" hidden="1" x14ac:dyDescent="0.25">
      <c r="A3331" s="60" t="str">
        <f t="shared" si="202"/>
        <v>171111,03</v>
      </c>
      <c r="B3331" s="60">
        <f>COUNTIF($J$7:J3331,J3331)</f>
        <v>171</v>
      </c>
      <c r="C3331" s="60" t="str">
        <f t="shared" si="203"/>
        <v>0</v>
      </c>
      <c r="D3331" s="60">
        <f>COUNTIF($K$7:K3331,K3331)</f>
        <v>0</v>
      </c>
      <c r="E3331" s="61"/>
      <c r="F3331" s="232">
        <v>44638</v>
      </c>
      <c r="G3331" s="164"/>
      <c r="H3331" s="61" t="s">
        <v>1228</v>
      </c>
      <c r="I3331" s="230" t="s">
        <v>1806</v>
      </c>
      <c r="J3331" s="67">
        <v>111.03</v>
      </c>
      <c r="K3331" s="80"/>
      <c r="L3331" s="224">
        <v>9636000</v>
      </c>
      <c r="M3331" s="223"/>
      <c r="N3331" s="223"/>
      <c r="O3331" s="61"/>
      <c r="P3331" s="69" t="str">
        <f t="shared" si="204"/>
        <v>BCA 8607</v>
      </c>
      <c r="Q3331" s="61"/>
    </row>
    <row r="3332" spans="1:17" ht="30" hidden="1" x14ac:dyDescent="0.25">
      <c r="A3332" s="60" t="str">
        <f t="shared" si="202"/>
        <v>172111,03</v>
      </c>
      <c r="B3332" s="60">
        <f>COUNTIF($J$7:J3332,J3332)</f>
        <v>172</v>
      </c>
      <c r="C3332" s="60" t="str">
        <f t="shared" si="203"/>
        <v>0</v>
      </c>
      <c r="D3332" s="60">
        <f>COUNTIF($K$7:K3332,K3332)</f>
        <v>0</v>
      </c>
      <c r="E3332" s="61"/>
      <c r="F3332" s="232">
        <v>44638</v>
      </c>
      <c r="G3332" s="164"/>
      <c r="H3332" s="61" t="s">
        <v>1228</v>
      </c>
      <c r="I3332" s="255" t="s">
        <v>1807</v>
      </c>
      <c r="J3332" s="67">
        <v>111.03</v>
      </c>
      <c r="K3332" s="80"/>
      <c r="L3332" s="224">
        <v>1155000</v>
      </c>
      <c r="M3332" s="223"/>
      <c r="N3332" s="223"/>
      <c r="O3332" s="61"/>
      <c r="P3332" s="69" t="str">
        <f t="shared" si="204"/>
        <v>BCA 8607</v>
      </c>
      <c r="Q3332" s="61"/>
    </row>
    <row r="3333" spans="1:17" hidden="1" x14ac:dyDescent="0.25">
      <c r="A3333" s="60" t="str">
        <f t="shared" si="202"/>
        <v>173111,03</v>
      </c>
      <c r="B3333" s="60">
        <f>COUNTIF($J$7:J3333,J3333)</f>
        <v>173</v>
      </c>
      <c r="C3333" s="60" t="str">
        <f t="shared" si="203"/>
        <v>0</v>
      </c>
      <c r="D3333" s="60">
        <f>COUNTIF($K$7:K3333,K3333)</f>
        <v>0</v>
      </c>
      <c r="E3333" s="61"/>
      <c r="F3333" s="232">
        <v>44638</v>
      </c>
      <c r="G3333" s="164"/>
      <c r="H3333" s="61" t="s">
        <v>1228</v>
      </c>
      <c r="I3333" s="255" t="s">
        <v>1808</v>
      </c>
      <c r="J3333" s="67">
        <v>111.03</v>
      </c>
      <c r="K3333" s="80"/>
      <c r="L3333" s="224">
        <v>6063750</v>
      </c>
      <c r="M3333" s="223"/>
      <c r="N3333" s="223"/>
      <c r="O3333" s="61"/>
      <c r="P3333" s="69" t="str">
        <f t="shared" si="204"/>
        <v>BCA 8607</v>
      </c>
      <c r="Q3333" s="61"/>
    </row>
    <row r="3334" spans="1:17" hidden="1" x14ac:dyDescent="0.25">
      <c r="A3334" s="60" t="str">
        <f t="shared" si="202"/>
        <v>174111,03</v>
      </c>
      <c r="B3334" s="60">
        <f>COUNTIF($J$7:J3334,J3334)</f>
        <v>174</v>
      </c>
      <c r="C3334" s="60" t="str">
        <f t="shared" si="203"/>
        <v>0</v>
      </c>
      <c r="D3334" s="60">
        <f>COUNTIF($K$7:K3334,K3334)</f>
        <v>0</v>
      </c>
      <c r="E3334" s="61"/>
      <c r="F3334" s="232">
        <v>44641</v>
      </c>
      <c r="G3334" s="164"/>
      <c r="H3334" s="61" t="s">
        <v>1228</v>
      </c>
      <c r="I3334" s="255" t="s">
        <v>1809</v>
      </c>
      <c r="J3334" s="67">
        <v>111.03</v>
      </c>
      <c r="K3334" s="80"/>
      <c r="L3334" s="224">
        <v>43477500</v>
      </c>
      <c r="M3334" s="223"/>
      <c r="N3334" s="223"/>
      <c r="O3334" s="61"/>
      <c r="P3334" s="69" t="str">
        <f t="shared" si="204"/>
        <v>BCA 8607</v>
      </c>
      <c r="Q3334" s="61"/>
    </row>
    <row r="3335" spans="1:17" ht="30" hidden="1" x14ac:dyDescent="0.25">
      <c r="A3335" s="60" t="str">
        <f t="shared" ref="A3335:A3398" si="205">B3335&amp;J3335</f>
        <v>175111,03</v>
      </c>
      <c r="B3335" s="60">
        <f>COUNTIF($J$7:J3335,J3335)</f>
        <v>175</v>
      </c>
      <c r="C3335" s="60" t="str">
        <f t="shared" ref="C3335:C3398" si="206">D3335&amp;K3335</f>
        <v>0</v>
      </c>
      <c r="D3335" s="60">
        <f>COUNTIF($K$7:K3335,K3335)</f>
        <v>0</v>
      </c>
      <c r="E3335" s="61"/>
      <c r="F3335" s="232">
        <v>44641</v>
      </c>
      <c r="G3335" s="164"/>
      <c r="H3335" s="61" t="s">
        <v>1228</v>
      </c>
      <c r="I3335" s="255" t="s">
        <v>1810</v>
      </c>
      <c r="J3335" s="67">
        <v>111.03</v>
      </c>
      <c r="K3335" s="80"/>
      <c r="L3335" s="224">
        <v>13200000</v>
      </c>
      <c r="M3335" s="223"/>
      <c r="N3335" s="223"/>
      <c r="O3335" s="61"/>
      <c r="P3335" s="69" t="str">
        <f t="shared" ref="P3335:P3398" si="207">IF(J3335=0,"-",+VLOOKUP(J3335,DAF_AKUN,2,FALSE))</f>
        <v>BCA 8607</v>
      </c>
      <c r="Q3335" s="61"/>
    </row>
    <row r="3336" spans="1:17" hidden="1" x14ac:dyDescent="0.25">
      <c r="A3336" s="60" t="str">
        <f t="shared" si="205"/>
        <v>176111,03</v>
      </c>
      <c r="B3336" s="60">
        <f>COUNTIF($J$7:J3336,J3336)</f>
        <v>176</v>
      </c>
      <c r="C3336" s="60" t="str">
        <f t="shared" si="206"/>
        <v>0</v>
      </c>
      <c r="D3336" s="60">
        <f>COUNTIF($K$7:K3336,K3336)</f>
        <v>0</v>
      </c>
      <c r="E3336" s="61"/>
      <c r="F3336" s="232">
        <v>44641</v>
      </c>
      <c r="G3336" s="164"/>
      <c r="H3336" s="61" t="s">
        <v>1228</v>
      </c>
      <c r="I3336" s="255" t="s">
        <v>1811</v>
      </c>
      <c r="J3336" s="67">
        <v>111.03</v>
      </c>
      <c r="K3336" s="80"/>
      <c r="L3336" s="224">
        <v>4840000</v>
      </c>
      <c r="M3336" s="223"/>
      <c r="N3336" s="223"/>
      <c r="O3336" s="61"/>
      <c r="P3336" s="69" t="str">
        <f t="shared" si="207"/>
        <v>BCA 8607</v>
      </c>
      <c r="Q3336" s="61"/>
    </row>
    <row r="3337" spans="1:17" ht="30" hidden="1" x14ac:dyDescent="0.25">
      <c r="A3337" s="60" t="str">
        <f t="shared" si="205"/>
        <v>177111,03</v>
      </c>
      <c r="B3337" s="60">
        <f>COUNTIF($J$7:J3337,J3337)</f>
        <v>177</v>
      </c>
      <c r="C3337" s="60" t="str">
        <f t="shared" si="206"/>
        <v>0</v>
      </c>
      <c r="D3337" s="60">
        <f>COUNTIF($K$7:K3337,K3337)</f>
        <v>0</v>
      </c>
      <c r="E3337" s="61"/>
      <c r="F3337" s="232">
        <v>44641</v>
      </c>
      <c r="G3337" s="164"/>
      <c r="H3337" s="61" t="s">
        <v>1228</v>
      </c>
      <c r="I3337" s="255" t="s">
        <v>1810</v>
      </c>
      <c r="J3337" s="67">
        <v>111.03</v>
      </c>
      <c r="K3337" s="80"/>
      <c r="L3337" s="224">
        <v>8800000</v>
      </c>
      <c r="M3337" s="223"/>
      <c r="N3337" s="223"/>
      <c r="O3337" s="61"/>
      <c r="P3337" s="69" t="str">
        <f t="shared" si="207"/>
        <v>BCA 8607</v>
      </c>
      <c r="Q3337" s="61"/>
    </row>
    <row r="3338" spans="1:17" hidden="1" x14ac:dyDescent="0.25">
      <c r="A3338" s="60" t="str">
        <f t="shared" si="205"/>
        <v>178111,03</v>
      </c>
      <c r="B3338" s="60">
        <f>COUNTIF($J$7:J3338,J3338)</f>
        <v>178</v>
      </c>
      <c r="C3338" s="60" t="str">
        <f t="shared" si="206"/>
        <v>0</v>
      </c>
      <c r="D3338" s="60">
        <f>COUNTIF($K$7:K3338,K3338)</f>
        <v>0</v>
      </c>
      <c r="E3338" s="61"/>
      <c r="F3338" s="232">
        <v>44642</v>
      </c>
      <c r="G3338" s="164"/>
      <c r="H3338" s="61" t="s">
        <v>1228</v>
      </c>
      <c r="I3338" s="255" t="s">
        <v>1812</v>
      </c>
      <c r="J3338" s="67">
        <v>111.03</v>
      </c>
      <c r="K3338" s="80"/>
      <c r="L3338" s="224">
        <v>13629000</v>
      </c>
      <c r="M3338" s="223"/>
      <c r="N3338" s="223"/>
      <c r="O3338" s="61"/>
      <c r="P3338" s="69" t="str">
        <f t="shared" si="207"/>
        <v>BCA 8607</v>
      </c>
      <c r="Q3338" s="61"/>
    </row>
    <row r="3339" spans="1:17" hidden="1" x14ac:dyDescent="0.25">
      <c r="A3339" s="60" t="str">
        <f t="shared" si="205"/>
        <v>179111,03</v>
      </c>
      <c r="B3339" s="60">
        <f>COUNTIF($J$7:J3339,J3339)</f>
        <v>179</v>
      </c>
      <c r="C3339" s="60" t="str">
        <f t="shared" si="206"/>
        <v>0</v>
      </c>
      <c r="D3339" s="60">
        <f>COUNTIF($K$7:K3339,K3339)</f>
        <v>0</v>
      </c>
      <c r="E3339" s="61"/>
      <c r="F3339" s="232">
        <v>44642</v>
      </c>
      <c r="G3339" s="164"/>
      <c r="H3339" s="61" t="s">
        <v>1228</v>
      </c>
      <c r="I3339" s="255" t="s">
        <v>461</v>
      </c>
      <c r="J3339" s="67">
        <v>111.03</v>
      </c>
      <c r="K3339" s="80"/>
      <c r="L3339" s="224">
        <v>25000000</v>
      </c>
      <c r="M3339" s="223"/>
      <c r="N3339" s="223"/>
      <c r="O3339" s="61"/>
      <c r="P3339" s="69" t="str">
        <f t="shared" si="207"/>
        <v>BCA 8607</v>
      </c>
      <c r="Q3339" s="61"/>
    </row>
    <row r="3340" spans="1:17" hidden="1" x14ac:dyDescent="0.25">
      <c r="A3340" s="60" t="str">
        <f t="shared" si="205"/>
        <v>180111,03</v>
      </c>
      <c r="B3340" s="60">
        <f>COUNTIF($J$7:J3340,J3340)</f>
        <v>180</v>
      </c>
      <c r="C3340" s="60" t="str">
        <f t="shared" si="206"/>
        <v>0</v>
      </c>
      <c r="D3340" s="60">
        <f>COUNTIF($K$7:K3340,K3340)</f>
        <v>0</v>
      </c>
      <c r="E3340" s="61"/>
      <c r="F3340" s="232">
        <v>44642</v>
      </c>
      <c r="G3340" s="164"/>
      <c r="H3340" s="61" t="s">
        <v>1228</v>
      </c>
      <c r="I3340" s="255" t="s">
        <v>1239</v>
      </c>
      <c r="J3340" s="67">
        <v>111.03</v>
      </c>
      <c r="K3340" s="80"/>
      <c r="L3340" s="224">
        <v>45100000</v>
      </c>
      <c r="M3340" s="223"/>
      <c r="N3340" s="223"/>
      <c r="O3340" s="61"/>
      <c r="P3340" s="69" t="str">
        <f t="shared" si="207"/>
        <v>BCA 8607</v>
      </c>
      <c r="Q3340" s="61"/>
    </row>
    <row r="3341" spans="1:17" ht="30" hidden="1" x14ac:dyDescent="0.25">
      <c r="A3341" s="60" t="str">
        <f t="shared" si="205"/>
        <v>181111,03</v>
      </c>
      <c r="B3341" s="60">
        <f>COUNTIF($J$7:J3341,J3341)</f>
        <v>181</v>
      </c>
      <c r="C3341" s="60" t="str">
        <f t="shared" si="206"/>
        <v>0</v>
      </c>
      <c r="D3341" s="60">
        <f>COUNTIF($K$7:K3341,K3341)</f>
        <v>0</v>
      </c>
      <c r="E3341" s="61"/>
      <c r="F3341" s="232">
        <v>44644</v>
      </c>
      <c r="G3341" s="164"/>
      <c r="H3341" s="61" t="s">
        <v>1228</v>
      </c>
      <c r="I3341" s="255" t="s">
        <v>1813</v>
      </c>
      <c r="J3341" s="67">
        <v>111.03</v>
      </c>
      <c r="K3341" s="80"/>
      <c r="L3341" s="224">
        <v>4262500</v>
      </c>
      <c r="M3341" s="223"/>
      <c r="N3341" s="223"/>
      <c r="O3341" s="61"/>
      <c r="P3341" s="69" t="str">
        <f t="shared" si="207"/>
        <v>BCA 8607</v>
      </c>
      <c r="Q3341" s="61"/>
    </row>
    <row r="3342" spans="1:17" hidden="1" x14ac:dyDescent="0.25">
      <c r="A3342" s="60" t="str">
        <f t="shared" si="205"/>
        <v>182111,03</v>
      </c>
      <c r="B3342" s="60">
        <f>COUNTIF($J$7:J3342,J3342)</f>
        <v>182</v>
      </c>
      <c r="C3342" s="60" t="str">
        <f t="shared" si="206"/>
        <v>0</v>
      </c>
      <c r="D3342" s="60">
        <f>COUNTIF($K$7:K3342,K3342)</f>
        <v>0</v>
      </c>
      <c r="E3342" s="61"/>
      <c r="F3342" s="232">
        <v>44644</v>
      </c>
      <c r="G3342" s="164"/>
      <c r="H3342" s="61" t="s">
        <v>1228</v>
      </c>
      <c r="I3342" s="255" t="s">
        <v>461</v>
      </c>
      <c r="J3342" s="67">
        <v>111.03</v>
      </c>
      <c r="K3342" s="80"/>
      <c r="L3342" s="224">
        <v>20000000</v>
      </c>
      <c r="M3342" s="223"/>
      <c r="N3342" s="223"/>
      <c r="O3342" s="61"/>
      <c r="P3342" s="69" t="str">
        <f t="shared" si="207"/>
        <v>BCA 8607</v>
      </c>
      <c r="Q3342" s="61"/>
    </row>
    <row r="3343" spans="1:17" hidden="1" x14ac:dyDescent="0.25">
      <c r="A3343" s="60" t="str">
        <f t="shared" si="205"/>
        <v>183111,03</v>
      </c>
      <c r="B3343" s="60">
        <f>COUNTIF($J$7:J3343,J3343)</f>
        <v>183</v>
      </c>
      <c r="C3343" s="60" t="str">
        <f t="shared" si="206"/>
        <v>0</v>
      </c>
      <c r="D3343" s="60">
        <f>COUNTIF($K$7:K3343,K3343)</f>
        <v>0</v>
      </c>
      <c r="E3343" s="61"/>
      <c r="F3343" s="232">
        <v>44644</v>
      </c>
      <c r="G3343" s="164"/>
      <c r="H3343" s="61" t="s">
        <v>1228</v>
      </c>
      <c r="I3343" s="255" t="s">
        <v>1814</v>
      </c>
      <c r="J3343" s="67">
        <v>111.03</v>
      </c>
      <c r="K3343" s="80"/>
      <c r="L3343" s="224">
        <v>10312500</v>
      </c>
      <c r="M3343" s="223"/>
      <c r="N3343" s="223"/>
      <c r="O3343" s="61"/>
      <c r="P3343" s="69" t="str">
        <f t="shared" si="207"/>
        <v>BCA 8607</v>
      </c>
      <c r="Q3343" s="61"/>
    </row>
    <row r="3344" spans="1:17" hidden="1" x14ac:dyDescent="0.25">
      <c r="A3344" s="60" t="str">
        <f t="shared" si="205"/>
        <v>184111,03</v>
      </c>
      <c r="B3344" s="60">
        <f>COUNTIF($J$7:J3344,J3344)</f>
        <v>184</v>
      </c>
      <c r="C3344" s="60" t="str">
        <f t="shared" si="206"/>
        <v>0</v>
      </c>
      <c r="D3344" s="60">
        <f>COUNTIF($K$7:K3344,K3344)</f>
        <v>0</v>
      </c>
      <c r="E3344" s="61"/>
      <c r="F3344" s="232">
        <v>44644</v>
      </c>
      <c r="G3344" s="164"/>
      <c r="H3344" s="61" t="s">
        <v>1228</v>
      </c>
      <c r="I3344" s="255" t="s">
        <v>1815</v>
      </c>
      <c r="J3344" s="67">
        <v>111.03</v>
      </c>
      <c r="K3344" s="80"/>
      <c r="L3344" s="224">
        <v>20031000</v>
      </c>
      <c r="M3344" s="223"/>
      <c r="N3344" s="223"/>
      <c r="O3344" s="61"/>
      <c r="P3344" s="69" t="str">
        <f t="shared" si="207"/>
        <v>BCA 8607</v>
      </c>
      <c r="Q3344" s="61"/>
    </row>
    <row r="3345" spans="1:17" ht="30" hidden="1" x14ac:dyDescent="0.25">
      <c r="A3345" s="60" t="str">
        <f t="shared" si="205"/>
        <v>664112</v>
      </c>
      <c r="B3345" s="60">
        <f>COUNTIF($J$7:J3345,J3345)</f>
        <v>664</v>
      </c>
      <c r="C3345" s="60" t="str">
        <f t="shared" si="206"/>
        <v>19112,35</v>
      </c>
      <c r="D3345" s="60">
        <f>COUNTIF($K$7:K3345,K3345)</f>
        <v>19</v>
      </c>
      <c r="E3345" s="61"/>
      <c r="F3345" s="232">
        <v>44634</v>
      </c>
      <c r="G3345" s="164" t="s">
        <v>149</v>
      </c>
      <c r="H3345" s="61" t="s">
        <v>1228</v>
      </c>
      <c r="I3345" s="230" t="s">
        <v>1799</v>
      </c>
      <c r="J3345" s="265">
        <v>112</v>
      </c>
      <c r="K3345" s="80">
        <v>112.35</v>
      </c>
      <c r="L3345" s="224"/>
      <c r="M3345" s="224">
        <v>8800000</v>
      </c>
      <c r="N3345" s="224"/>
      <c r="O3345" s="61"/>
      <c r="P3345" s="69" t="str">
        <f t="shared" si="207"/>
        <v>Piutang Usaha</v>
      </c>
      <c r="Q3345" s="61"/>
    </row>
    <row r="3346" spans="1:17" hidden="1" x14ac:dyDescent="0.25">
      <c r="A3346" s="60" t="str">
        <f t="shared" si="205"/>
        <v>665112</v>
      </c>
      <c r="B3346" s="60">
        <f>COUNTIF($J$7:J3346,J3346)</f>
        <v>665</v>
      </c>
      <c r="C3346" s="60" t="str">
        <f t="shared" si="206"/>
        <v>75112,02</v>
      </c>
      <c r="D3346" s="60">
        <f>COUNTIF($K$7:K3346,K3346)</f>
        <v>75</v>
      </c>
      <c r="E3346" s="61"/>
      <c r="F3346" s="232">
        <v>44634</v>
      </c>
      <c r="G3346" s="164" t="s">
        <v>149</v>
      </c>
      <c r="H3346" s="61" t="s">
        <v>1228</v>
      </c>
      <c r="I3346" s="230" t="s">
        <v>1800</v>
      </c>
      <c r="J3346" s="265">
        <v>112</v>
      </c>
      <c r="K3346" s="80">
        <v>112.02</v>
      </c>
      <c r="L3346" s="224"/>
      <c r="M3346" s="224">
        <v>20000000</v>
      </c>
      <c r="N3346" s="224"/>
      <c r="O3346" s="61"/>
      <c r="P3346" s="69" t="str">
        <f t="shared" si="207"/>
        <v>Piutang Usaha</v>
      </c>
      <c r="Q3346" s="61"/>
    </row>
    <row r="3347" spans="1:17" ht="30" hidden="1" x14ac:dyDescent="0.25">
      <c r="A3347" s="60" t="str">
        <f t="shared" si="205"/>
        <v>666112</v>
      </c>
      <c r="B3347" s="60">
        <f>COUNTIF($J$7:J3347,J3347)</f>
        <v>666</v>
      </c>
      <c r="C3347" s="60" t="str">
        <f t="shared" si="206"/>
        <v>102112,06</v>
      </c>
      <c r="D3347" s="60">
        <f>COUNTIF($K$7:K3347,K3347)</f>
        <v>102</v>
      </c>
      <c r="E3347" s="61"/>
      <c r="F3347" s="232">
        <v>44635</v>
      </c>
      <c r="G3347" s="164" t="s">
        <v>149</v>
      </c>
      <c r="H3347" s="61" t="s">
        <v>1228</v>
      </c>
      <c r="I3347" s="230" t="s">
        <v>1801</v>
      </c>
      <c r="J3347" s="265">
        <v>112</v>
      </c>
      <c r="K3347" s="80">
        <v>112.06</v>
      </c>
      <c r="L3347" s="224"/>
      <c r="M3347" s="224">
        <v>10780000</v>
      </c>
      <c r="N3347" s="224"/>
      <c r="O3347" s="61"/>
      <c r="P3347" s="69" t="str">
        <f t="shared" si="207"/>
        <v>Piutang Usaha</v>
      </c>
      <c r="Q3347" s="61"/>
    </row>
    <row r="3348" spans="1:17" ht="30" hidden="1" x14ac:dyDescent="0.25">
      <c r="A3348" s="60" t="str">
        <f t="shared" si="205"/>
        <v>667112</v>
      </c>
      <c r="B3348" s="60">
        <f>COUNTIF($J$7:J3348,J3348)</f>
        <v>667</v>
      </c>
      <c r="C3348" s="60" t="str">
        <f t="shared" si="206"/>
        <v>103112,06</v>
      </c>
      <c r="D3348" s="60">
        <f>COUNTIF($K$7:K3348,K3348)</f>
        <v>103</v>
      </c>
      <c r="E3348" s="61"/>
      <c r="F3348" s="232">
        <v>44635</v>
      </c>
      <c r="G3348" s="164" t="s">
        <v>149</v>
      </c>
      <c r="H3348" s="61" t="s">
        <v>1228</v>
      </c>
      <c r="I3348" s="230" t="s">
        <v>1802</v>
      </c>
      <c r="J3348" s="265">
        <v>112</v>
      </c>
      <c r="K3348" s="80">
        <v>112.06</v>
      </c>
      <c r="L3348" s="224"/>
      <c r="M3348" s="224">
        <v>2598750</v>
      </c>
      <c r="N3348" s="224"/>
      <c r="O3348" s="61"/>
      <c r="P3348" s="69" t="str">
        <f t="shared" si="207"/>
        <v>Piutang Usaha</v>
      </c>
      <c r="Q3348" s="61"/>
    </row>
    <row r="3349" spans="1:17" hidden="1" x14ac:dyDescent="0.25">
      <c r="A3349" s="60" t="str">
        <f t="shared" si="205"/>
        <v>668112</v>
      </c>
      <c r="B3349" s="60">
        <f>COUNTIF($J$7:J3349,J3349)</f>
        <v>668</v>
      </c>
      <c r="C3349" s="60" t="str">
        <f t="shared" si="206"/>
        <v>13112,61</v>
      </c>
      <c r="D3349" s="60">
        <f>COUNTIF($K$7:K3349,K3349)</f>
        <v>13</v>
      </c>
      <c r="E3349" s="61"/>
      <c r="F3349" s="232">
        <v>44635</v>
      </c>
      <c r="G3349" s="164" t="s">
        <v>149</v>
      </c>
      <c r="H3349" s="61" t="s">
        <v>1228</v>
      </c>
      <c r="I3349" s="230" t="s">
        <v>1803</v>
      </c>
      <c r="J3349" s="265">
        <v>112</v>
      </c>
      <c r="K3349" s="80">
        <v>112.61</v>
      </c>
      <c r="L3349" s="224"/>
      <c r="M3349" s="224">
        <v>1925000</v>
      </c>
      <c r="N3349" s="224"/>
      <c r="O3349" s="61"/>
      <c r="P3349" s="69" t="str">
        <f t="shared" si="207"/>
        <v>Piutang Usaha</v>
      </c>
      <c r="Q3349" s="61"/>
    </row>
    <row r="3350" spans="1:17" ht="30" hidden="1" x14ac:dyDescent="0.25">
      <c r="A3350" s="60" t="str">
        <f t="shared" si="205"/>
        <v>669112</v>
      </c>
      <c r="B3350" s="60">
        <f>COUNTIF($J$7:J3350,J3350)</f>
        <v>669</v>
      </c>
      <c r="C3350" s="60" t="str">
        <f t="shared" si="206"/>
        <v>110112,01</v>
      </c>
      <c r="D3350" s="60">
        <f>COUNTIF($K$7:K3350,K3350)</f>
        <v>110</v>
      </c>
      <c r="E3350" s="61"/>
      <c r="F3350" s="232">
        <v>44637</v>
      </c>
      <c r="G3350" s="164" t="s">
        <v>149</v>
      </c>
      <c r="H3350" s="61" t="s">
        <v>1228</v>
      </c>
      <c r="I3350" s="230" t="s">
        <v>1804</v>
      </c>
      <c r="J3350" s="265">
        <v>112</v>
      </c>
      <c r="K3350" s="80">
        <v>112.01</v>
      </c>
      <c r="L3350" s="224"/>
      <c r="M3350" s="224">
        <v>15097500</v>
      </c>
      <c r="N3350" s="224"/>
      <c r="O3350" s="61"/>
      <c r="P3350" s="69" t="str">
        <f t="shared" si="207"/>
        <v>Piutang Usaha</v>
      </c>
      <c r="Q3350" s="61"/>
    </row>
    <row r="3351" spans="1:17" hidden="1" x14ac:dyDescent="0.25">
      <c r="A3351" s="60" t="str">
        <f t="shared" si="205"/>
        <v>670112</v>
      </c>
      <c r="B3351" s="60">
        <f>COUNTIF($J$7:J3351,J3351)</f>
        <v>670</v>
      </c>
      <c r="C3351" s="60" t="str">
        <f t="shared" si="206"/>
        <v>76112,02</v>
      </c>
      <c r="D3351" s="60">
        <f>COUNTIF($K$7:K3351,K3351)</f>
        <v>76</v>
      </c>
      <c r="E3351" s="61"/>
      <c r="F3351" s="232">
        <v>44638</v>
      </c>
      <c r="G3351" s="164" t="s">
        <v>149</v>
      </c>
      <c r="H3351" s="61" t="s">
        <v>1228</v>
      </c>
      <c r="I3351" s="230" t="s">
        <v>1800</v>
      </c>
      <c r="J3351" s="265">
        <v>112</v>
      </c>
      <c r="K3351" s="80">
        <v>112.02</v>
      </c>
      <c r="L3351" s="224"/>
      <c r="M3351" s="224">
        <v>30000000</v>
      </c>
      <c r="N3351" s="224"/>
      <c r="O3351" s="61"/>
      <c r="P3351" s="69" t="str">
        <f t="shared" si="207"/>
        <v>Piutang Usaha</v>
      </c>
      <c r="Q3351" s="61"/>
    </row>
    <row r="3352" spans="1:17" hidden="1" x14ac:dyDescent="0.25">
      <c r="A3352" s="60" t="str">
        <f t="shared" si="205"/>
        <v>75511,03</v>
      </c>
      <c r="B3352" s="60">
        <f>COUNTIF($J$7:J3352,J3352)</f>
        <v>75</v>
      </c>
      <c r="C3352" s="60" t="str">
        <f t="shared" si="206"/>
        <v>0</v>
      </c>
      <c r="D3352" s="60">
        <f>COUNTIF($K$7:K3352,K3352)</f>
        <v>0</v>
      </c>
      <c r="E3352" s="61"/>
      <c r="F3352" s="232">
        <v>44638</v>
      </c>
      <c r="G3352" s="164"/>
      <c r="H3352" s="61" t="s">
        <v>1228</v>
      </c>
      <c r="I3352" s="230" t="s">
        <v>1816</v>
      </c>
      <c r="J3352" s="64">
        <v>511.03</v>
      </c>
      <c r="K3352" s="80"/>
      <c r="L3352" s="224"/>
      <c r="M3352" s="224">
        <v>1273998</v>
      </c>
      <c r="N3352" s="224"/>
      <c r="O3352" s="61"/>
      <c r="P3352" s="69" t="str">
        <f t="shared" si="207"/>
        <v>Biaya Pengiriman Barang Ekspedisi</v>
      </c>
      <c r="Q3352" s="61"/>
    </row>
    <row r="3353" spans="1:17" ht="30" hidden="1" x14ac:dyDescent="0.25">
      <c r="A3353" s="60" t="str">
        <f t="shared" si="205"/>
        <v>671112</v>
      </c>
      <c r="B3353" s="60">
        <f>COUNTIF($J$7:J3353,J3353)</f>
        <v>671</v>
      </c>
      <c r="C3353" s="60" t="str">
        <f t="shared" si="206"/>
        <v>111112,01</v>
      </c>
      <c r="D3353" s="60">
        <f>COUNTIF($K$7:K3353,K3353)</f>
        <v>111</v>
      </c>
      <c r="E3353" s="61"/>
      <c r="F3353" s="232">
        <v>44638</v>
      </c>
      <c r="G3353" s="164" t="s">
        <v>149</v>
      </c>
      <c r="H3353" s="61" t="s">
        <v>1228</v>
      </c>
      <c r="I3353" s="230" t="s">
        <v>1817</v>
      </c>
      <c r="J3353" s="265">
        <v>112</v>
      </c>
      <c r="K3353" s="80">
        <v>112.01</v>
      </c>
      <c r="L3353" s="224"/>
      <c r="M3353" s="224">
        <v>120000000</v>
      </c>
      <c r="N3353" s="224"/>
      <c r="O3353" s="61"/>
      <c r="P3353" s="69" t="str">
        <f t="shared" si="207"/>
        <v>Piutang Usaha</v>
      </c>
      <c r="Q3353" s="61"/>
    </row>
    <row r="3354" spans="1:17" ht="30" hidden="1" x14ac:dyDescent="0.25">
      <c r="A3354" s="60" t="str">
        <f t="shared" si="205"/>
        <v>672112</v>
      </c>
      <c r="B3354" s="60">
        <f>COUNTIF($J$7:J3354,J3354)</f>
        <v>672</v>
      </c>
      <c r="C3354" s="60" t="str">
        <f t="shared" si="206"/>
        <v>104112,06</v>
      </c>
      <c r="D3354" s="60">
        <f>COUNTIF($K$7:K3354,K3354)</f>
        <v>104</v>
      </c>
      <c r="E3354" s="61"/>
      <c r="F3354" s="232">
        <v>44638</v>
      </c>
      <c r="G3354" s="164" t="s">
        <v>149</v>
      </c>
      <c r="H3354" s="61" t="s">
        <v>1228</v>
      </c>
      <c r="I3354" s="230" t="s">
        <v>1806</v>
      </c>
      <c r="J3354" s="265">
        <v>112</v>
      </c>
      <c r="K3354" s="80">
        <v>112.06</v>
      </c>
      <c r="L3354" s="224"/>
      <c r="M3354" s="224">
        <v>9636000</v>
      </c>
      <c r="N3354" s="224"/>
      <c r="O3354" s="61"/>
      <c r="P3354" s="69" t="str">
        <f t="shared" si="207"/>
        <v>Piutang Usaha</v>
      </c>
      <c r="Q3354" s="61"/>
    </row>
    <row r="3355" spans="1:17" ht="30" hidden="1" x14ac:dyDescent="0.25">
      <c r="A3355" s="60" t="str">
        <f t="shared" si="205"/>
        <v>673112</v>
      </c>
      <c r="B3355" s="60">
        <f>COUNTIF($J$7:J3355,J3355)</f>
        <v>673</v>
      </c>
      <c r="C3355" s="60" t="str">
        <f t="shared" si="206"/>
        <v>105112,06</v>
      </c>
      <c r="D3355" s="60">
        <f>COUNTIF($K$7:K3355,K3355)</f>
        <v>105</v>
      </c>
      <c r="E3355" s="61"/>
      <c r="F3355" s="232">
        <v>44638</v>
      </c>
      <c r="G3355" s="164" t="s">
        <v>149</v>
      </c>
      <c r="H3355" s="61" t="s">
        <v>1228</v>
      </c>
      <c r="I3355" s="255" t="s">
        <v>1807</v>
      </c>
      <c r="J3355" s="265">
        <v>112</v>
      </c>
      <c r="K3355" s="80">
        <v>112.06</v>
      </c>
      <c r="L3355" s="224"/>
      <c r="M3355" s="224">
        <v>1155000</v>
      </c>
      <c r="N3355" s="224"/>
      <c r="O3355" s="61"/>
      <c r="P3355" s="69" t="str">
        <f t="shared" si="207"/>
        <v>Piutang Usaha</v>
      </c>
      <c r="Q3355" s="61"/>
    </row>
    <row r="3356" spans="1:17" hidden="1" x14ac:dyDescent="0.25">
      <c r="A3356" s="60" t="str">
        <f t="shared" si="205"/>
        <v>674112</v>
      </c>
      <c r="B3356" s="60">
        <f>COUNTIF($J$7:J3356,J3356)</f>
        <v>674</v>
      </c>
      <c r="C3356" s="60" t="str">
        <f t="shared" si="206"/>
        <v>106112,06</v>
      </c>
      <c r="D3356" s="60">
        <f>COUNTIF($K$7:K3356,K3356)</f>
        <v>106</v>
      </c>
      <c r="E3356" s="61"/>
      <c r="F3356" s="232">
        <v>44638</v>
      </c>
      <c r="G3356" s="164" t="s">
        <v>149</v>
      </c>
      <c r="H3356" s="61" t="s">
        <v>1228</v>
      </c>
      <c r="I3356" s="255" t="s">
        <v>1808</v>
      </c>
      <c r="J3356" s="265">
        <v>112</v>
      </c>
      <c r="K3356" s="80">
        <v>112.06</v>
      </c>
      <c r="L3356" s="224"/>
      <c r="M3356" s="224">
        <v>6063750</v>
      </c>
      <c r="N3356" s="224"/>
      <c r="O3356" s="61"/>
      <c r="P3356" s="69" t="str">
        <f t="shared" si="207"/>
        <v>Piutang Usaha</v>
      </c>
      <c r="Q3356" s="61"/>
    </row>
    <row r="3357" spans="1:17" hidden="1" x14ac:dyDescent="0.25">
      <c r="A3357" s="60" t="str">
        <f t="shared" si="205"/>
        <v>675112</v>
      </c>
      <c r="B3357" s="60">
        <f>COUNTIF($J$7:J3357,J3357)</f>
        <v>675</v>
      </c>
      <c r="C3357" s="60" t="str">
        <f t="shared" si="206"/>
        <v>41112,43</v>
      </c>
      <c r="D3357" s="60">
        <f>COUNTIF($K$7:K3357,K3357)</f>
        <v>41</v>
      </c>
      <c r="E3357" s="61"/>
      <c r="F3357" s="232">
        <v>44641</v>
      </c>
      <c r="G3357" s="164" t="s">
        <v>149</v>
      </c>
      <c r="H3357" s="61" t="s">
        <v>1228</v>
      </c>
      <c r="I3357" s="255" t="s">
        <v>1809</v>
      </c>
      <c r="J3357" s="265">
        <v>112</v>
      </c>
      <c r="K3357" s="80">
        <v>112.43</v>
      </c>
      <c r="L3357" s="224"/>
      <c r="M3357" s="224">
        <v>43477500</v>
      </c>
      <c r="N3357" s="224"/>
      <c r="O3357" s="61"/>
      <c r="P3357" s="69" t="str">
        <f t="shared" si="207"/>
        <v>Piutang Usaha</v>
      </c>
      <c r="Q3357" s="61"/>
    </row>
    <row r="3358" spans="1:17" ht="30" hidden="1" x14ac:dyDescent="0.25">
      <c r="A3358" s="60" t="str">
        <f t="shared" si="205"/>
        <v>676112</v>
      </c>
      <c r="B3358" s="60">
        <f>COUNTIF($J$7:J3358,J3358)</f>
        <v>676</v>
      </c>
      <c r="C3358" s="60" t="str">
        <f t="shared" si="206"/>
        <v>20112,35</v>
      </c>
      <c r="D3358" s="60">
        <f>COUNTIF($K$7:K3358,K3358)</f>
        <v>20</v>
      </c>
      <c r="E3358" s="61"/>
      <c r="F3358" s="232">
        <v>44641</v>
      </c>
      <c r="G3358" s="164" t="s">
        <v>149</v>
      </c>
      <c r="H3358" s="61" t="s">
        <v>1228</v>
      </c>
      <c r="I3358" s="255" t="s">
        <v>1810</v>
      </c>
      <c r="J3358" s="265">
        <v>112</v>
      </c>
      <c r="K3358" s="80">
        <v>112.35</v>
      </c>
      <c r="L3358" s="224"/>
      <c r="M3358" s="224">
        <v>13200000</v>
      </c>
      <c r="N3358" s="224"/>
      <c r="O3358" s="61"/>
      <c r="P3358" s="69" t="str">
        <f t="shared" si="207"/>
        <v>Piutang Usaha</v>
      </c>
      <c r="Q3358" s="61"/>
    </row>
    <row r="3359" spans="1:17" hidden="1" x14ac:dyDescent="0.25">
      <c r="A3359" s="60" t="str">
        <f t="shared" si="205"/>
        <v>677112</v>
      </c>
      <c r="B3359" s="60">
        <f>COUNTIF($J$7:J3359,J3359)</f>
        <v>677</v>
      </c>
      <c r="C3359" s="60" t="str">
        <f t="shared" si="206"/>
        <v>8112,31</v>
      </c>
      <c r="D3359" s="60">
        <f>COUNTIF($K$7:K3359,K3359)</f>
        <v>8</v>
      </c>
      <c r="E3359" s="61"/>
      <c r="F3359" s="232">
        <v>44641</v>
      </c>
      <c r="G3359" s="164" t="s">
        <v>149</v>
      </c>
      <c r="H3359" s="61" t="s">
        <v>1228</v>
      </c>
      <c r="I3359" s="255" t="s">
        <v>1811</v>
      </c>
      <c r="J3359" s="265">
        <v>112</v>
      </c>
      <c r="K3359" s="80">
        <v>112.31</v>
      </c>
      <c r="L3359" s="224"/>
      <c r="M3359" s="224">
        <v>4840000</v>
      </c>
      <c r="N3359" s="224"/>
      <c r="O3359" s="61"/>
      <c r="P3359" s="69" t="str">
        <f t="shared" si="207"/>
        <v>Piutang Usaha</v>
      </c>
      <c r="Q3359" s="61"/>
    </row>
    <row r="3360" spans="1:17" ht="30" hidden="1" x14ac:dyDescent="0.25">
      <c r="A3360" s="60" t="str">
        <f t="shared" si="205"/>
        <v>678112</v>
      </c>
      <c r="B3360" s="60">
        <f>COUNTIF($J$7:J3360,J3360)</f>
        <v>678</v>
      </c>
      <c r="C3360" s="60" t="str">
        <f t="shared" si="206"/>
        <v>21112,35</v>
      </c>
      <c r="D3360" s="60">
        <f>COUNTIF($K$7:K3360,K3360)</f>
        <v>21</v>
      </c>
      <c r="E3360" s="61"/>
      <c r="F3360" s="232">
        <v>44641</v>
      </c>
      <c r="G3360" s="164" t="s">
        <v>149</v>
      </c>
      <c r="H3360" s="61" t="s">
        <v>1228</v>
      </c>
      <c r="I3360" s="255" t="s">
        <v>1810</v>
      </c>
      <c r="J3360" s="265">
        <v>112</v>
      </c>
      <c r="K3360" s="80">
        <v>112.35</v>
      </c>
      <c r="L3360" s="224"/>
      <c r="M3360" s="224">
        <v>8800000</v>
      </c>
      <c r="N3360" s="224"/>
      <c r="O3360" s="61"/>
      <c r="P3360" s="69" t="str">
        <f t="shared" si="207"/>
        <v>Piutang Usaha</v>
      </c>
      <c r="Q3360" s="61"/>
    </row>
    <row r="3361" spans="1:17" hidden="1" x14ac:dyDescent="0.25">
      <c r="A3361" s="60" t="str">
        <f t="shared" si="205"/>
        <v>679112</v>
      </c>
      <c r="B3361" s="60">
        <f>COUNTIF($J$7:J3361,J3361)</f>
        <v>679</v>
      </c>
      <c r="C3361" s="60" t="str">
        <f t="shared" si="206"/>
        <v>107112,06</v>
      </c>
      <c r="D3361" s="60">
        <f>COUNTIF($K$7:K3361,K3361)</f>
        <v>107</v>
      </c>
      <c r="E3361" s="61"/>
      <c r="F3361" s="232">
        <v>44642</v>
      </c>
      <c r="G3361" s="164" t="s">
        <v>149</v>
      </c>
      <c r="H3361" s="61" t="s">
        <v>1228</v>
      </c>
      <c r="I3361" s="255" t="s">
        <v>1812</v>
      </c>
      <c r="J3361" s="265">
        <v>112</v>
      </c>
      <c r="K3361" s="80">
        <v>112.06</v>
      </c>
      <c r="L3361" s="224"/>
      <c r="M3361" s="224">
        <v>13629000</v>
      </c>
      <c r="N3361" s="224"/>
      <c r="O3361" s="61"/>
      <c r="P3361" s="69" t="str">
        <f t="shared" si="207"/>
        <v>Piutang Usaha</v>
      </c>
      <c r="Q3361" s="61"/>
    </row>
    <row r="3362" spans="1:17" hidden="1" x14ac:dyDescent="0.25">
      <c r="A3362" s="60" t="str">
        <f t="shared" si="205"/>
        <v>680112</v>
      </c>
      <c r="B3362" s="60">
        <f>COUNTIF($J$7:J3362,J3362)</f>
        <v>680</v>
      </c>
      <c r="C3362" s="60" t="str">
        <f t="shared" si="206"/>
        <v>77112,02</v>
      </c>
      <c r="D3362" s="60">
        <f>COUNTIF($K$7:K3362,K3362)</f>
        <v>77</v>
      </c>
      <c r="E3362" s="61"/>
      <c r="F3362" s="232">
        <v>44642</v>
      </c>
      <c r="G3362" s="164" t="s">
        <v>149</v>
      </c>
      <c r="H3362" s="61" t="s">
        <v>1228</v>
      </c>
      <c r="I3362" s="230" t="s">
        <v>1800</v>
      </c>
      <c r="J3362" s="265">
        <v>112</v>
      </c>
      <c r="K3362" s="80">
        <v>112.02</v>
      </c>
      <c r="L3362" s="224"/>
      <c r="M3362" s="224">
        <v>25000000</v>
      </c>
      <c r="N3362" s="224"/>
      <c r="O3362" s="61"/>
      <c r="P3362" s="69" t="str">
        <f t="shared" si="207"/>
        <v>Piutang Usaha</v>
      </c>
      <c r="Q3362" s="61"/>
    </row>
    <row r="3363" spans="1:17" ht="30" hidden="1" x14ac:dyDescent="0.25">
      <c r="A3363" s="60" t="str">
        <f t="shared" si="205"/>
        <v>681112</v>
      </c>
      <c r="B3363" s="60">
        <f>COUNTIF($J$7:J3363,J3363)</f>
        <v>681</v>
      </c>
      <c r="C3363" s="60" t="str">
        <f t="shared" si="206"/>
        <v>112112,01</v>
      </c>
      <c r="D3363" s="60">
        <f>COUNTIF($K$7:K3363,K3363)</f>
        <v>112</v>
      </c>
      <c r="E3363" s="61"/>
      <c r="F3363" s="232">
        <v>44642</v>
      </c>
      <c r="G3363" s="164" t="s">
        <v>149</v>
      </c>
      <c r="H3363" s="61" t="s">
        <v>1228</v>
      </c>
      <c r="I3363" s="255" t="s">
        <v>1804</v>
      </c>
      <c r="J3363" s="265">
        <v>112</v>
      </c>
      <c r="K3363" s="80">
        <v>112.01</v>
      </c>
      <c r="L3363" s="224"/>
      <c r="M3363" s="224">
        <v>45100000</v>
      </c>
      <c r="N3363" s="224"/>
      <c r="O3363" s="61"/>
      <c r="P3363" s="69" t="str">
        <f t="shared" si="207"/>
        <v>Piutang Usaha</v>
      </c>
      <c r="Q3363" s="61"/>
    </row>
    <row r="3364" spans="1:17" ht="30" hidden="1" x14ac:dyDescent="0.25">
      <c r="A3364" s="60" t="str">
        <f t="shared" si="205"/>
        <v>682112</v>
      </c>
      <c r="B3364" s="60">
        <f>COUNTIF($J$7:J3364,J3364)</f>
        <v>682</v>
      </c>
      <c r="C3364" s="60" t="str">
        <f t="shared" si="206"/>
        <v>18112,07</v>
      </c>
      <c r="D3364" s="60">
        <f>COUNTIF($K$7:K3364,K3364)</f>
        <v>18</v>
      </c>
      <c r="E3364" s="61"/>
      <c r="F3364" s="232">
        <v>44644</v>
      </c>
      <c r="G3364" s="164" t="s">
        <v>149</v>
      </c>
      <c r="H3364" s="61" t="s">
        <v>1228</v>
      </c>
      <c r="I3364" s="255" t="s">
        <v>1813</v>
      </c>
      <c r="J3364" s="265">
        <v>112</v>
      </c>
      <c r="K3364" s="80">
        <v>112.07</v>
      </c>
      <c r="L3364" s="224"/>
      <c r="M3364" s="224">
        <v>4262500</v>
      </c>
      <c r="N3364" s="224"/>
      <c r="O3364" s="61"/>
      <c r="P3364" s="69" t="str">
        <f t="shared" si="207"/>
        <v>Piutang Usaha</v>
      </c>
      <c r="Q3364" s="61"/>
    </row>
    <row r="3365" spans="1:17" hidden="1" x14ac:dyDescent="0.25">
      <c r="A3365" s="60" t="str">
        <f t="shared" si="205"/>
        <v>683112</v>
      </c>
      <c r="B3365" s="60">
        <f>COUNTIF($J$7:J3365,J3365)</f>
        <v>683</v>
      </c>
      <c r="C3365" s="60" t="str">
        <f t="shared" si="206"/>
        <v>78112,02</v>
      </c>
      <c r="D3365" s="60">
        <f>COUNTIF($K$7:K3365,K3365)</f>
        <v>78</v>
      </c>
      <c r="E3365" s="61"/>
      <c r="F3365" s="232">
        <v>44644</v>
      </c>
      <c r="G3365" s="164" t="s">
        <v>149</v>
      </c>
      <c r="H3365" s="61" t="s">
        <v>1228</v>
      </c>
      <c r="I3365" s="230" t="s">
        <v>1800</v>
      </c>
      <c r="J3365" s="265">
        <v>112</v>
      </c>
      <c r="K3365" s="80">
        <v>112.02</v>
      </c>
      <c r="L3365" s="224"/>
      <c r="M3365" s="224">
        <v>20000000</v>
      </c>
      <c r="N3365" s="224"/>
      <c r="O3365" s="61"/>
      <c r="P3365" s="69" t="str">
        <f t="shared" si="207"/>
        <v>Piutang Usaha</v>
      </c>
      <c r="Q3365" s="61"/>
    </row>
    <row r="3366" spans="1:17" hidden="1" x14ac:dyDescent="0.25">
      <c r="A3366" s="60" t="str">
        <f t="shared" si="205"/>
        <v>684112</v>
      </c>
      <c r="B3366" s="60">
        <f>COUNTIF($J$7:J3366,J3366)</f>
        <v>684</v>
      </c>
      <c r="C3366" s="60" t="str">
        <f t="shared" si="206"/>
        <v>35112,3</v>
      </c>
      <c r="D3366" s="60">
        <f>COUNTIF($K$7:K3366,K3366)</f>
        <v>35</v>
      </c>
      <c r="E3366" s="61"/>
      <c r="F3366" s="232">
        <v>44644</v>
      </c>
      <c r="G3366" s="164" t="s">
        <v>149</v>
      </c>
      <c r="H3366" s="61" t="s">
        <v>1228</v>
      </c>
      <c r="I3366" s="255" t="s">
        <v>1814</v>
      </c>
      <c r="J3366" s="265">
        <v>112</v>
      </c>
      <c r="K3366" s="80">
        <v>112.3</v>
      </c>
      <c r="L3366" s="224"/>
      <c r="M3366" s="224">
        <v>10312500</v>
      </c>
      <c r="N3366" s="224"/>
      <c r="O3366" s="61"/>
      <c r="P3366" s="69" t="str">
        <f t="shared" si="207"/>
        <v>Piutang Usaha</v>
      </c>
      <c r="Q3366" s="61"/>
    </row>
    <row r="3367" spans="1:17" hidden="1" x14ac:dyDescent="0.25">
      <c r="A3367" s="60" t="str">
        <f t="shared" si="205"/>
        <v>685112</v>
      </c>
      <c r="B3367" s="60">
        <f>COUNTIF($J$7:J3367,J3367)</f>
        <v>685</v>
      </c>
      <c r="C3367" s="60" t="str">
        <f t="shared" si="206"/>
        <v>108112,06</v>
      </c>
      <c r="D3367" s="60">
        <f>COUNTIF($K$7:K3367,K3367)</f>
        <v>108</v>
      </c>
      <c r="E3367" s="61"/>
      <c r="F3367" s="232">
        <v>44644</v>
      </c>
      <c r="G3367" s="164" t="s">
        <v>149</v>
      </c>
      <c r="H3367" s="61" t="s">
        <v>1228</v>
      </c>
      <c r="I3367" s="255" t="s">
        <v>1815</v>
      </c>
      <c r="J3367" s="265">
        <v>112</v>
      </c>
      <c r="K3367" s="80">
        <v>112.06</v>
      </c>
      <c r="L3367" s="224"/>
      <c r="M3367" s="224">
        <v>20031000</v>
      </c>
      <c r="N3367" s="224"/>
      <c r="O3367" s="61"/>
      <c r="P3367" s="69" t="str">
        <f t="shared" si="207"/>
        <v>Piutang Usaha</v>
      </c>
      <c r="Q3367" s="61"/>
    </row>
    <row r="3368" spans="1:17" ht="30" hidden="1" x14ac:dyDescent="0.25">
      <c r="A3368" s="60" t="str">
        <f t="shared" si="205"/>
        <v>185111,03</v>
      </c>
      <c r="B3368" s="60">
        <f>COUNTIF($J$7:J3368,J3368)</f>
        <v>185</v>
      </c>
      <c r="C3368" s="60" t="str">
        <f t="shared" si="206"/>
        <v>0</v>
      </c>
      <c r="D3368" s="60">
        <f>COUNTIF($K$7:K3368,K3368)</f>
        <v>0</v>
      </c>
      <c r="E3368" s="61"/>
      <c r="F3368" s="232">
        <v>44645</v>
      </c>
      <c r="G3368" s="164"/>
      <c r="H3368" s="61" t="s">
        <v>1228</v>
      </c>
      <c r="I3368" s="230" t="s">
        <v>1818</v>
      </c>
      <c r="J3368" s="67">
        <v>111.03</v>
      </c>
      <c r="K3368" s="80"/>
      <c r="L3368" s="224">
        <v>64000000</v>
      </c>
      <c r="M3368" s="224"/>
      <c r="N3368" s="224"/>
      <c r="O3368" s="61"/>
      <c r="P3368" s="69" t="str">
        <f t="shared" si="207"/>
        <v>BCA 8607</v>
      </c>
      <c r="Q3368" s="61"/>
    </row>
    <row r="3369" spans="1:17" ht="30" hidden="1" x14ac:dyDescent="0.25">
      <c r="A3369" s="60" t="str">
        <f t="shared" si="205"/>
        <v>686112</v>
      </c>
      <c r="B3369" s="60">
        <f>COUNTIF($J$7:J3369,J3369)</f>
        <v>686</v>
      </c>
      <c r="C3369" s="60" t="str">
        <f t="shared" si="206"/>
        <v>6112,55</v>
      </c>
      <c r="D3369" s="60">
        <f>COUNTIF($K$7:K3369,K3369)</f>
        <v>6</v>
      </c>
      <c r="E3369" s="61"/>
      <c r="F3369" s="232">
        <v>44645</v>
      </c>
      <c r="G3369" s="164" t="s">
        <v>149</v>
      </c>
      <c r="H3369" s="61" t="s">
        <v>1228</v>
      </c>
      <c r="I3369" s="230" t="s">
        <v>1818</v>
      </c>
      <c r="J3369" s="265">
        <v>112</v>
      </c>
      <c r="K3369" s="80">
        <v>112.55</v>
      </c>
      <c r="L3369" s="224"/>
      <c r="M3369" s="224">
        <v>64000000</v>
      </c>
      <c r="N3369" s="224"/>
      <c r="O3369" s="61"/>
      <c r="P3369" s="69" t="str">
        <f t="shared" si="207"/>
        <v>Piutang Usaha</v>
      </c>
      <c r="Q3369" s="61"/>
    </row>
    <row r="3370" spans="1:17" ht="30" hidden="1" x14ac:dyDescent="0.25">
      <c r="A3370" s="60" t="str">
        <f t="shared" si="205"/>
        <v>16210,01</v>
      </c>
      <c r="B3370" s="60">
        <f>COUNTIF($J$7:J3370,J3370)</f>
        <v>16</v>
      </c>
      <c r="C3370" s="60" t="str">
        <f t="shared" si="206"/>
        <v>2210,01,50</v>
      </c>
      <c r="D3370" s="60">
        <f>COUNTIF($K$7:K3370,K3370)</f>
        <v>2</v>
      </c>
      <c r="E3370" s="61"/>
      <c r="F3370" s="232">
        <v>44645</v>
      </c>
      <c r="G3370" s="164"/>
      <c r="H3370" s="61" t="s">
        <v>1228</v>
      </c>
      <c r="I3370" s="255" t="s">
        <v>1819</v>
      </c>
      <c r="J3370" s="299">
        <v>210.01</v>
      </c>
      <c r="K3370" s="80" t="s">
        <v>940</v>
      </c>
      <c r="L3370" s="282">
        <v>324852400</v>
      </c>
      <c r="M3370" s="224"/>
      <c r="N3370" s="224"/>
      <c r="O3370" s="61"/>
      <c r="P3370" s="69" t="str">
        <f t="shared" si="207"/>
        <v>Hutang Usaha</v>
      </c>
      <c r="Q3370" s="61"/>
    </row>
    <row r="3371" spans="1:17" ht="30" hidden="1" x14ac:dyDescent="0.25">
      <c r="A3371" s="60" t="str">
        <f t="shared" si="205"/>
        <v>99810,01</v>
      </c>
      <c r="B3371" s="60">
        <f>COUNTIF($J$7:J3371,J3371)</f>
        <v>99</v>
      </c>
      <c r="C3371" s="60" t="str">
        <f t="shared" si="206"/>
        <v>0</v>
      </c>
      <c r="D3371" s="60">
        <f>COUNTIF($K$7:K3371,K3371)</f>
        <v>0</v>
      </c>
      <c r="E3371" s="61"/>
      <c r="F3371" s="232">
        <v>44645</v>
      </c>
      <c r="G3371" s="164"/>
      <c r="H3371" s="61" t="s">
        <v>1228</v>
      </c>
      <c r="I3371" s="255" t="s">
        <v>1820</v>
      </c>
      <c r="J3371" s="64">
        <v>810.01</v>
      </c>
      <c r="K3371" s="80"/>
      <c r="L3371" s="224">
        <v>50000</v>
      </c>
      <c r="M3371" s="224"/>
      <c r="N3371" s="224"/>
      <c r="O3371" s="61"/>
      <c r="P3371" s="69" t="str">
        <f t="shared" si="207"/>
        <v>Biaya Admin Transfer dan Rek</v>
      </c>
      <c r="Q3371" s="61"/>
    </row>
    <row r="3372" spans="1:17" ht="30" hidden="1" x14ac:dyDescent="0.25">
      <c r="A3372" s="60" t="str">
        <f t="shared" si="205"/>
        <v>10810,04</v>
      </c>
      <c r="B3372" s="60">
        <f>COUNTIF($J$7:J3372,J3372)</f>
        <v>10</v>
      </c>
      <c r="C3372" s="60" t="str">
        <f t="shared" si="206"/>
        <v>0</v>
      </c>
      <c r="D3372" s="60">
        <f>COUNTIF($K$7:K3372,K3372)</f>
        <v>0</v>
      </c>
      <c r="E3372" s="61"/>
      <c r="F3372" s="232">
        <v>44645</v>
      </c>
      <c r="G3372" s="164"/>
      <c r="H3372" s="61" t="s">
        <v>1228</v>
      </c>
      <c r="I3372" s="255" t="s">
        <v>1821</v>
      </c>
      <c r="J3372" s="64">
        <v>810.04</v>
      </c>
      <c r="K3372" s="80"/>
      <c r="L3372" s="61"/>
      <c r="M3372" s="224">
        <v>768400</v>
      </c>
      <c r="N3372" s="224"/>
      <c r="O3372" s="61"/>
      <c r="P3372" s="69" t="str">
        <f t="shared" si="207"/>
        <v>Selisih kurs</v>
      </c>
      <c r="Q3372" s="61"/>
    </row>
    <row r="3373" spans="1:17" ht="30" hidden="1" x14ac:dyDescent="0.25">
      <c r="A3373" s="60" t="str">
        <f t="shared" si="205"/>
        <v>186111,03</v>
      </c>
      <c r="B3373" s="60">
        <f>COUNTIF($J$7:J3373,J3373)</f>
        <v>186</v>
      </c>
      <c r="C3373" s="60" t="str">
        <f t="shared" si="206"/>
        <v>0</v>
      </c>
      <c r="D3373" s="60">
        <f>COUNTIF($K$7:K3373,K3373)</f>
        <v>0</v>
      </c>
      <c r="E3373" s="61"/>
      <c r="F3373" s="232">
        <v>44645</v>
      </c>
      <c r="G3373" s="164"/>
      <c r="H3373" s="61" t="s">
        <v>1228</v>
      </c>
      <c r="I3373" s="255" t="s">
        <v>1819</v>
      </c>
      <c r="J3373" s="67">
        <v>111.03</v>
      </c>
      <c r="K3373" s="80"/>
      <c r="L3373" s="224"/>
      <c r="M3373" s="224">
        <v>324134000</v>
      </c>
      <c r="N3373" s="224"/>
      <c r="O3373" s="61"/>
      <c r="P3373" s="69" t="str">
        <f t="shared" si="207"/>
        <v>BCA 8607</v>
      </c>
      <c r="Q3373" s="61"/>
    </row>
    <row r="3374" spans="1:17" ht="30" hidden="1" x14ac:dyDescent="0.25">
      <c r="A3374" s="60" t="str">
        <f t="shared" si="205"/>
        <v>17210,01</v>
      </c>
      <c r="B3374" s="60">
        <f>COUNTIF($J$7:J3374,J3374)</f>
        <v>17</v>
      </c>
      <c r="C3374" s="60" t="str">
        <f t="shared" si="206"/>
        <v>2210,01,51</v>
      </c>
      <c r="D3374" s="60">
        <f>COUNTIF($K$7:K3374,K3374)</f>
        <v>2</v>
      </c>
      <c r="E3374" s="61"/>
      <c r="F3374" s="232">
        <v>44645</v>
      </c>
      <c r="G3374" s="164"/>
      <c r="H3374" s="61" t="s">
        <v>1228</v>
      </c>
      <c r="I3374" s="255" t="s">
        <v>1822</v>
      </c>
      <c r="J3374" s="299">
        <v>210.01</v>
      </c>
      <c r="K3374" s="80" t="s">
        <v>1588</v>
      </c>
      <c r="L3374" s="282">
        <v>802152744</v>
      </c>
      <c r="M3374" s="224"/>
      <c r="N3374" s="224"/>
      <c r="O3374" s="61"/>
      <c r="P3374" s="69" t="str">
        <f t="shared" si="207"/>
        <v>Hutang Usaha</v>
      </c>
      <c r="Q3374" s="61"/>
    </row>
    <row r="3375" spans="1:17" ht="30" hidden="1" x14ac:dyDescent="0.25">
      <c r="A3375" s="60" t="str">
        <f t="shared" si="205"/>
        <v>100810,01</v>
      </c>
      <c r="B3375" s="60">
        <f>COUNTIF($J$7:J3375,J3375)</f>
        <v>100</v>
      </c>
      <c r="C3375" s="60" t="str">
        <f t="shared" si="206"/>
        <v>0</v>
      </c>
      <c r="D3375" s="60">
        <f>COUNTIF($K$7:K3375,K3375)</f>
        <v>0</v>
      </c>
      <c r="E3375" s="61"/>
      <c r="F3375" s="232">
        <v>44645</v>
      </c>
      <c r="G3375" s="164"/>
      <c r="H3375" s="61" t="s">
        <v>1228</v>
      </c>
      <c r="I3375" s="255" t="s">
        <v>1823</v>
      </c>
      <c r="J3375" s="64">
        <v>810.01</v>
      </c>
      <c r="K3375" s="80"/>
      <c r="L3375" s="224">
        <v>50000</v>
      </c>
      <c r="M3375" s="224"/>
      <c r="N3375" s="224"/>
      <c r="O3375" s="61"/>
      <c r="P3375" s="69" t="str">
        <f t="shared" si="207"/>
        <v>Biaya Admin Transfer dan Rek</v>
      </c>
      <c r="Q3375" s="61"/>
    </row>
    <row r="3376" spans="1:17" ht="30" hidden="1" x14ac:dyDescent="0.25">
      <c r="A3376" s="60" t="str">
        <f t="shared" si="205"/>
        <v>11810,04</v>
      </c>
      <c r="B3376" s="60">
        <f>COUNTIF($J$7:J3376,J3376)</f>
        <v>11</v>
      </c>
      <c r="C3376" s="60" t="str">
        <f t="shared" si="206"/>
        <v>0</v>
      </c>
      <c r="D3376" s="60">
        <f>COUNTIF($K$7:K3376,K3376)</f>
        <v>0</v>
      </c>
      <c r="E3376" s="61"/>
      <c r="F3376" s="232">
        <v>44645</v>
      </c>
      <c r="G3376" s="164"/>
      <c r="H3376" s="61" t="s">
        <v>1228</v>
      </c>
      <c r="I3376" s="255" t="s">
        <v>1824</v>
      </c>
      <c r="J3376" s="64">
        <v>810.04</v>
      </c>
      <c r="K3376" s="80"/>
      <c r="L3376" s="224"/>
      <c r="M3376" s="224">
        <f>L3374+L3375-M3377</f>
        <v>1005624</v>
      </c>
      <c r="N3376" s="224"/>
      <c r="O3376" s="61"/>
      <c r="P3376" s="69" t="str">
        <f t="shared" si="207"/>
        <v>Selisih kurs</v>
      </c>
      <c r="Q3376" s="61"/>
    </row>
    <row r="3377" spans="1:17" ht="30" hidden="1" x14ac:dyDescent="0.25">
      <c r="A3377" s="60" t="str">
        <f t="shared" si="205"/>
        <v>187111,03</v>
      </c>
      <c r="B3377" s="60">
        <f>COUNTIF($J$7:J3377,J3377)</f>
        <v>187</v>
      </c>
      <c r="C3377" s="60" t="str">
        <f t="shared" si="206"/>
        <v>0</v>
      </c>
      <c r="D3377" s="60">
        <f>COUNTIF($K$7:K3377,K3377)</f>
        <v>0</v>
      </c>
      <c r="E3377" s="61"/>
      <c r="F3377" s="232">
        <v>44645</v>
      </c>
      <c r="G3377" s="164"/>
      <c r="H3377" s="61" t="s">
        <v>1228</v>
      </c>
      <c r="I3377" s="255" t="s">
        <v>1822</v>
      </c>
      <c r="J3377" s="67">
        <v>111.03</v>
      </c>
      <c r="K3377" s="80"/>
      <c r="L3377" s="224"/>
      <c r="M3377" s="224">
        <v>801197120</v>
      </c>
      <c r="N3377" s="224"/>
      <c r="O3377" s="61"/>
      <c r="P3377" s="69" t="str">
        <f t="shared" si="207"/>
        <v>BCA 8607</v>
      </c>
      <c r="Q3377" s="61"/>
    </row>
    <row r="3378" spans="1:17" hidden="1" x14ac:dyDescent="0.25">
      <c r="A3378" s="60" t="str">
        <f t="shared" si="205"/>
        <v>188111,03</v>
      </c>
      <c r="B3378" s="60">
        <f>COUNTIF($J$7:J3378,J3378)</f>
        <v>188</v>
      </c>
      <c r="C3378" s="60" t="str">
        <f t="shared" si="206"/>
        <v>0</v>
      </c>
      <c r="D3378" s="60">
        <f>COUNTIF($K$7:K3378,K3378)</f>
        <v>0</v>
      </c>
      <c r="E3378" s="61"/>
      <c r="F3378" s="232">
        <v>44645</v>
      </c>
      <c r="G3378" s="164"/>
      <c r="H3378" s="61" t="s">
        <v>1228</v>
      </c>
      <c r="I3378" s="255" t="s">
        <v>1825</v>
      </c>
      <c r="J3378" s="67">
        <v>111.03</v>
      </c>
      <c r="K3378" s="80"/>
      <c r="L3378" s="224">
        <v>4125000</v>
      </c>
      <c r="M3378" s="224"/>
      <c r="N3378" s="224"/>
      <c r="O3378" s="61"/>
      <c r="P3378" s="69" t="str">
        <f t="shared" si="207"/>
        <v>BCA 8607</v>
      </c>
      <c r="Q3378" s="61"/>
    </row>
    <row r="3379" spans="1:17" hidden="1" x14ac:dyDescent="0.25">
      <c r="A3379" s="60" t="str">
        <f t="shared" si="205"/>
        <v>687112</v>
      </c>
      <c r="B3379" s="60">
        <f>COUNTIF($J$7:J3379,J3379)</f>
        <v>687</v>
      </c>
      <c r="C3379" s="60" t="str">
        <f t="shared" si="206"/>
        <v>9112,31</v>
      </c>
      <c r="D3379" s="60">
        <f>COUNTIF($K$7:K3379,K3379)</f>
        <v>9</v>
      </c>
      <c r="E3379" s="61"/>
      <c r="F3379" s="232">
        <v>44645</v>
      </c>
      <c r="G3379" s="164" t="s">
        <v>149</v>
      </c>
      <c r="H3379" s="61" t="s">
        <v>1228</v>
      </c>
      <c r="I3379" s="255" t="s">
        <v>1825</v>
      </c>
      <c r="J3379" s="265">
        <v>112</v>
      </c>
      <c r="K3379" s="80">
        <v>112.31</v>
      </c>
      <c r="L3379" s="224"/>
      <c r="M3379" s="224">
        <v>4125000</v>
      </c>
      <c r="N3379" s="224"/>
      <c r="O3379" s="61"/>
      <c r="P3379" s="69" t="str">
        <f t="shared" si="207"/>
        <v>Piutang Usaha</v>
      </c>
      <c r="Q3379" s="61"/>
    </row>
    <row r="3380" spans="1:17" hidden="1" x14ac:dyDescent="0.25">
      <c r="A3380" s="60" t="str">
        <f t="shared" si="205"/>
        <v>189111,03</v>
      </c>
      <c r="B3380" s="60">
        <f>COUNTIF($J$7:J3380,J3380)</f>
        <v>189</v>
      </c>
      <c r="C3380" s="60" t="str">
        <f t="shared" si="206"/>
        <v>0</v>
      </c>
      <c r="D3380" s="60">
        <f>COUNTIF($K$7:K3380,K3380)</f>
        <v>0</v>
      </c>
      <c r="E3380" s="61"/>
      <c r="F3380" s="232">
        <v>44645</v>
      </c>
      <c r="G3380" s="164"/>
      <c r="H3380" s="61" t="s">
        <v>1228</v>
      </c>
      <c r="I3380" s="243" t="s">
        <v>476</v>
      </c>
      <c r="J3380" s="67">
        <v>111.03</v>
      </c>
      <c r="K3380" s="80"/>
      <c r="L3380" s="224">
        <v>70000000</v>
      </c>
      <c r="M3380" s="224"/>
      <c r="N3380" s="224"/>
      <c r="O3380" s="61"/>
      <c r="P3380" s="69" t="str">
        <f t="shared" si="207"/>
        <v>BCA 8607</v>
      </c>
      <c r="Q3380" s="61"/>
    </row>
    <row r="3381" spans="1:17" hidden="1" x14ac:dyDescent="0.25">
      <c r="A3381" s="60" t="str">
        <f t="shared" si="205"/>
        <v>688112</v>
      </c>
      <c r="B3381" s="60">
        <f>COUNTIF($J$7:J3381,J3381)</f>
        <v>688</v>
      </c>
      <c r="C3381" s="60" t="str">
        <f t="shared" si="206"/>
        <v>113112,01</v>
      </c>
      <c r="D3381" s="60">
        <f>COUNTIF($K$7:K3381,K3381)</f>
        <v>113</v>
      </c>
      <c r="E3381" s="61"/>
      <c r="F3381" s="232">
        <v>44645</v>
      </c>
      <c r="G3381" s="164" t="s">
        <v>149</v>
      </c>
      <c r="H3381" s="61" t="s">
        <v>1228</v>
      </c>
      <c r="I3381" s="243" t="s">
        <v>476</v>
      </c>
      <c r="J3381" s="265">
        <v>112</v>
      </c>
      <c r="K3381" s="80">
        <v>112.01</v>
      </c>
      <c r="L3381" s="224"/>
      <c r="M3381" s="224">
        <v>70000000</v>
      </c>
      <c r="N3381" s="224"/>
      <c r="O3381" s="61"/>
      <c r="P3381" s="69" t="str">
        <f t="shared" si="207"/>
        <v>Piutang Usaha</v>
      </c>
      <c r="Q3381" s="61"/>
    </row>
    <row r="3382" spans="1:17" hidden="1" x14ac:dyDescent="0.25">
      <c r="A3382" s="60" t="str">
        <f t="shared" si="205"/>
        <v>190111,03</v>
      </c>
      <c r="B3382" s="60">
        <f>COUNTIF($J$7:J3382,J3382)</f>
        <v>190</v>
      </c>
      <c r="C3382" s="60" t="str">
        <f t="shared" si="206"/>
        <v>0</v>
      </c>
      <c r="D3382" s="60">
        <f>COUNTIF($K$7:K3382,K3382)</f>
        <v>0</v>
      </c>
      <c r="E3382" s="61"/>
      <c r="F3382" s="232">
        <v>44648</v>
      </c>
      <c r="G3382" s="164"/>
      <c r="H3382" s="61" t="s">
        <v>1228</v>
      </c>
      <c r="I3382" s="243" t="s">
        <v>1826</v>
      </c>
      <c r="J3382" s="67">
        <v>111.03</v>
      </c>
      <c r="K3382" s="80"/>
      <c r="L3382" s="224">
        <v>22187000</v>
      </c>
      <c r="M3382" s="224"/>
      <c r="N3382" s="224"/>
      <c r="O3382" s="61"/>
      <c r="P3382" s="69" t="str">
        <f t="shared" si="207"/>
        <v>BCA 8607</v>
      </c>
      <c r="Q3382" s="61"/>
    </row>
    <row r="3383" spans="1:17" hidden="1" x14ac:dyDescent="0.25">
      <c r="A3383" s="60" t="str">
        <f t="shared" si="205"/>
        <v>689112</v>
      </c>
      <c r="B3383" s="60">
        <f>COUNTIF($J$7:J3383,J3383)</f>
        <v>689</v>
      </c>
      <c r="C3383" s="60" t="str">
        <f t="shared" si="206"/>
        <v>109112,06</v>
      </c>
      <c r="D3383" s="60">
        <f>COUNTIF($K$7:K3383,K3383)</f>
        <v>109</v>
      </c>
      <c r="E3383" s="61"/>
      <c r="F3383" s="232">
        <v>44648</v>
      </c>
      <c r="G3383" s="164" t="s">
        <v>149</v>
      </c>
      <c r="H3383" s="61" t="s">
        <v>1228</v>
      </c>
      <c r="I3383" s="243" t="s">
        <v>1826</v>
      </c>
      <c r="J3383" s="265">
        <v>112</v>
      </c>
      <c r="K3383" s="80">
        <v>112.06</v>
      </c>
      <c r="L3383" s="224"/>
      <c r="M3383" s="224">
        <v>22187000</v>
      </c>
      <c r="N3383" s="224"/>
      <c r="O3383" s="61"/>
      <c r="P3383" s="69" t="str">
        <f t="shared" si="207"/>
        <v>Piutang Usaha</v>
      </c>
      <c r="Q3383" s="61"/>
    </row>
    <row r="3384" spans="1:17" hidden="1" x14ac:dyDescent="0.25">
      <c r="A3384" s="60" t="str">
        <f t="shared" si="205"/>
        <v>191111,03</v>
      </c>
      <c r="B3384" s="60">
        <f>COUNTIF($J$7:J3384,J3384)</f>
        <v>191</v>
      </c>
      <c r="C3384" s="60" t="str">
        <f t="shared" si="206"/>
        <v>0</v>
      </c>
      <c r="D3384" s="60">
        <f>COUNTIF($K$7:K3384,K3384)</f>
        <v>0</v>
      </c>
      <c r="E3384" s="61"/>
      <c r="F3384" s="232">
        <v>44649</v>
      </c>
      <c r="G3384" s="164"/>
      <c r="H3384" s="61" t="s">
        <v>1228</v>
      </c>
      <c r="I3384" s="243" t="s">
        <v>1827</v>
      </c>
      <c r="J3384" s="67">
        <v>111.03</v>
      </c>
      <c r="K3384" s="80"/>
      <c r="L3384" s="224">
        <v>2598750</v>
      </c>
      <c r="M3384" s="224"/>
      <c r="N3384" s="224"/>
      <c r="O3384" s="61"/>
      <c r="P3384" s="69" t="str">
        <f t="shared" si="207"/>
        <v>BCA 8607</v>
      </c>
      <c r="Q3384" s="61"/>
    </row>
    <row r="3385" spans="1:17" hidden="1" x14ac:dyDescent="0.25">
      <c r="A3385" s="60" t="str">
        <f t="shared" si="205"/>
        <v>690112</v>
      </c>
      <c r="B3385" s="60">
        <f>COUNTIF($J$7:J3385,J3385)</f>
        <v>690</v>
      </c>
      <c r="C3385" s="60" t="str">
        <f t="shared" si="206"/>
        <v>110112,06</v>
      </c>
      <c r="D3385" s="60">
        <f>COUNTIF($K$7:K3385,K3385)</f>
        <v>110</v>
      </c>
      <c r="E3385" s="61"/>
      <c r="F3385" s="232">
        <v>44649</v>
      </c>
      <c r="G3385" s="164" t="s">
        <v>149</v>
      </c>
      <c r="H3385" s="61" t="s">
        <v>1228</v>
      </c>
      <c r="I3385" s="243" t="s">
        <v>1827</v>
      </c>
      <c r="J3385" s="265">
        <v>112</v>
      </c>
      <c r="K3385" s="80">
        <v>112.06</v>
      </c>
      <c r="L3385" s="224"/>
      <c r="M3385" s="224">
        <v>2598750</v>
      </c>
      <c r="N3385" s="224"/>
      <c r="O3385" s="61"/>
      <c r="P3385" s="69" t="str">
        <f t="shared" si="207"/>
        <v>Piutang Usaha</v>
      </c>
      <c r="Q3385" s="61"/>
    </row>
    <row r="3386" spans="1:17" hidden="1" x14ac:dyDescent="0.25">
      <c r="A3386" s="60" t="str">
        <f t="shared" si="205"/>
        <v>192111,03</v>
      </c>
      <c r="B3386" s="60">
        <f>COUNTIF($J$7:J3386,J3386)</f>
        <v>192</v>
      </c>
      <c r="C3386" s="60" t="str">
        <f t="shared" si="206"/>
        <v>0</v>
      </c>
      <c r="D3386" s="60">
        <f>COUNTIF($K$7:K3386,K3386)</f>
        <v>0</v>
      </c>
      <c r="E3386" s="61"/>
      <c r="F3386" s="232">
        <v>44649</v>
      </c>
      <c r="G3386" s="164"/>
      <c r="H3386" s="61" t="s">
        <v>1228</v>
      </c>
      <c r="I3386" s="243" t="s">
        <v>1828</v>
      </c>
      <c r="J3386" s="67">
        <v>111.03</v>
      </c>
      <c r="K3386" s="80"/>
      <c r="L3386" s="224">
        <v>1620000</v>
      </c>
      <c r="M3386" s="224"/>
      <c r="N3386" s="224"/>
      <c r="O3386" s="61"/>
      <c r="P3386" s="69" t="str">
        <f t="shared" si="207"/>
        <v>BCA 8607</v>
      </c>
      <c r="Q3386" s="61"/>
    </row>
    <row r="3387" spans="1:17" hidden="1" x14ac:dyDescent="0.25">
      <c r="A3387" s="60" t="str">
        <f t="shared" si="205"/>
        <v>691112</v>
      </c>
      <c r="B3387" s="60">
        <f>COUNTIF($J$7:J3387,J3387)</f>
        <v>691</v>
      </c>
      <c r="C3387" s="60" t="str">
        <f t="shared" si="206"/>
        <v>36112,3</v>
      </c>
      <c r="D3387" s="60">
        <f>COUNTIF($K$7:K3387,K3387)</f>
        <v>36</v>
      </c>
      <c r="E3387" s="61"/>
      <c r="F3387" s="232">
        <v>44649</v>
      </c>
      <c r="G3387" s="164" t="s">
        <v>149</v>
      </c>
      <c r="H3387" s="61" t="s">
        <v>1228</v>
      </c>
      <c r="I3387" s="243" t="s">
        <v>1828</v>
      </c>
      <c r="J3387" s="265">
        <v>112</v>
      </c>
      <c r="K3387" s="80">
        <v>112.3</v>
      </c>
      <c r="L3387" s="224"/>
      <c r="M3387" s="224">
        <v>1620000</v>
      </c>
      <c r="N3387" s="224"/>
      <c r="O3387" s="61"/>
      <c r="P3387" s="69" t="str">
        <f t="shared" si="207"/>
        <v>Piutang Usaha</v>
      </c>
      <c r="Q3387" s="61"/>
    </row>
    <row r="3388" spans="1:17" hidden="1" x14ac:dyDescent="0.25">
      <c r="A3388" s="60" t="str">
        <f t="shared" si="205"/>
        <v>193111,03</v>
      </c>
      <c r="B3388" s="60">
        <f>COUNTIF($J$7:J3388,J3388)</f>
        <v>193</v>
      </c>
      <c r="C3388" s="60" t="str">
        <f t="shared" si="206"/>
        <v>0</v>
      </c>
      <c r="D3388" s="60">
        <f>COUNTIF($K$7:K3388,K3388)</f>
        <v>0</v>
      </c>
      <c r="E3388" s="61"/>
      <c r="F3388" s="232">
        <v>44651</v>
      </c>
      <c r="G3388" s="164"/>
      <c r="H3388" s="61" t="s">
        <v>1228</v>
      </c>
      <c r="I3388" s="243" t="s">
        <v>1829</v>
      </c>
      <c r="J3388" s="67">
        <v>111.03</v>
      </c>
      <c r="K3388" s="80"/>
      <c r="L3388" s="224">
        <v>12804000</v>
      </c>
      <c r="M3388" s="224"/>
      <c r="N3388" s="224"/>
      <c r="O3388" s="61"/>
      <c r="P3388" s="69" t="str">
        <f t="shared" si="207"/>
        <v>BCA 8607</v>
      </c>
      <c r="Q3388" s="61"/>
    </row>
    <row r="3389" spans="1:17" hidden="1" x14ac:dyDescent="0.25">
      <c r="A3389" s="60" t="str">
        <f t="shared" si="205"/>
        <v>692112</v>
      </c>
      <c r="B3389" s="60">
        <f>COUNTIF($J$7:J3389,J3389)</f>
        <v>692</v>
      </c>
      <c r="C3389" s="60" t="str">
        <f t="shared" si="206"/>
        <v>111112,06</v>
      </c>
      <c r="D3389" s="60">
        <f>COUNTIF($K$7:K3389,K3389)</f>
        <v>111</v>
      </c>
      <c r="E3389" s="61"/>
      <c r="F3389" s="232">
        <v>44651</v>
      </c>
      <c r="G3389" s="164" t="s">
        <v>149</v>
      </c>
      <c r="H3389" s="61" t="s">
        <v>1228</v>
      </c>
      <c r="I3389" s="243" t="s">
        <v>1829</v>
      </c>
      <c r="J3389" s="265">
        <v>112</v>
      </c>
      <c r="K3389" s="80">
        <v>112.06</v>
      </c>
      <c r="L3389" s="224"/>
      <c r="M3389" s="224">
        <v>12804000</v>
      </c>
      <c r="N3389" s="224"/>
      <c r="O3389" s="61"/>
      <c r="P3389" s="69" t="str">
        <f t="shared" si="207"/>
        <v>Piutang Usaha</v>
      </c>
      <c r="Q3389" s="61"/>
    </row>
    <row r="3390" spans="1:17" hidden="1" x14ac:dyDescent="0.25">
      <c r="A3390" s="60" t="str">
        <f t="shared" si="205"/>
        <v>194111,03</v>
      </c>
      <c r="B3390" s="60">
        <f>COUNTIF($J$7:J3390,J3390)</f>
        <v>194</v>
      </c>
      <c r="C3390" s="60" t="str">
        <f t="shared" si="206"/>
        <v>0</v>
      </c>
      <c r="D3390" s="60">
        <f>COUNTIF($K$7:K3390,K3390)</f>
        <v>0</v>
      </c>
      <c r="E3390" s="61"/>
      <c r="F3390" s="232">
        <v>44651</v>
      </c>
      <c r="G3390" s="164"/>
      <c r="H3390" s="61" t="s">
        <v>1228</v>
      </c>
      <c r="I3390" s="243" t="s">
        <v>1800</v>
      </c>
      <c r="J3390" s="67">
        <v>111.03</v>
      </c>
      <c r="K3390" s="80"/>
      <c r="L3390" s="224">
        <v>40000000</v>
      </c>
      <c r="M3390" s="224"/>
      <c r="N3390" s="224"/>
      <c r="O3390" s="61"/>
      <c r="P3390" s="69" t="str">
        <f t="shared" si="207"/>
        <v>BCA 8607</v>
      </c>
      <c r="Q3390" s="61"/>
    </row>
    <row r="3391" spans="1:17" hidden="1" x14ac:dyDescent="0.25">
      <c r="A3391" s="60" t="str">
        <f t="shared" si="205"/>
        <v>693112</v>
      </c>
      <c r="B3391" s="60">
        <f>COUNTIF($J$7:J3391,J3391)</f>
        <v>693</v>
      </c>
      <c r="C3391" s="60" t="str">
        <f t="shared" si="206"/>
        <v>79112,02</v>
      </c>
      <c r="D3391" s="60">
        <f>COUNTIF($K$7:K3391,K3391)</f>
        <v>79</v>
      </c>
      <c r="E3391" s="61"/>
      <c r="F3391" s="232">
        <v>44651</v>
      </c>
      <c r="G3391" s="164" t="s">
        <v>149</v>
      </c>
      <c r="H3391" s="61" t="s">
        <v>1228</v>
      </c>
      <c r="I3391" s="243" t="s">
        <v>1800</v>
      </c>
      <c r="J3391" s="265">
        <v>112</v>
      </c>
      <c r="K3391" s="80">
        <v>112.02</v>
      </c>
      <c r="L3391" s="224"/>
      <c r="M3391" s="224">
        <v>40000000</v>
      </c>
      <c r="N3391" s="224"/>
      <c r="O3391" s="61"/>
      <c r="P3391" s="69" t="str">
        <f t="shared" si="207"/>
        <v>Piutang Usaha</v>
      </c>
      <c r="Q3391" s="61"/>
    </row>
    <row r="3392" spans="1:17" hidden="1" x14ac:dyDescent="0.25">
      <c r="A3392" s="60" t="str">
        <f t="shared" si="205"/>
        <v>101810,01</v>
      </c>
      <c r="B3392" s="60">
        <f>COUNTIF($J$7:J3392,J3392)</f>
        <v>101</v>
      </c>
      <c r="C3392" s="60" t="str">
        <f t="shared" si="206"/>
        <v>0</v>
      </c>
      <c r="D3392" s="60">
        <f>COUNTIF($K$7:K3392,K3392)</f>
        <v>0</v>
      </c>
      <c r="E3392" s="61"/>
      <c r="F3392" s="232">
        <v>44651</v>
      </c>
      <c r="G3392" s="164"/>
      <c r="H3392" s="61" t="s">
        <v>1228</v>
      </c>
      <c r="I3392" s="255" t="s">
        <v>1769</v>
      </c>
      <c r="J3392" s="67">
        <v>810.01</v>
      </c>
      <c r="K3392" s="80"/>
      <c r="L3392" s="224">
        <v>30000</v>
      </c>
      <c r="M3392" s="224"/>
      <c r="N3392" s="224"/>
      <c r="O3392" s="224"/>
      <c r="P3392" s="69" t="str">
        <f t="shared" si="207"/>
        <v>Biaya Admin Transfer dan Rek</v>
      </c>
      <c r="Q3392" s="61"/>
    </row>
    <row r="3393" spans="1:17" hidden="1" x14ac:dyDescent="0.25">
      <c r="A3393" s="60" t="str">
        <f t="shared" si="205"/>
        <v>195111,03</v>
      </c>
      <c r="B3393" s="60">
        <f>COUNTIF($J$7:J3393,J3393)</f>
        <v>195</v>
      </c>
      <c r="C3393" s="60" t="str">
        <f t="shared" si="206"/>
        <v>0</v>
      </c>
      <c r="D3393" s="60">
        <f>COUNTIF($K$7:K3393,K3393)</f>
        <v>0</v>
      </c>
      <c r="E3393" s="61"/>
      <c r="F3393" s="232">
        <v>44651</v>
      </c>
      <c r="G3393" s="164"/>
      <c r="H3393" s="61" t="s">
        <v>1228</v>
      </c>
      <c r="I3393" s="255" t="s">
        <v>1769</v>
      </c>
      <c r="J3393" s="67">
        <v>111.03</v>
      </c>
      <c r="K3393" s="80"/>
      <c r="L3393" s="224"/>
      <c r="M3393" s="224">
        <v>30000</v>
      </c>
      <c r="N3393" s="224"/>
      <c r="O3393" s="61"/>
      <c r="P3393" s="69" t="str">
        <f t="shared" si="207"/>
        <v>BCA 8607</v>
      </c>
      <c r="Q3393" s="61"/>
    </row>
    <row r="3394" spans="1:17" hidden="1" x14ac:dyDescent="0.25">
      <c r="A3394" s="60" t="str">
        <f t="shared" si="205"/>
        <v>9111,02</v>
      </c>
      <c r="B3394" s="60">
        <f>COUNTIF($J$7:J3394,J3394)</f>
        <v>9</v>
      </c>
      <c r="C3394" s="60" t="str">
        <f t="shared" si="206"/>
        <v>0</v>
      </c>
      <c r="D3394" s="60">
        <f>COUNTIF($K$7:K3394,K3394)</f>
        <v>0</v>
      </c>
      <c r="E3394" s="61"/>
      <c r="F3394" s="232">
        <v>44651</v>
      </c>
      <c r="G3394" s="164"/>
      <c r="H3394" s="61" t="s">
        <v>1222</v>
      </c>
      <c r="I3394" s="255" t="s">
        <v>435</v>
      </c>
      <c r="J3394" s="300">
        <v>111.02</v>
      </c>
      <c r="K3394" s="80"/>
      <c r="L3394" s="224">
        <f>0.03*14349.005</f>
        <v>430.47014999999993</v>
      </c>
      <c r="M3394" s="224"/>
      <c r="N3394" s="224"/>
      <c r="O3394" s="61" t="s">
        <v>1830</v>
      </c>
      <c r="P3394" s="69" t="str">
        <f t="shared" si="207"/>
        <v>BNI USD 688</v>
      </c>
      <c r="Q3394" s="61"/>
    </row>
    <row r="3395" spans="1:17" hidden="1" x14ac:dyDescent="0.25">
      <c r="A3395" s="60" t="str">
        <f t="shared" si="205"/>
        <v>6710,01</v>
      </c>
      <c r="B3395" s="60">
        <f>COUNTIF($J$7:J3395,J3395)</f>
        <v>6</v>
      </c>
      <c r="C3395" s="60" t="str">
        <f t="shared" si="206"/>
        <v>0</v>
      </c>
      <c r="D3395" s="60">
        <f>COUNTIF($K$7:K3395,K3395)</f>
        <v>0</v>
      </c>
      <c r="E3395" s="61"/>
      <c r="F3395" s="232">
        <v>44651</v>
      </c>
      <c r="G3395" s="164"/>
      <c r="H3395" s="61" t="s">
        <v>1222</v>
      </c>
      <c r="I3395" s="255" t="s">
        <v>435</v>
      </c>
      <c r="J3395" s="301">
        <v>710.01</v>
      </c>
      <c r="K3395" s="80"/>
      <c r="L3395" s="224"/>
      <c r="M3395" s="224">
        <f>L3394</f>
        <v>430.47014999999993</v>
      </c>
      <c r="N3395" s="224"/>
      <c r="O3395" s="61"/>
      <c r="P3395" s="69" t="str">
        <f t="shared" si="207"/>
        <v>Pendapatan Jasa Giro/Bunga Bank</v>
      </c>
      <c r="Q3395" s="61"/>
    </row>
    <row r="3396" spans="1:17" hidden="1" x14ac:dyDescent="0.25">
      <c r="A3396" s="60" t="str">
        <f t="shared" si="205"/>
        <v>6810,02</v>
      </c>
      <c r="B3396" s="60">
        <f>COUNTIF($J$7:J3396,J3396)</f>
        <v>6</v>
      </c>
      <c r="C3396" s="60" t="str">
        <f t="shared" si="206"/>
        <v>0</v>
      </c>
      <c r="D3396" s="60">
        <f>COUNTIF($K$7:K3396,K3396)</f>
        <v>0</v>
      </c>
      <c r="E3396" s="61"/>
      <c r="F3396" s="232">
        <v>44651</v>
      </c>
      <c r="G3396" s="164"/>
      <c r="H3396" s="61" t="s">
        <v>1222</v>
      </c>
      <c r="I3396" s="255" t="s">
        <v>1768</v>
      </c>
      <c r="J3396" s="301">
        <v>810.02</v>
      </c>
      <c r="K3396" s="80"/>
      <c r="L3396" s="224">
        <f>0.01*14349.005</f>
        <v>143.49005</v>
      </c>
      <c r="M3396" s="224"/>
      <c r="N3396" s="224"/>
      <c r="O3396" s="61"/>
      <c r="P3396" s="69" t="str">
        <f t="shared" si="207"/>
        <v>Biaya Pajak Jagir</v>
      </c>
      <c r="Q3396" s="61"/>
    </row>
    <row r="3397" spans="1:17" hidden="1" x14ac:dyDescent="0.25">
      <c r="A3397" s="60" t="str">
        <f t="shared" si="205"/>
        <v>10111,02</v>
      </c>
      <c r="B3397" s="60">
        <f>COUNTIF($J$7:J3397,J3397)</f>
        <v>10</v>
      </c>
      <c r="C3397" s="60" t="str">
        <f t="shared" si="206"/>
        <v>0</v>
      </c>
      <c r="D3397" s="60">
        <f>COUNTIF($K$7:K3397,K3397)</f>
        <v>0</v>
      </c>
      <c r="E3397" s="61"/>
      <c r="F3397" s="232">
        <v>44651</v>
      </c>
      <c r="G3397" s="164"/>
      <c r="H3397" s="61" t="s">
        <v>1222</v>
      </c>
      <c r="I3397" s="255" t="s">
        <v>1768</v>
      </c>
      <c r="J3397" s="300">
        <v>111.02</v>
      </c>
      <c r="K3397" s="80"/>
      <c r="L3397" s="224"/>
      <c r="M3397" s="224">
        <f>L3396</f>
        <v>143.49005</v>
      </c>
      <c r="N3397" s="224"/>
      <c r="O3397" s="61"/>
      <c r="P3397" s="69" t="str">
        <f t="shared" si="207"/>
        <v>BNI USD 688</v>
      </c>
      <c r="Q3397" s="61"/>
    </row>
    <row r="3398" spans="1:17" hidden="1" x14ac:dyDescent="0.25">
      <c r="A3398" s="60" t="str">
        <f t="shared" si="205"/>
        <v>102810,01</v>
      </c>
      <c r="B3398" s="60">
        <f>COUNTIF($J$7:J3398,J3398)</f>
        <v>102</v>
      </c>
      <c r="C3398" s="60" t="str">
        <f t="shared" si="206"/>
        <v>0</v>
      </c>
      <c r="D3398" s="60">
        <f>COUNTIF($K$7:K3398,K3398)</f>
        <v>0</v>
      </c>
      <c r="E3398" s="61"/>
      <c r="F3398" s="232">
        <v>44651</v>
      </c>
      <c r="G3398" s="164"/>
      <c r="H3398" s="61" t="s">
        <v>1222</v>
      </c>
      <c r="I3398" s="255" t="s">
        <v>1769</v>
      </c>
      <c r="J3398" s="67">
        <v>810.01</v>
      </c>
      <c r="K3398" s="80"/>
      <c r="L3398" s="224">
        <f>2.5*14349.005</f>
        <v>35872.512499999997</v>
      </c>
      <c r="M3398" s="224"/>
      <c r="N3398" s="224"/>
      <c r="O3398" s="61"/>
      <c r="P3398" s="69" t="str">
        <f t="shared" si="207"/>
        <v>Biaya Admin Transfer dan Rek</v>
      </c>
      <c r="Q3398" s="61"/>
    </row>
    <row r="3399" spans="1:17" hidden="1" x14ac:dyDescent="0.25">
      <c r="A3399" s="60" t="str">
        <f t="shared" ref="A3399:A3462" si="208">B3399&amp;J3399</f>
        <v>11111,02</v>
      </c>
      <c r="B3399" s="60">
        <f>COUNTIF($J$7:J3399,J3399)</f>
        <v>11</v>
      </c>
      <c r="C3399" s="60" t="str">
        <f t="shared" ref="C3399:C3462" si="209">D3399&amp;K3399</f>
        <v>0</v>
      </c>
      <c r="D3399" s="60">
        <f>COUNTIF($K$7:K3399,K3399)</f>
        <v>0</v>
      </c>
      <c r="E3399" s="61"/>
      <c r="F3399" s="232">
        <v>44651</v>
      </c>
      <c r="G3399" s="164"/>
      <c r="H3399" s="61" t="s">
        <v>1222</v>
      </c>
      <c r="I3399" s="255" t="s">
        <v>1769</v>
      </c>
      <c r="J3399" s="300">
        <v>111.02</v>
      </c>
      <c r="K3399" s="80"/>
      <c r="L3399" s="224"/>
      <c r="M3399" s="224">
        <f>L3398</f>
        <v>35872.512499999997</v>
      </c>
      <c r="N3399" s="224"/>
      <c r="O3399" s="61"/>
      <c r="P3399" s="69" t="str">
        <f t="shared" ref="P3399:P3462" si="210">IF(J3399=0,"-",+VLOOKUP(J3399,DAF_AKUN,2,FALSE))</f>
        <v>BNI USD 688</v>
      </c>
      <c r="Q3399" s="61"/>
    </row>
    <row r="3400" spans="1:17" hidden="1" x14ac:dyDescent="0.25">
      <c r="A3400" s="60" t="str">
        <f t="shared" si="208"/>
        <v>12810,04</v>
      </c>
      <c r="B3400" s="60">
        <f>COUNTIF($J$7:J3400,J3400)</f>
        <v>12</v>
      </c>
      <c r="C3400" s="60" t="str">
        <f t="shared" si="209"/>
        <v>0</v>
      </c>
      <c r="D3400" s="60">
        <f>COUNTIF($K$7:K3400,K3400)</f>
        <v>0</v>
      </c>
      <c r="E3400" s="61"/>
      <c r="F3400" s="232">
        <v>44651</v>
      </c>
      <c r="G3400" s="164"/>
      <c r="H3400" s="61" t="s">
        <v>1222</v>
      </c>
      <c r="I3400" s="255" t="s">
        <v>1227</v>
      </c>
      <c r="J3400" s="67">
        <v>810.04</v>
      </c>
      <c r="K3400" s="80"/>
      <c r="L3400" s="224">
        <f>2.19368793515582*14349.005</f>
        <v>31477.239149990535</v>
      </c>
      <c r="M3400" s="224"/>
      <c r="N3400" s="224"/>
      <c r="O3400" s="61"/>
      <c r="P3400" s="69" t="str">
        <f t="shared" si="210"/>
        <v>Selisih kurs</v>
      </c>
      <c r="Q3400" s="61"/>
    </row>
    <row r="3401" spans="1:17" hidden="1" x14ac:dyDescent="0.25">
      <c r="A3401" s="60" t="str">
        <f t="shared" si="208"/>
        <v>12111,02</v>
      </c>
      <c r="B3401" s="60">
        <f>COUNTIF($J$7:J3401,J3401)</f>
        <v>12</v>
      </c>
      <c r="C3401" s="60" t="str">
        <f t="shared" si="209"/>
        <v>0</v>
      </c>
      <c r="D3401" s="60">
        <f>COUNTIF($K$7:K3401,K3401)</f>
        <v>0</v>
      </c>
      <c r="E3401" s="61"/>
      <c r="F3401" s="232">
        <v>44651</v>
      </c>
      <c r="G3401" s="164"/>
      <c r="H3401" s="61" t="s">
        <v>1222</v>
      </c>
      <c r="I3401" s="255" t="s">
        <v>1227</v>
      </c>
      <c r="J3401" s="300">
        <v>111.02</v>
      </c>
      <c r="K3401" s="80"/>
      <c r="L3401" s="224"/>
      <c r="M3401" s="224">
        <f>L3400</f>
        <v>31477.239149990535</v>
      </c>
      <c r="N3401" s="224"/>
      <c r="O3401" s="61"/>
      <c r="P3401" s="69" t="str">
        <f t="shared" si="210"/>
        <v>BNI USD 688</v>
      </c>
      <c r="Q3401" s="61"/>
    </row>
    <row r="3402" spans="1:17" hidden="1" x14ac:dyDescent="0.25">
      <c r="A3402" s="60" t="str">
        <f t="shared" si="208"/>
        <v>103810,01</v>
      </c>
      <c r="B3402" s="60">
        <f>COUNTIF($J$7:J3402,J3402)</f>
        <v>103</v>
      </c>
      <c r="C3402" s="60" t="str">
        <f t="shared" si="209"/>
        <v>0</v>
      </c>
      <c r="D3402" s="60">
        <f>COUNTIF($K$7:K3402,K3402)</f>
        <v>0</v>
      </c>
      <c r="E3402" s="61"/>
      <c r="F3402" s="232">
        <v>44651</v>
      </c>
      <c r="G3402" s="164"/>
      <c r="H3402" s="61" t="s">
        <v>1831</v>
      </c>
      <c r="I3402" s="255" t="s">
        <v>1769</v>
      </c>
      <c r="J3402" s="67">
        <v>810.01</v>
      </c>
      <c r="K3402" s="80"/>
      <c r="L3402" s="224">
        <v>30000</v>
      </c>
      <c r="M3402" s="224"/>
      <c r="N3402" s="224"/>
      <c r="O3402" s="61"/>
      <c r="P3402" s="69" t="str">
        <f t="shared" si="210"/>
        <v>Biaya Admin Transfer dan Rek</v>
      </c>
      <c r="Q3402" s="61"/>
    </row>
    <row r="3403" spans="1:17" hidden="1" x14ac:dyDescent="0.25">
      <c r="A3403" s="60" t="str">
        <f t="shared" si="208"/>
        <v>3111,04</v>
      </c>
      <c r="B3403" s="60">
        <f>COUNTIF($J$7:J3403,J3403)</f>
        <v>3</v>
      </c>
      <c r="C3403" s="60" t="str">
        <f t="shared" si="209"/>
        <v>0</v>
      </c>
      <c r="D3403" s="60">
        <f>COUNTIF($K$7:K3403,K3403)</f>
        <v>0</v>
      </c>
      <c r="E3403" s="61"/>
      <c r="F3403" s="232">
        <v>44651</v>
      </c>
      <c r="G3403" s="164"/>
      <c r="H3403" s="61" t="s">
        <v>1831</v>
      </c>
      <c r="I3403" s="255" t="s">
        <v>1769</v>
      </c>
      <c r="J3403" s="300">
        <v>111.04</v>
      </c>
      <c r="K3403" s="80"/>
      <c r="L3403" s="224"/>
      <c r="M3403" s="224">
        <f>L3402</f>
        <v>30000</v>
      </c>
      <c r="N3403" s="224"/>
      <c r="O3403" s="61"/>
      <c r="P3403" s="69" t="str">
        <f t="shared" si="210"/>
        <v>BCA 8615</v>
      </c>
      <c r="Q3403" s="61"/>
    </row>
    <row r="3404" spans="1:17" hidden="1" x14ac:dyDescent="0.25">
      <c r="A3404" s="60" t="str">
        <f t="shared" si="208"/>
        <v>104810,01</v>
      </c>
      <c r="B3404" s="60">
        <f>COUNTIF($J$7:J3404,J3404)</f>
        <v>104</v>
      </c>
      <c r="C3404" s="60" t="str">
        <f t="shared" si="209"/>
        <v>0</v>
      </c>
      <c r="D3404" s="60">
        <f>COUNTIF($K$7:K3404,K3404)</f>
        <v>0</v>
      </c>
      <c r="E3404" s="61"/>
      <c r="F3404" s="232">
        <v>44651</v>
      </c>
      <c r="G3404" s="164"/>
      <c r="H3404" s="61" t="s">
        <v>1832</v>
      </c>
      <c r="I3404" s="255" t="s">
        <v>1769</v>
      </c>
      <c r="J3404" s="67">
        <v>810.01</v>
      </c>
      <c r="K3404" s="80"/>
      <c r="L3404" s="224">
        <f>5*14349.005</f>
        <v>71745.024999999994</v>
      </c>
      <c r="M3404" s="224"/>
      <c r="N3404" s="224"/>
      <c r="O3404" s="61"/>
      <c r="P3404" s="69" t="str">
        <f t="shared" si="210"/>
        <v>Biaya Admin Transfer dan Rek</v>
      </c>
      <c r="Q3404" s="61"/>
    </row>
    <row r="3405" spans="1:17" hidden="1" x14ac:dyDescent="0.25">
      <c r="A3405" s="60" t="str">
        <f t="shared" si="208"/>
        <v>3111,05</v>
      </c>
      <c r="B3405" s="60">
        <f>COUNTIF($J$7:J3405,J3405)</f>
        <v>3</v>
      </c>
      <c r="C3405" s="60" t="str">
        <f t="shared" si="209"/>
        <v>0</v>
      </c>
      <c r="D3405" s="60">
        <f>COUNTIF($K$7:K3405,K3405)</f>
        <v>0</v>
      </c>
      <c r="E3405" s="61"/>
      <c r="F3405" s="232">
        <v>44651</v>
      </c>
      <c r="G3405" s="164"/>
      <c r="H3405" s="61" t="s">
        <v>1832</v>
      </c>
      <c r="I3405" s="255" t="s">
        <v>1769</v>
      </c>
      <c r="J3405" s="300">
        <v>111.05</v>
      </c>
      <c r="K3405" s="80"/>
      <c r="L3405" s="224"/>
      <c r="M3405" s="224">
        <f>L3404</f>
        <v>71745.024999999994</v>
      </c>
      <c r="N3405" s="224"/>
      <c r="O3405" s="61"/>
      <c r="P3405" s="69" t="str">
        <f t="shared" si="210"/>
        <v>BCA USD 8623</v>
      </c>
      <c r="Q3405" s="61"/>
    </row>
    <row r="3406" spans="1:17" hidden="1" x14ac:dyDescent="0.25">
      <c r="A3406" s="60" t="str">
        <f t="shared" si="208"/>
        <v>13810,04</v>
      </c>
      <c r="B3406" s="60">
        <f>COUNTIF($J$7:J3406,J3406)</f>
        <v>13</v>
      </c>
      <c r="C3406" s="60" t="str">
        <f t="shared" si="209"/>
        <v>0</v>
      </c>
      <c r="D3406" s="60">
        <f>COUNTIF($K$7:K3406,K3406)</f>
        <v>0</v>
      </c>
      <c r="E3406" s="61"/>
      <c r="F3406" s="232">
        <v>44651</v>
      </c>
      <c r="G3406" s="164"/>
      <c r="H3406" s="61" t="s">
        <v>1832</v>
      </c>
      <c r="I3406" s="255" t="s">
        <v>1833</v>
      </c>
      <c r="J3406" s="67">
        <v>810.04</v>
      </c>
      <c r="K3406" s="80"/>
      <c r="L3406" s="224">
        <f>1.69524507099959*14349.005</f>
        <v>24325.07999999847</v>
      </c>
      <c r="M3406" s="224"/>
      <c r="N3406" s="224"/>
      <c r="O3406" s="61"/>
      <c r="P3406" s="69" t="str">
        <f t="shared" si="210"/>
        <v>Selisih kurs</v>
      </c>
      <c r="Q3406" s="61"/>
    </row>
    <row r="3407" spans="1:17" hidden="1" x14ac:dyDescent="0.25">
      <c r="A3407" s="60" t="str">
        <f t="shared" si="208"/>
        <v>4111,05</v>
      </c>
      <c r="B3407" s="60">
        <f>COUNTIF($J$7:J3407,J3407)</f>
        <v>4</v>
      </c>
      <c r="C3407" s="60" t="str">
        <f t="shared" si="209"/>
        <v>0</v>
      </c>
      <c r="D3407" s="60">
        <f>COUNTIF($K$7:K3407,K3407)</f>
        <v>0</v>
      </c>
      <c r="E3407" s="61"/>
      <c r="F3407" s="232">
        <v>44651</v>
      </c>
      <c r="G3407" s="164"/>
      <c r="H3407" s="61" t="s">
        <v>1832</v>
      </c>
      <c r="I3407" s="255" t="s">
        <v>1833</v>
      </c>
      <c r="J3407" s="300">
        <v>111.05</v>
      </c>
      <c r="K3407" s="80"/>
      <c r="L3407" s="224"/>
      <c r="M3407" s="224">
        <f>1.69524507099959*14349.005</f>
        <v>24325.07999999847</v>
      </c>
      <c r="N3407" s="224"/>
      <c r="O3407" s="61"/>
      <c r="P3407" s="69" t="str">
        <f t="shared" si="210"/>
        <v>BCA USD 8623</v>
      </c>
      <c r="Q3407" s="61"/>
    </row>
    <row r="3408" spans="1:17" hidden="1" x14ac:dyDescent="0.25">
      <c r="A3408" s="60" t="str">
        <f t="shared" si="208"/>
        <v>36610,1</v>
      </c>
      <c r="B3408" s="60">
        <f>COUNTIF($J$7:J3408,J3408)</f>
        <v>36</v>
      </c>
      <c r="C3408" s="60" t="str">
        <f t="shared" si="209"/>
        <v>0</v>
      </c>
      <c r="D3408" s="60">
        <f>COUNTIF($K$7:K3408,K3408)</f>
        <v>0</v>
      </c>
      <c r="E3408" s="61"/>
      <c r="F3408" s="220">
        <v>44626</v>
      </c>
      <c r="G3408" s="164"/>
      <c r="H3408" s="61" t="s">
        <v>1834</v>
      </c>
      <c r="I3408" s="230" t="s">
        <v>1835</v>
      </c>
      <c r="J3408" s="61">
        <v>610.1</v>
      </c>
      <c r="K3408" s="80"/>
      <c r="L3408" s="251">
        <v>62000</v>
      </c>
      <c r="M3408" s="224"/>
      <c r="N3408" s="224"/>
      <c r="O3408" s="61"/>
      <c r="P3408" s="69" t="str">
        <f t="shared" si="210"/>
        <v>Biaya Rumah Tangga Kantor</v>
      </c>
      <c r="Q3408" s="61"/>
    </row>
    <row r="3409" spans="1:17" hidden="1" x14ac:dyDescent="0.25">
      <c r="A3409" s="60" t="str">
        <f t="shared" si="208"/>
        <v>37610,1</v>
      </c>
      <c r="B3409" s="60">
        <f>COUNTIF($J$7:J3409,J3409)</f>
        <v>37</v>
      </c>
      <c r="C3409" s="60" t="str">
        <f t="shared" si="209"/>
        <v>0</v>
      </c>
      <c r="D3409" s="60">
        <f>COUNTIF($K$7:K3409,K3409)</f>
        <v>0</v>
      </c>
      <c r="E3409" s="61"/>
      <c r="F3409" s="220">
        <v>44629</v>
      </c>
      <c r="G3409" s="164"/>
      <c r="H3409" s="61" t="s">
        <v>1836</v>
      </c>
      <c r="I3409" s="230" t="s">
        <v>1837</v>
      </c>
      <c r="J3409" s="61">
        <v>610.1</v>
      </c>
      <c r="K3409" s="80"/>
      <c r="L3409" s="251">
        <v>39000</v>
      </c>
      <c r="M3409" s="224"/>
      <c r="N3409" s="224"/>
      <c r="O3409" s="61"/>
      <c r="P3409" s="69" t="str">
        <f t="shared" si="210"/>
        <v>Biaya Rumah Tangga Kantor</v>
      </c>
      <c r="Q3409" s="61"/>
    </row>
    <row r="3410" spans="1:17" ht="16.149999999999999" hidden="1" customHeight="1" x14ac:dyDescent="0.25">
      <c r="A3410" s="60" t="str">
        <f t="shared" si="208"/>
        <v>38610,1</v>
      </c>
      <c r="B3410" s="60">
        <f>COUNTIF($J$7:J3410,J3410)</f>
        <v>38</v>
      </c>
      <c r="C3410" s="60" t="str">
        <f t="shared" si="209"/>
        <v>0</v>
      </c>
      <c r="D3410" s="60">
        <f>COUNTIF($K$7:K3410,K3410)</f>
        <v>0</v>
      </c>
      <c r="E3410" s="61"/>
      <c r="F3410" s="220">
        <v>44629</v>
      </c>
      <c r="G3410" s="164"/>
      <c r="H3410" s="61" t="s">
        <v>1838</v>
      </c>
      <c r="I3410" s="302" t="s">
        <v>1839</v>
      </c>
      <c r="J3410" s="61">
        <v>610.1</v>
      </c>
      <c r="K3410" s="80"/>
      <c r="L3410" s="253">
        <v>54000</v>
      </c>
      <c r="M3410" s="224"/>
      <c r="N3410" s="224"/>
      <c r="O3410" s="61"/>
      <c r="P3410" s="69" t="str">
        <f t="shared" si="210"/>
        <v>Biaya Rumah Tangga Kantor</v>
      </c>
      <c r="Q3410" s="61"/>
    </row>
    <row r="3411" spans="1:17" hidden="1" x14ac:dyDescent="0.25">
      <c r="A3411" s="60" t="str">
        <f t="shared" si="208"/>
        <v>39610,1</v>
      </c>
      <c r="B3411" s="60">
        <f>COUNTIF($J$7:J3411,J3411)</f>
        <v>39</v>
      </c>
      <c r="C3411" s="60" t="str">
        <f t="shared" si="209"/>
        <v>0</v>
      </c>
      <c r="D3411" s="60">
        <f>COUNTIF($K$7:K3411,K3411)</f>
        <v>0</v>
      </c>
      <c r="E3411" s="61"/>
      <c r="F3411" s="220">
        <v>44629</v>
      </c>
      <c r="G3411" s="164"/>
      <c r="H3411" s="61" t="s">
        <v>1840</v>
      </c>
      <c r="I3411" s="230" t="s">
        <v>1841</v>
      </c>
      <c r="J3411" s="61">
        <v>610.1</v>
      </c>
      <c r="K3411" s="80"/>
      <c r="L3411" s="251">
        <v>17700</v>
      </c>
      <c r="M3411" s="224"/>
      <c r="N3411" s="224"/>
      <c r="O3411" s="61"/>
      <c r="P3411" s="69" t="str">
        <f t="shared" si="210"/>
        <v>Biaya Rumah Tangga Kantor</v>
      </c>
      <c r="Q3411" s="61"/>
    </row>
    <row r="3412" spans="1:17" hidden="1" x14ac:dyDescent="0.25">
      <c r="A3412" s="60" t="str">
        <f t="shared" si="208"/>
        <v>40610,1</v>
      </c>
      <c r="B3412" s="60">
        <f>COUNTIF($J$7:J3412,J3412)</f>
        <v>40</v>
      </c>
      <c r="C3412" s="60" t="str">
        <f t="shared" si="209"/>
        <v>0</v>
      </c>
      <c r="D3412" s="60">
        <f>COUNTIF($K$7:K3412,K3412)</f>
        <v>0</v>
      </c>
      <c r="E3412" s="61"/>
      <c r="F3412" s="220">
        <v>44630</v>
      </c>
      <c r="G3412" s="164"/>
      <c r="H3412" s="61" t="s">
        <v>1842</v>
      </c>
      <c r="I3412" s="230" t="s">
        <v>1843</v>
      </c>
      <c r="J3412" s="61">
        <v>610.1</v>
      </c>
      <c r="K3412" s="80"/>
      <c r="L3412" s="251">
        <v>11800</v>
      </c>
      <c r="M3412" s="224"/>
      <c r="N3412" s="224"/>
      <c r="O3412" s="61"/>
      <c r="P3412" s="69" t="str">
        <f t="shared" si="210"/>
        <v>Biaya Rumah Tangga Kantor</v>
      </c>
      <c r="Q3412" s="61"/>
    </row>
    <row r="3413" spans="1:17" hidden="1" x14ac:dyDescent="0.25">
      <c r="A3413" s="60" t="str">
        <f t="shared" si="208"/>
        <v>23110</v>
      </c>
      <c r="B3413" s="60">
        <f>COUNTIF($J$7:J3413,J3413)</f>
        <v>23</v>
      </c>
      <c r="C3413" s="60" t="str">
        <f t="shared" si="209"/>
        <v>0</v>
      </c>
      <c r="D3413" s="60">
        <f>COUNTIF($K$7:K3413,K3413)</f>
        <v>0</v>
      </c>
      <c r="E3413" s="61"/>
      <c r="F3413" s="220">
        <v>44626</v>
      </c>
      <c r="G3413" s="164"/>
      <c r="H3413" s="61" t="s">
        <v>1834</v>
      </c>
      <c r="I3413" s="230" t="s">
        <v>1835</v>
      </c>
      <c r="J3413" s="67">
        <v>110</v>
      </c>
      <c r="K3413" s="80"/>
      <c r="L3413" s="251"/>
      <c r="M3413" s="251">
        <v>62000</v>
      </c>
      <c r="N3413" s="251"/>
      <c r="O3413" s="61"/>
      <c r="P3413" s="69" t="str">
        <f t="shared" si="210"/>
        <v xml:space="preserve"> Kas Kecil</v>
      </c>
      <c r="Q3413" s="61"/>
    </row>
    <row r="3414" spans="1:17" hidden="1" x14ac:dyDescent="0.25">
      <c r="A3414" s="60" t="str">
        <f t="shared" si="208"/>
        <v>24110</v>
      </c>
      <c r="B3414" s="60">
        <f>COUNTIF($J$7:J3414,J3414)</f>
        <v>24</v>
      </c>
      <c r="C3414" s="60" t="str">
        <f t="shared" si="209"/>
        <v>0</v>
      </c>
      <c r="D3414" s="60">
        <f>COUNTIF($K$7:K3414,K3414)</f>
        <v>0</v>
      </c>
      <c r="E3414" s="61"/>
      <c r="F3414" s="220">
        <v>44629</v>
      </c>
      <c r="G3414" s="164"/>
      <c r="H3414" s="61" t="s">
        <v>1836</v>
      </c>
      <c r="I3414" s="230" t="s">
        <v>1837</v>
      </c>
      <c r="J3414" s="67">
        <v>110</v>
      </c>
      <c r="K3414" s="80"/>
      <c r="L3414" s="251"/>
      <c r="M3414" s="251">
        <v>39000</v>
      </c>
      <c r="N3414" s="251"/>
      <c r="O3414" s="61"/>
      <c r="P3414" s="69" t="str">
        <f t="shared" si="210"/>
        <v xml:space="preserve"> Kas Kecil</v>
      </c>
      <c r="Q3414" s="61"/>
    </row>
    <row r="3415" spans="1:17" hidden="1" x14ac:dyDescent="0.25">
      <c r="A3415" s="60" t="str">
        <f t="shared" si="208"/>
        <v>25110</v>
      </c>
      <c r="B3415" s="60">
        <f>COUNTIF($J$7:J3415,J3415)</f>
        <v>25</v>
      </c>
      <c r="C3415" s="60" t="str">
        <f t="shared" si="209"/>
        <v>0</v>
      </c>
      <c r="D3415" s="60">
        <f>COUNTIF($K$7:K3415,K3415)</f>
        <v>0</v>
      </c>
      <c r="E3415" s="61"/>
      <c r="F3415" s="220">
        <v>44629</v>
      </c>
      <c r="G3415" s="164"/>
      <c r="H3415" s="61" t="s">
        <v>1838</v>
      </c>
      <c r="I3415" s="302" t="s">
        <v>1839</v>
      </c>
      <c r="J3415" s="67">
        <v>110</v>
      </c>
      <c r="K3415" s="80"/>
      <c r="L3415" s="251"/>
      <c r="M3415" s="253">
        <v>54000</v>
      </c>
      <c r="N3415" s="253"/>
      <c r="O3415" s="61"/>
      <c r="P3415" s="69" t="str">
        <f t="shared" si="210"/>
        <v xml:space="preserve"> Kas Kecil</v>
      </c>
      <c r="Q3415" s="61"/>
    </row>
    <row r="3416" spans="1:17" hidden="1" x14ac:dyDescent="0.25">
      <c r="A3416" s="60" t="str">
        <f t="shared" si="208"/>
        <v>26110</v>
      </c>
      <c r="B3416" s="60">
        <f>COUNTIF($J$7:J3416,J3416)</f>
        <v>26</v>
      </c>
      <c r="C3416" s="60" t="str">
        <f t="shared" si="209"/>
        <v>0</v>
      </c>
      <c r="D3416" s="60">
        <f>COUNTIF($K$7:K3416,K3416)</f>
        <v>0</v>
      </c>
      <c r="E3416" s="61"/>
      <c r="F3416" s="220">
        <v>44629</v>
      </c>
      <c r="G3416" s="164"/>
      <c r="H3416" s="61" t="s">
        <v>1840</v>
      </c>
      <c r="I3416" s="230" t="s">
        <v>1841</v>
      </c>
      <c r="J3416" s="67">
        <v>110</v>
      </c>
      <c r="K3416" s="80"/>
      <c r="L3416" s="224"/>
      <c r="M3416" s="251">
        <v>17700</v>
      </c>
      <c r="N3416" s="251"/>
      <c r="O3416" s="61"/>
      <c r="P3416" s="69" t="str">
        <f t="shared" si="210"/>
        <v xml:space="preserve"> Kas Kecil</v>
      </c>
      <c r="Q3416" s="61"/>
    </row>
    <row r="3417" spans="1:17" hidden="1" x14ac:dyDescent="0.25">
      <c r="A3417" s="60" t="str">
        <f t="shared" si="208"/>
        <v>27110</v>
      </c>
      <c r="B3417" s="60">
        <f>COUNTIF($J$7:J3417,J3417)</f>
        <v>27</v>
      </c>
      <c r="C3417" s="60" t="str">
        <f t="shared" si="209"/>
        <v>0</v>
      </c>
      <c r="D3417" s="60">
        <f>COUNTIF($K$7:K3417,K3417)</f>
        <v>0</v>
      </c>
      <c r="E3417" s="61"/>
      <c r="F3417" s="220">
        <v>44630</v>
      </c>
      <c r="G3417" s="164"/>
      <c r="H3417" s="61" t="s">
        <v>1842</v>
      </c>
      <c r="I3417" s="230" t="s">
        <v>1843</v>
      </c>
      <c r="J3417" s="67">
        <v>110</v>
      </c>
      <c r="K3417" s="80"/>
      <c r="L3417" s="224"/>
      <c r="M3417" s="251">
        <v>11800</v>
      </c>
      <c r="N3417" s="251"/>
      <c r="O3417" s="61"/>
      <c r="P3417" s="69" t="str">
        <f t="shared" si="210"/>
        <v xml:space="preserve"> Kas Kecil</v>
      </c>
      <c r="Q3417" s="61"/>
    </row>
    <row r="3418" spans="1:17" hidden="1" x14ac:dyDescent="0.25">
      <c r="A3418" s="60" t="str">
        <f t="shared" si="208"/>
        <v>29512,03</v>
      </c>
      <c r="B3418" s="60">
        <f>COUNTIF($J$7:J3418,J3418)</f>
        <v>29</v>
      </c>
      <c r="C3418" s="60" t="str">
        <f t="shared" si="209"/>
        <v>0</v>
      </c>
      <c r="D3418" s="60">
        <f>COUNTIF($K$7:K3418,K3418)</f>
        <v>0</v>
      </c>
      <c r="E3418" s="61"/>
      <c r="F3418" s="220">
        <v>44636</v>
      </c>
      <c r="G3418" s="164"/>
      <c r="H3418" s="61" t="s">
        <v>1844</v>
      </c>
      <c r="I3418" s="230" t="s">
        <v>1296</v>
      </c>
      <c r="J3418" s="241">
        <v>512.03</v>
      </c>
      <c r="K3418" s="80"/>
      <c r="L3418" s="251">
        <v>200000</v>
      </c>
      <c r="M3418" s="251"/>
      <c r="N3418" s="251"/>
      <c r="O3418" s="61"/>
      <c r="P3418" s="69" t="str">
        <f t="shared" si="210"/>
        <v>Beban Gasoline Marketing (Bensin, Parkir, Tol)</v>
      </c>
      <c r="Q3418" s="61"/>
    </row>
    <row r="3419" spans="1:17" hidden="1" x14ac:dyDescent="0.25">
      <c r="A3419" s="60" t="str">
        <f t="shared" si="208"/>
        <v>30512,03</v>
      </c>
      <c r="B3419" s="60">
        <f>COUNTIF($J$7:J3419,J3419)</f>
        <v>30</v>
      </c>
      <c r="C3419" s="60" t="str">
        <f t="shared" si="209"/>
        <v>0</v>
      </c>
      <c r="D3419" s="60">
        <f>COUNTIF($K$7:K3419,K3419)</f>
        <v>0</v>
      </c>
      <c r="E3419" s="61"/>
      <c r="F3419" s="220">
        <v>44644</v>
      </c>
      <c r="G3419" s="164"/>
      <c r="H3419" s="61" t="s">
        <v>1845</v>
      </c>
      <c r="I3419" s="230" t="s">
        <v>1296</v>
      </c>
      <c r="J3419" s="241">
        <v>512.03</v>
      </c>
      <c r="K3419" s="80"/>
      <c r="L3419" s="251">
        <v>200000</v>
      </c>
      <c r="M3419" s="251"/>
      <c r="N3419" s="251"/>
      <c r="O3419" s="61"/>
      <c r="P3419" s="69" t="str">
        <f t="shared" si="210"/>
        <v>Beban Gasoline Marketing (Bensin, Parkir, Tol)</v>
      </c>
      <c r="Q3419" s="61"/>
    </row>
    <row r="3420" spans="1:17" hidden="1" x14ac:dyDescent="0.25">
      <c r="A3420" s="60" t="str">
        <f t="shared" si="208"/>
        <v>41610,1</v>
      </c>
      <c r="B3420" s="60">
        <f>COUNTIF($J$7:J3420,J3420)</f>
        <v>41</v>
      </c>
      <c r="C3420" s="60" t="str">
        <f t="shared" si="209"/>
        <v>0</v>
      </c>
      <c r="D3420" s="60">
        <f>COUNTIF($K$7:K3420,K3420)</f>
        <v>0</v>
      </c>
      <c r="E3420" s="61"/>
      <c r="F3420" s="220">
        <v>44645</v>
      </c>
      <c r="G3420" s="164"/>
      <c r="H3420" s="61" t="s">
        <v>1846</v>
      </c>
      <c r="I3420" s="230" t="s">
        <v>1847</v>
      </c>
      <c r="J3420" s="61">
        <v>610.1</v>
      </c>
      <c r="K3420" s="80"/>
      <c r="L3420" s="251">
        <v>305000</v>
      </c>
      <c r="M3420" s="251"/>
      <c r="N3420" s="251"/>
      <c r="O3420" s="61"/>
      <c r="P3420" s="69" t="str">
        <f t="shared" si="210"/>
        <v>Biaya Rumah Tangga Kantor</v>
      </c>
      <c r="Q3420" s="61"/>
    </row>
    <row r="3421" spans="1:17" hidden="1" x14ac:dyDescent="0.25">
      <c r="A3421" s="60" t="str">
        <f t="shared" si="208"/>
        <v>28110</v>
      </c>
      <c r="B3421" s="60">
        <f>COUNTIF($J$7:J3421,J3421)</f>
        <v>28</v>
      </c>
      <c r="C3421" s="60" t="str">
        <f t="shared" si="209"/>
        <v>0</v>
      </c>
      <c r="D3421" s="60">
        <f>COUNTIF($K$7:K3421,K3421)</f>
        <v>0</v>
      </c>
      <c r="E3421" s="61"/>
      <c r="F3421" s="220">
        <v>44636</v>
      </c>
      <c r="G3421" s="164"/>
      <c r="H3421" s="61" t="s">
        <v>1844</v>
      </c>
      <c r="I3421" s="230" t="s">
        <v>1296</v>
      </c>
      <c r="J3421" s="67">
        <v>110</v>
      </c>
      <c r="K3421" s="80"/>
      <c r="L3421" s="224"/>
      <c r="M3421" s="251">
        <v>200000</v>
      </c>
      <c r="N3421" s="251"/>
      <c r="O3421" s="61"/>
      <c r="P3421" s="69" t="str">
        <f t="shared" si="210"/>
        <v xml:space="preserve"> Kas Kecil</v>
      </c>
      <c r="Q3421" s="61"/>
    </row>
    <row r="3422" spans="1:17" hidden="1" x14ac:dyDescent="0.25">
      <c r="A3422" s="60" t="str">
        <f t="shared" si="208"/>
        <v>29110</v>
      </c>
      <c r="B3422" s="60">
        <f>COUNTIF($J$7:J3422,J3422)</f>
        <v>29</v>
      </c>
      <c r="C3422" s="60" t="str">
        <f t="shared" si="209"/>
        <v>0</v>
      </c>
      <c r="D3422" s="60">
        <f>COUNTIF($K$7:K3422,K3422)</f>
        <v>0</v>
      </c>
      <c r="E3422" s="61"/>
      <c r="F3422" s="220">
        <v>44644</v>
      </c>
      <c r="G3422" s="164"/>
      <c r="H3422" s="61" t="s">
        <v>1845</v>
      </c>
      <c r="I3422" s="230" t="s">
        <v>1296</v>
      </c>
      <c r="J3422" s="67">
        <v>110</v>
      </c>
      <c r="K3422" s="80"/>
      <c r="L3422" s="224"/>
      <c r="M3422" s="251">
        <v>200000</v>
      </c>
      <c r="N3422" s="251"/>
      <c r="O3422" s="61"/>
      <c r="P3422" s="69" t="str">
        <f t="shared" si="210"/>
        <v xml:space="preserve"> Kas Kecil</v>
      </c>
      <c r="Q3422" s="61"/>
    </row>
    <row r="3423" spans="1:17" hidden="1" x14ac:dyDescent="0.25">
      <c r="A3423" s="60" t="str">
        <f t="shared" si="208"/>
        <v>30110</v>
      </c>
      <c r="B3423" s="60">
        <f>COUNTIF($J$7:J3423,J3423)</f>
        <v>30</v>
      </c>
      <c r="C3423" s="60" t="str">
        <f t="shared" si="209"/>
        <v>0</v>
      </c>
      <c r="D3423" s="60">
        <f>COUNTIF($K$7:K3423,K3423)</f>
        <v>0</v>
      </c>
      <c r="E3423" s="61"/>
      <c r="F3423" s="220">
        <v>44645</v>
      </c>
      <c r="G3423" s="164"/>
      <c r="H3423" s="61" t="s">
        <v>1846</v>
      </c>
      <c r="I3423" s="230" t="s">
        <v>1847</v>
      </c>
      <c r="J3423" s="67">
        <v>110</v>
      </c>
      <c r="K3423" s="80"/>
      <c r="L3423" s="224"/>
      <c r="M3423" s="251">
        <v>305000</v>
      </c>
      <c r="N3423" s="251"/>
      <c r="O3423" s="61"/>
      <c r="P3423" s="69" t="str">
        <f t="shared" si="210"/>
        <v xml:space="preserve"> Kas Kecil</v>
      </c>
      <c r="Q3423" s="61"/>
    </row>
    <row r="3424" spans="1:17" hidden="1" x14ac:dyDescent="0.25">
      <c r="A3424" s="60" t="str">
        <f t="shared" si="208"/>
        <v>94511,04</v>
      </c>
      <c r="B3424" s="60">
        <f>COUNTIF($J$7:J3424,J3424)</f>
        <v>94</v>
      </c>
      <c r="C3424" s="60" t="str">
        <f t="shared" si="209"/>
        <v>0</v>
      </c>
      <c r="D3424" s="60">
        <f>COUNTIF($K$7:K3424,K3424)</f>
        <v>0</v>
      </c>
      <c r="E3424" s="61"/>
      <c r="F3424" s="239">
        <v>44629</v>
      </c>
      <c r="G3424" s="164"/>
      <c r="H3424" s="61" t="s">
        <v>619</v>
      </c>
      <c r="I3424" s="243" t="s">
        <v>1848</v>
      </c>
      <c r="J3424" s="64">
        <v>511.04</v>
      </c>
      <c r="K3424" s="80"/>
      <c r="L3424" s="257">
        <v>358000</v>
      </c>
      <c r="M3424" s="224"/>
      <c r="N3424" s="224"/>
      <c r="O3424" s="61"/>
      <c r="P3424" s="69" t="str">
        <f t="shared" si="210"/>
        <v>Biaya pengiriman Via Online (Gojek,Grab), Kuli</v>
      </c>
      <c r="Q3424" s="61"/>
    </row>
    <row r="3425" spans="1:17" hidden="1" x14ac:dyDescent="0.25">
      <c r="A3425" s="60" t="str">
        <f t="shared" si="208"/>
        <v>95511,04</v>
      </c>
      <c r="B3425" s="60">
        <f>COUNTIF($J$7:J3425,J3425)</f>
        <v>95</v>
      </c>
      <c r="C3425" s="60" t="str">
        <f t="shared" si="209"/>
        <v>0</v>
      </c>
      <c r="D3425" s="60">
        <f>COUNTIF($K$7:K3425,K3425)</f>
        <v>0</v>
      </c>
      <c r="E3425" s="61"/>
      <c r="F3425" s="239">
        <v>44630</v>
      </c>
      <c r="G3425" s="164"/>
      <c r="H3425" s="61" t="s">
        <v>619</v>
      </c>
      <c r="I3425" s="243" t="s">
        <v>1849</v>
      </c>
      <c r="J3425" s="64">
        <v>511.04</v>
      </c>
      <c r="K3425" s="80"/>
      <c r="L3425" s="257">
        <v>210000</v>
      </c>
      <c r="M3425" s="224"/>
      <c r="N3425" s="224"/>
      <c r="O3425" s="61"/>
      <c r="P3425" s="69" t="str">
        <f t="shared" si="210"/>
        <v>Biaya pengiriman Via Online (Gojek,Grab), Kuli</v>
      </c>
      <c r="Q3425" s="61"/>
    </row>
    <row r="3426" spans="1:17" hidden="1" x14ac:dyDescent="0.25">
      <c r="A3426" s="60" t="str">
        <f t="shared" si="208"/>
        <v>96511,04</v>
      </c>
      <c r="B3426" s="60">
        <f>COUNTIF($J$7:J3426,J3426)</f>
        <v>96</v>
      </c>
      <c r="C3426" s="60" t="str">
        <f t="shared" si="209"/>
        <v>0</v>
      </c>
      <c r="D3426" s="60">
        <f>COUNTIF($K$7:K3426,K3426)</f>
        <v>0</v>
      </c>
      <c r="E3426" s="61"/>
      <c r="F3426" s="239">
        <v>44630</v>
      </c>
      <c r="G3426" s="164"/>
      <c r="H3426" s="61" t="s">
        <v>619</v>
      </c>
      <c r="I3426" s="243" t="s">
        <v>1850</v>
      </c>
      <c r="J3426" s="64">
        <v>511.04</v>
      </c>
      <c r="K3426" s="80"/>
      <c r="L3426" s="257">
        <v>312000</v>
      </c>
      <c r="M3426" s="224"/>
      <c r="N3426" s="224"/>
      <c r="O3426" s="61"/>
      <c r="P3426" s="69" t="str">
        <f t="shared" si="210"/>
        <v>Biaya pengiriman Via Online (Gojek,Grab), Kuli</v>
      </c>
      <c r="Q3426" s="61"/>
    </row>
    <row r="3427" spans="1:17" hidden="1" x14ac:dyDescent="0.25">
      <c r="A3427" s="60" t="str">
        <f t="shared" si="208"/>
        <v>167511,05</v>
      </c>
      <c r="B3427" s="60">
        <f>COUNTIF($J$7:J3427,J3427)</f>
        <v>167</v>
      </c>
      <c r="C3427" s="60" t="str">
        <f t="shared" si="209"/>
        <v>0</v>
      </c>
      <c r="D3427" s="60">
        <f>COUNTIF($K$7:K3427,K3427)</f>
        <v>0</v>
      </c>
      <c r="E3427" s="61"/>
      <c r="F3427" s="239">
        <v>44629</v>
      </c>
      <c r="G3427" s="164"/>
      <c r="H3427" s="61" t="s">
        <v>619</v>
      </c>
      <c r="I3427" s="243" t="s">
        <v>1851</v>
      </c>
      <c r="J3427" s="61">
        <v>511.05</v>
      </c>
      <c r="K3427" s="80"/>
      <c r="L3427" s="257">
        <v>30000</v>
      </c>
      <c r="M3427" s="224"/>
      <c r="N3427" s="224"/>
      <c r="O3427" s="61"/>
      <c r="P3427" s="69" t="str">
        <f t="shared" si="210"/>
        <v>Biaya Transport Pengiriman Bensin, Parkir, Tol</v>
      </c>
      <c r="Q3427" s="61"/>
    </row>
    <row r="3428" spans="1:17" hidden="1" x14ac:dyDescent="0.25">
      <c r="A3428" s="60" t="str">
        <f t="shared" si="208"/>
        <v>168511,05</v>
      </c>
      <c r="B3428" s="60">
        <f>COUNTIF($J$7:J3428,J3428)</f>
        <v>168</v>
      </c>
      <c r="C3428" s="60" t="str">
        <f t="shared" si="209"/>
        <v>0</v>
      </c>
      <c r="D3428" s="60">
        <f>COUNTIF($K$7:K3428,K3428)</f>
        <v>0</v>
      </c>
      <c r="E3428" s="61"/>
      <c r="F3428" s="239">
        <v>44629</v>
      </c>
      <c r="G3428" s="164"/>
      <c r="H3428" s="61" t="s">
        <v>619</v>
      </c>
      <c r="I3428" s="243" t="s">
        <v>1852</v>
      </c>
      <c r="J3428" s="61">
        <v>511.05</v>
      </c>
      <c r="K3428" s="80"/>
      <c r="L3428" s="257">
        <v>4000</v>
      </c>
      <c r="M3428" s="224"/>
      <c r="N3428" s="224"/>
      <c r="O3428" s="61"/>
      <c r="P3428" s="69" t="str">
        <f t="shared" si="210"/>
        <v>Biaya Transport Pengiriman Bensin, Parkir, Tol</v>
      </c>
      <c r="Q3428" s="61"/>
    </row>
    <row r="3429" spans="1:17" ht="30" hidden="1" x14ac:dyDescent="0.25">
      <c r="A3429" s="60" t="str">
        <f t="shared" si="208"/>
        <v>169511,05</v>
      </c>
      <c r="B3429" s="60">
        <f>COUNTIF($J$7:J3429,J3429)</f>
        <v>169</v>
      </c>
      <c r="C3429" s="60" t="str">
        <f t="shared" si="209"/>
        <v>0</v>
      </c>
      <c r="D3429" s="60">
        <f>COUNTIF($K$7:K3429,K3429)</f>
        <v>0</v>
      </c>
      <c r="E3429" s="61"/>
      <c r="F3429" s="239">
        <v>44629</v>
      </c>
      <c r="G3429" s="164"/>
      <c r="H3429" s="61" t="s">
        <v>619</v>
      </c>
      <c r="I3429" s="262" t="s">
        <v>1853</v>
      </c>
      <c r="J3429" s="61">
        <v>511.05</v>
      </c>
      <c r="K3429" s="80"/>
      <c r="L3429" s="263">
        <v>8000</v>
      </c>
      <c r="M3429" s="224"/>
      <c r="N3429" s="224"/>
      <c r="O3429" s="61"/>
      <c r="P3429" s="69" t="str">
        <f t="shared" si="210"/>
        <v>Biaya Transport Pengiriman Bensin, Parkir, Tol</v>
      </c>
      <c r="Q3429" s="61"/>
    </row>
    <row r="3430" spans="1:17" ht="30" hidden="1" x14ac:dyDescent="0.25">
      <c r="A3430" s="60" t="str">
        <f t="shared" si="208"/>
        <v>170511,05</v>
      </c>
      <c r="B3430" s="60">
        <f>COUNTIF($J$7:J3430,J3430)</f>
        <v>170</v>
      </c>
      <c r="C3430" s="60" t="str">
        <f t="shared" si="209"/>
        <v>0</v>
      </c>
      <c r="D3430" s="60">
        <f>COUNTIF($K$7:K3430,K3430)</f>
        <v>0</v>
      </c>
      <c r="E3430" s="61"/>
      <c r="F3430" s="239">
        <v>44629</v>
      </c>
      <c r="G3430" s="164"/>
      <c r="H3430" s="61" t="s">
        <v>619</v>
      </c>
      <c r="I3430" s="262" t="s">
        <v>1854</v>
      </c>
      <c r="J3430" s="61">
        <v>511.05</v>
      </c>
      <c r="K3430" s="80"/>
      <c r="L3430" s="263">
        <v>8000</v>
      </c>
      <c r="M3430" s="224"/>
      <c r="N3430" s="224"/>
      <c r="O3430" s="61"/>
      <c r="P3430" s="69" t="str">
        <f t="shared" si="210"/>
        <v>Biaya Transport Pengiriman Bensin, Parkir, Tol</v>
      </c>
      <c r="Q3430" s="61"/>
    </row>
    <row r="3431" spans="1:17" hidden="1" x14ac:dyDescent="0.25">
      <c r="A3431" s="60" t="str">
        <f t="shared" si="208"/>
        <v>76511,03</v>
      </c>
      <c r="B3431" s="60">
        <f>COUNTIF($J$7:J3431,J3431)</f>
        <v>76</v>
      </c>
      <c r="C3431" s="60" t="str">
        <f t="shared" si="209"/>
        <v>0</v>
      </c>
      <c r="D3431" s="60">
        <f>COUNTIF($K$7:K3431,K3431)</f>
        <v>0</v>
      </c>
      <c r="E3431" s="61"/>
      <c r="F3431" s="239">
        <v>44629</v>
      </c>
      <c r="G3431" s="164"/>
      <c r="H3431" s="61" t="s">
        <v>619</v>
      </c>
      <c r="I3431" s="243" t="s">
        <v>1855</v>
      </c>
      <c r="J3431" s="61">
        <v>511.03</v>
      </c>
      <c r="K3431" s="80"/>
      <c r="L3431" s="257">
        <v>1160000</v>
      </c>
      <c r="M3431" s="224"/>
      <c r="N3431" s="224"/>
      <c r="O3431" s="61"/>
      <c r="P3431" s="69" t="str">
        <f t="shared" si="210"/>
        <v>Biaya Pengiriman Barang Ekspedisi</v>
      </c>
      <c r="Q3431" s="61"/>
    </row>
    <row r="3432" spans="1:17" hidden="1" x14ac:dyDescent="0.25">
      <c r="A3432" s="60" t="str">
        <f t="shared" si="208"/>
        <v>171511,05</v>
      </c>
      <c r="B3432" s="60">
        <f>COUNTIF($J$7:J3432,J3432)</f>
        <v>171</v>
      </c>
      <c r="C3432" s="60" t="str">
        <f t="shared" si="209"/>
        <v>0</v>
      </c>
      <c r="D3432" s="60">
        <f>COUNTIF($K$7:K3432,K3432)</f>
        <v>0</v>
      </c>
      <c r="E3432" s="61"/>
      <c r="F3432" s="239">
        <v>44630</v>
      </c>
      <c r="G3432" s="164"/>
      <c r="H3432" s="61" t="s">
        <v>619</v>
      </c>
      <c r="I3432" s="243" t="s">
        <v>1856</v>
      </c>
      <c r="J3432" s="61">
        <v>511.05</v>
      </c>
      <c r="K3432" s="80"/>
      <c r="L3432" s="257">
        <v>4000</v>
      </c>
      <c r="M3432" s="224"/>
      <c r="N3432" s="224"/>
      <c r="O3432" s="61"/>
      <c r="P3432" s="69" t="str">
        <f t="shared" si="210"/>
        <v>Biaya Transport Pengiriman Bensin, Parkir, Tol</v>
      </c>
      <c r="Q3432" s="61"/>
    </row>
    <row r="3433" spans="1:17" hidden="1" x14ac:dyDescent="0.25">
      <c r="A3433" s="60" t="str">
        <f t="shared" si="208"/>
        <v>172511,05</v>
      </c>
      <c r="B3433" s="60">
        <f>COUNTIF($J$7:J3433,J3433)</f>
        <v>172</v>
      </c>
      <c r="C3433" s="60" t="str">
        <f t="shared" si="209"/>
        <v>0</v>
      </c>
      <c r="D3433" s="60">
        <f>COUNTIF($K$7:K3433,K3433)</f>
        <v>0</v>
      </c>
      <c r="E3433" s="61"/>
      <c r="F3433" s="239">
        <v>44630</v>
      </c>
      <c r="G3433" s="164"/>
      <c r="H3433" s="61" t="s">
        <v>619</v>
      </c>
      <c r="I3433" s="243" t="s">
        <v>1857</v>
      </c>
      <c r="J3433" s="61">
        <v>511.05</v>
      </c>
      <c r="K3433" s="80"/>
      <c r="L3433" s="257">
        <v>19000</v>
      </c>
      <c r="M3433" s="224"/>
      <c r="N3433" s="224"/>
      <c r="O3433" s="61"/>
      <c r="P3433" s="69" t="str">
        <f t="shared" si="210"/>
        <v>Biaya Transport Pengiriman Bensin, Parkir, Tol</v>
      </c>
      <c r="Q3433" s="61"/>
    </row>
    <row r="3434" spans="1:17" hidden="1" x14ac:dyDescent="0.25">
      <c r="A3434" s="60" t="str">
        <f t="shared" si="208"/>
        <v>173511,05</v>
      </c>
      <c r="B3434" s="60">
        <f>COUNTIF($J$7:J3434,J3434)</f>
        <v>173</v>
      </c>
      <c r="C3434" s="60" t="str">
        <f t="shared" si="209"/>
        <v>0</v>
      </c>
      <c r="D3434" s="60">
        <f>COUNTIF($K$7:K3434,K3434)</f>
        <v>0</v>
      </c>
      <c r="E3434" s="61"/>
      <c r="F3434" s="239">
        <v>44630</v>
      </c>
      <c r="G3434" s="164"/>
      <c r="H3434" s="61" t="s">
        <v>619</v>
      </c>
      <c r="I3434" s="243" t="s">
        <v>1858</v>
      </c>
      <c r="J3434" s="61">
        <v>511.05</v>
      </c>
      <c r="K3434" s="80"/>
      <c r="L3434" s="257">
        <v>31000</v>
      </c>
      <c r="M3434" s="224"/>
      <c r="N3434" s="224"/>
      <c r="O3434" s="61"/>
      <c r="P3434" s="69" t="str">
        <f t="shared" si="210"/>
        <v>Biaya Transport Pengiriman Bensin, Parkir, Tol</v>
      </c>
      <c r="Q3434" s="61"/>
    </row>
    <row r="3435" spans="1:17" hidden="1" x14ac:dyDescent="0.25">
      <c r="A3435" s="60" t="str">
        <f t="shared" si="208"/>
        <v>174511,05</v>
      </c>
      <c r="B3435" s="60">
        <f>COUNTIF($J$7:J3435,J3435)</f>
        <v>174</v>
      </c>
      <c r="C3435" s="60" t="str">
        <f t="shared" si="209"/>
        <v>0</v>
      </c>
      <c r="D3435" s="60">
        <f>COUNTIF($K$7:K3435,K3435)</f>
        <v>0</v>
      </c>
      <c r="E3435" s="61"/>
      <c r="F3435" s="239">
        <v>44630</v>
      </c>
      <c r="G3435" s="164"/>
      <c r="H3435" s="61" t="s">
        <v>619</v>
      </c>
      <c r="I3435" s="243" t="s">
        <v>1859</v>
      </c>
      <c r="J3435" s="61">
        <v>511.05</v>
      </c>
      <c r="K3435" s="80"/>
      <c r="L3435" s="257">
        <v>8000</v>
      </c>
      <c r="M3435" s="224"/>
      <c r="N3435" s="224"/>
      <c r="O3435" s="61"/>
      <c r="P3435" s="69" t="str">
        <f t="shared" si="210"/>
        <v>Biaya Transport Pengiriman Bensin, Parkir, Tol</v>
      </c>
      <c r="Q3435" s="61"/>
    </row>
    <row r="3436" spans="1:17" hidden="1" x14ac:dyDescent="0.25">
      <c r="A3436" s="60" t="str">
        <f t="shared" si="208"/>
        <v>175511,05</v>
      </c>
      <c r="B3436" s="60">
        <f>COUNTIF($J$7:J3436,J3436)</f>
        <v>175</v>
      </c>
      <c r="C3436" s="60" t="str">
        <f t="shared" si="209"/>
        <v>0</v>
      </c>
      <c r="D3436" s="60">
        <f>COUNTIF($K$7:K3436,K3436)</f>
        <v>0</v>
      </c>
      <c r="E3436" s="61"/>
      <c r="F3436" s="239">
        <v>44630</v>
      </c>
      <c r="G3436" s="164"/>
      <c r="H3436" s="61" t="s">
        <v>619</v>
      </c>
      <c r="I3436" s="243" t="s">
        <v>1860</v>
      </c>
      <c r="J3436" s="61">
        <v>511.05</v>
      </c>
      <c r="K3436" s="80"/>
      <c r="L3436" s="257">
        <v>8000</v>
      </c>
      <c r="M3436" s="224"/>
      <c r="N3436" s="224"/>
      <c r="O3436" s="61"/>
      <c r="P3436" s="69" t="str">
        <f t="shared" si="210"/>
        <v>Biaya Transport Pengiriman Bensin, Parkir, Tol</v>
      </c>
      <c r="Q3436" s="61"/>
    </row>
    <row r="3437" spans="1:17" hidden="1" x14ac:dyDescent="0.25">
      <c r="A3437" s="60" t="str">
        <f t="shared" si="208"/>
        <v>77511,03</v>
      </c>
      <c r="B3437" s="60">
        <f>COUNTIF($J$7:J3437,J3437)</f>
        <v>77</v>
      </c>
      <c r="C3437" s="60" t="str">
        <f t="shared" si="209"/>
        <v>0</v>
      </c>
      <c r="D3437" s="60">
        <f>COUNTIF($K$7:K3437,K3437)</f>
        <v>0</v>
      </c>
      <c r="E3437" s="61"/>
      <c r="F3437" s="239">
        <v>44630</v>
      </c>
      <c r="G3437" s="164"/>
      <c r="H3437" s="61" t="s">
        <v>619</v>
      </c>
      <c r="I3437" s="243" t="s">
        <v>1861</v>
      </c>
      <c r="J3437" s="61">
        <v>511.03</v>
      </c>
      <c r="K3437" s="80"/>
      <c r="L3437" s="257">
        <v>260000</v>
      </c>
      <c r="M3437" s="224"/>
      <c r="N3437" s="224"/>
      <c r="O3437" s="61"/>
      <c r="P3437" s="69" t="str">
        <f t="shared" si="210"/>
        <v>Biaya Pengiriman Barang Ekspedisi</v>
      </c>
      <c r="Q3437" s="61"/>
    </row>
    <row r="3438" spans="1:17" hidden="1" x14ac:dyDescent="0.25">
      <c r="A3438" s="60" t="str">
        <f t="shared" si="208"/>
        <v>78511,03</v>
      </c>
      <c r="B3438" s="60">
        <f>COUNTIF($J$7:J3438,J3438)</f>
        <v>78</v>
      </c>
      <c r="C3438" s="60" t="str">
        <f t="shared" si="209"/>
        <v>0</v>
      </c>
      <c r="D3438" s="60">
        <f>COUNTIF($K$7:K3438,K3438)</f>
        <v>0</v>
      </c>
      <c r="E3438" s="61"/>
      <c r="F3438" s="239">
        <v>44629</v>
      </c>
      <c r="G3438" s="164"/>
      <c r="H3438" s="61" t="s">
        <v>619</v>
      </c>
      <c r="I3438" s="243" t="s">
        <v>1862</v>
      </c>
      <c r="J3438" s="61">
        <v>511.03</v>
      </c>
      <c r="K3438" s="80"/>
      <c r="L3438" s="257">
        <v>162000</v>
      </c>
      <c r="M3438" s="224"/>
      <c r="N3438" s="224"/>
      <c r="O3438" s="61"/>
      <c r="P3438" s="69" t="str">
        <f t="shared" si="210"/>
        <v>Biaya Pengiriman Barang Ekspedisi</v>
      </c>
      <c r="Q3438" s="61"/>
    </row>
    <row r="3439" spans="1:17" hidden="1" x14ac:dyDescent="0.25">
      <c r="A3439" s="60" t="str">
        <f t="shared" si="208"/>
        <v>32610,09</v>
      </c>
      <c r="B3439" s="60">
        <f>COUNTIF($J$7:J3439,J3439)</f>
        <v>32</v>
      </c>
      <c r="C3439" s="60" t="str">
        <f t="shared" si="209"/>
        <v>0</v>
      </c>
      <c r="D3439" s="60">
        <f>COUNTIF($K$7:K3439,K3439)</f>
        <v>0</v>
      </c>
      <c r="E3439" s="61"/>
      <c r="F3439" s="239">
        <v>44627</v>
      </c>
      <c r="G3439" s="164"/>
      <c r="H3439" s="61" t="s">
        <v>619</v>
      </c>
      <c r="I3439" s="243" t="s">
        <v>1863</v>
      </c>
      <c r="J3439" s="61">
        <v>610.09</v>
      </c>
      <c r="K3439" s="80"/>
      <c r="L3439" s="257">
        <f>36000-3300</f>
        <v>32700</v>
      </c>
      <c r="M3439" s="224"/>
      <c r="N3439" s="224"/>
      <c r="O3439" s="247">
        <v>2000000</v>
      </c>
      <c r="P3439" s="69" t="str">
        <f t="shared" si="210"/>
        <v>Biaya ATK &amp; Perlengkapan Kantor</v>
      </c>
      <c r="Q3439" s="61"/>
    </row>
    <row r="3440" spans="1:17" hidden="1" x14ac:dyDescent="0.25">
      <c r="A3440" s="60" t="str">
        <f t="shared" si="208"/>
        <v>28117,01</v>
      </c>
      <c r="B3440" s="60">
        <f>COUNTIF($J$7:J3440,J3440)</f>
        <v>28</v>
      </c>
      <c r="C3440" s="60" t="str">
        <f t="shared" si="209"/>
        <v>0</v>
      </c>
      <c r="D3440" s="60">
        <f>COUNTIF($K$7:K3440,K3440)</f>
        <v>0</v>
      </c>
      <c r="E3440" s="61"/>
      <c r="F3440" s="239">
        <v>44627</v>
      </c>
      <c r="G3440" s="164"/>
      <c r="H3440" s="61" t="s">
        <v>619</v>
      </c>
      <c r="I3440" s="243" t="s">
        <v>1864</v>
      </c>
      <c r="J3440" s="61">
        <v>117.01</v>
      </c>
      <c r="K3440" s="80"/>
      <c r="L3440" s="257">
        <v>3300</v>
      </c>
      <c r="M3440" s="224"/>
      <c r="N3440" s="224"/>
      <c r="O3440" s="61" t="s">
        <v>816</v>
      </c>
      <c r="P3440" s="69" t="str">
        <f t="shared" si="210"/>
        <v>Pajak Dibayar Di Muka - PPN Masukan</v>
      </c>
      <c r="Q3440" s="61"/>
    </row>
    <row r="3441" spans="1:17" hidden="1" x14ac:dyDescent="0.25">
      <c r="A3441" s="60" t="str">
        <f t="shared" si="208"/>
        <v>79511,03</v>
      </c>
      <c r="B3441" s="60">
        <f>COUNTIF($J$7:J3441,J3441)</f>
        <v>79</v>
      </c>
      <c r="C3441" s="60" t="str">
        <f t="shared" si="209"/>
        <v>0</v>
      </c>
      <c r="D3441" s="60">
        <f>COUNTIF($K$7:K3441,K3441)</f>
        <v>0</v>
      </c>
      <c r="E3441" s="61"/>
      <c r="F3441" s="239">
        <v>44627</v>
      </c>
      <c r="G3441" s="164"/>
      <c r="H3441" s="61" t="s">
        <v>619</v>
      </c>
      <c r="I3441" s="243" t="s">
        <v>1865</v>
      </c>
      <c r="J3441" s="64">
        <v>511.03</v>
      </c>
      <c r="K3441" s="80"/>
      <c r="L3441" s="257">
        <v>90000</v>
      </c>
      <c r="M3441" s="224"/>
      <c r="N3441" s="224"/>
      <c r="O3441" s="247">
        <f>SUM(L3424:L3441)</f>
        <v>2708000</v>
      </c>
      <c r="P3441" s="69" t="str">
        <f t="shared" si="210"/>
        <v>Biaya Pengiriman Barang Ekspedisi</v>
      </c>
      <c r="Q3441" s="61"/>
    </row>
    <row r="3442" spans="1:17" hidden="1" x14ac:dyDescent="0.25">
      <c r="A3442" s="60" t="str">
        <f t="shared" si="208"/>
        <v>75119</v>
      </c>
      <c r="B3442" s="60">
        <f>COUNTIF($J$7:J3442,J3442)</f>
        <v>75</v>
      </c>
      <c r="C3442" s="60" t="str">
        <f t="shared" si="209"/>
        <v>29119,01</v>
      </c>
      <c r="D3442" s="60">
        <f>COUNTIF($K$7:K3442,K3442)</f>
        <v>29</v>
      </c>
      <c r="E3442" s="61"/>
      <c r="F3442" s="239">
        <v>44627</v>
      </c>
      <c r="G3442" s="164"/>
      <c r="H3442" s="61" t="s">
        <v>619</v>
      </c>
      <c r="I3442" s="79" t="s">
        <v>1866</v>
      </c>
      <c r="J3442" s="64">
        <v>119</v>
      </c>
      <c r="K3442" s="80">
        <v>119.01</v>
      </c>
      <c r="L3442" s="224"/>
      <c r="M3442" s="223">
        <v>2000000</v>
      </c>
      <c r="N3442" s="223"/>
      <c r="O3442" s="264">
        <f>O3439-O3441</f>
        <v>-708000</v>
      </c>
      <c r="P3442" s="69" t="str">
        <f t="shared" si="210"/>
        <v>Uang Muka Biaya Pengiriman dan Perjalanan Dinas Marketing</v>
      </c>
      <c r="Q3442" s="61"/>
    </row>
    <row r="3443" spans="1:17" hidden="1" x14ac:dyDescent="0.25">
      <c r="A3443" s="60" t="str">
        <f t="shared" si="208"/>
        <v>22511,02</v>
      </c>
      <c r="B3443" s="60">
        <f>COUNTIF($J$7:J3443,J3443)</f>
        <v>22</v>
      </c>
      <c r="C3443" s="60" t="str">
        <f t="shared" si="209"/>
        <v>0</v>
      </c>
      <c r="D3443" s="60">
        <f>COUNTIF($K$7:K3443,K3443)</f>
        <v>0</v>
      </c>
      <c r="E3443" s="61"/>
      <c r="F3443" s="239">
        <v>44628</v>
      </c>
      <c r="G3443" s="164"/>
      <c r="H3443" s="61" t="s">
        <v>619</v>
      </c>
      <c r="I3443" s="243" t="s">
        <v>1307</v>
      </c>
      <c r="J3443" s="61">
        <v>511.02</v>
      </c>
      <c r="K3443" s="80"/>
      <c r="L3443" s="257">
        <v>700000</v>
      </c>
      <c r="M3443" s="223"/>
      <c r="N3443" s="223"/>
      <c r="O3443" s="61"/>
      <c r="P3443" s="69" t="str">
        <f t="shared" si="210"/>
        <v>Biaya Loading UnLoading</v>
      </c>
      <c r="Q3443" s="61"/>
    </row>
    <row r="3444" spans="1:17" hidden="1" x14ac:dyDescent="0.25">
      <c r="A3444" s="60" t="str">
        <f t="shared" si="208"/>
        <v>23511,02</v>
      </c>
      <c r="B3444" s="60">
        <f>COUNTIF($J$7:J3444,J3444)</f>
        <v>23</v>
      </c>
      <c r="C3444" s="60" t="str">
        <f t="shared" si="209"/>
        <v>0</v>
      </c>
      <c r="D3444" s="60">
        <f>COUNTIF($K$7:K3444,K3444)</f>
        <v>0</v>
      </c>
      <c r="E3444" s="61"/>
      <c r="F3444" s="239">
        <v>44628</v>
      </c>
      <c r="G3444" s="164"/>
      <c r="H3444" s="61" t="s">
        <v>619</v>
      </c>
      <c r="I3444" s="243" t="s">
        <v>622</v>
      </c>
      <c r="J3444" s="61">
        <v>511.02</v>
      </c>
      <c r="K3444" s="80"/>
      <c r="L3444" s="257">
        <v>50000</v>
      </c>
      <c r="M3444" s="223"/>
      <c r="N3444" s="223"/>
      <c r="O3444" s="61"/>
      <c r="P3444" s="69" t="str">
        <f t="shared" si="210"/>
        <v>Biaya Loading UnLoading</v>
      </c>
      <c r="Q3444" s="61"/>
    </row>
    <row r="3445" spans="1:17" hidden="1" x14ac:dyDescent="0.25">
      <c r="A3445" s="60" t="str">
        <f t="shared" si="208"/>
        <v>24511,02</v>
      </c>
      <c r="B3445" s="60">
        <f>COUNTIF($J$7:J3445,J3445)</f>
        <v>24</v>
      </c>
      <c r="C3445" s="60" t="str">
        <f t="shared" si="209"/>
        <v>0</v>
      </c>
      <c r="D3445" s="60">
        <f>COUNTIF($K$7:K3445,K3445)</f>
        <v>0</v>
      </c>
      <c r="E3445" s="61"/>
      <c r="F3445" s="239">
        <v>44628</v>
      </c>
      <c r="G3445" s="164"/>
      <c r="H3445" s="61" t="s">
        <v>619</v>
      </c>
      <c r="I3445" s="243" t="s">
        <v>620</v>
      </c>
      <c r="J3445" s="61">
        <v>511.02</v>
      </c>
      <c r="K3445" s="80"/>
      <c r="L3445" s="257">
        <v>200000</v>
      </c>
      <c r="M3445" s="223"/>
      <c r="N3445" s="223"/>
      <c r="O3445" s="61"/>
      <c r="P3445" s="69" t="str">
        <f t="shared" si="210"/>
        <v>Biaya Loading UnLoading</v>
      </c>
      <c r="Q3445" s="61"/>
    </row>
    <row r="3446" spans="1:17" hidden="1" x14ac:dyDescent="0.25">
      <c r="A3446" s="60" t="str">
        <f t="shared" si="208"/>
        <v>25511,02</v>
      </c>
      <c r="B3446" s="60">
        <f>COUNTIF($J$7:J3446,J3446)</f>
        <v>25</v>
      </c>
      <c r="C3446" s="60" t="str">
        <f t="shared" si="209"/>
        <v>0</v>
      </c>
      <c r="D3446" s="60">
        <f>COUNTIF($K$7:K3446,K3446)</f>
        <v>0</v>
      </c>
      <c r="E3446" s="61"/>
      <c r="F3446" s="239">
        <v>44628</v>
      </c>
      <c r="G3446" s="164"/>
      <c r="H3446" s="61" t="s">
        <v>619</v>
      </c>
      <c r="I3446" s="243" t="s">
        <v>1867</v>
      </c>
      <c r="J3446" s="61">
        <v>511.02</v>
      </c>
      <c r="K3446" s="80"/>
      <c r="L3446" s="257">
        <v>50000</v>
      </c>
      <c r="M3446" s="223"/>
      <c r="N3446" s="223"/>
      <c r="O3446" s="61"/>
      <c r="P3446" s="69" t="str">
        <f t="shared" si="210"/>
        <v>Biaya Loading UnLoading</v>
      </c>
      <c r="Q3446" s="61"/>
    </row>
    <row r="3447" spans="1:17" hidden="1" x14ac:dyDescent="0.25">
      <c r="A3447" s="60" t="str">
        <f t="shared" si="208"/>
        <v>26511,02</v>
      </c>
      <c r="B3447" s="60">
        <f>COUNTIF($J$7:J3447,J3447)</f>
        <v>26</v>
      </c>
      <c r="C3447" s="60" t="str">
        <f t="shared" si="209"/>
        <v>0</v>
      </c>
      <c r="D3447" s="60">
        <f>COUNTIF($K$7:K3447,K3447)</f>
        <v>0</v>
      </c>
      <c r="E3447" s="61"/>
      <c r="F3447" s="239">
        <v>44628</v>
      </c>
      <c r="G3447" s="164"/>
      <c r="H3447" s="61" t="s">
        <v>619</v>
      </c>
      <c r="I3447" s="243" t="s">
        <v>1868</v>
      </c>
      <c r="J3447" s="61">
        <v>511.02</v>
      </c>
      <c r="K3447" s="80"/>
      <c r="L3447" s="257">
        <v>135000</v>
      </c>
      <c r="M3447" s="223"/>
      <c r="N3447" s="223"/>
      <c r="O3447" s="61"/>
      <c r="P3447" s="69" t="str">
        <f t="shared" si="210"/>
        <v>Biaya Loading UnLoading</v>
      </c>
      <c r="Q3447" s="61"/>
    </row>
    <row r="3448" spans="1:17" hidden="1" x14ac:dyDescent="0.25">
      <c r="A3448" s="60" t="str">
        <f t="shared" si="208"/>
        <v>27511,02</v>
      </c>
      <c r="B3448" s="60">
        <f>COUNTIF($J$7:J3448,J3448)</f>
        <v>27</v>
      </c>
      <c r="C3448" s="60" t="str">
        <f t="shared" si="209"/>
        <v>0</v>
      </c>
      <c r="D3448" s="60">
        <f>COUNTIF($K$7:K3448,K3448)</f>
        <v>0</v>
      </c>
      <c r="E3448" s="61"/>
      <c r="F3448" s="239">
        <v>44628</v>
      </c>
      <c r="G3448" s="164"/>
      <c r="H3448" s="61" t="s">
        <v>619</v>
      </c>
      <c r="I3448" s="243" t="s">
        <v>1869</v>
      </c>
      <c r="J3448" s="61">
        <v>511.02</v>
      </c>
      <c r="K3448" s="80"/>
      <c r="L3448" s="257">
        <v>60000</v>
      </c>
      <c r="M3448" s="223"/>
      <c r="N3448" s="223"/>
      <c r="O3448" s="61"/>
      <c r="P3448" s="69" t="str">
        <f t="shared" si="210"/>
        <v>Biaya Loading UnLoading</v>
      </c>
      <c r="Q3448" s="61"/>
    </row>
    <row r="3449" spans="1:17" hidden="1" x14ac:dyDescent="0.25">
      <c r="A3449" s="60" t="str">
        <f t="shared" si="208"/>
        <v>28511,02</v>
      </c>
      <c r="B3449" s="60">
        <f>COUNTIF($J$7:J3449,J3449)</f>
        <v>28</v>
      </c>
      <c r="C3449" s="60" t="str">
        <f t="shared" si="209"/>
        <v>0</v>
      </c>
      <c r="D3449" s="60">
        <f>COUNTIF($K$7:K3449,K3449)</f>
        <v>0</v>
      </c>
      <c r="E3449" s="61"/>
      <c r="F3449" s="239">
        <v>44628</v>
      </c>
      <c r="G3449" s="164"/>
      <c r="H3449" s="61" t="s">
        <v>619</v>
      </c>
      <c r="I3449" s="243" t="s">
        <v>626</v>
      </c>
      <c r="J3449" s="61">
        <v>511.02</v>
      </c>
      <c r="K3449" s="80"/>
      <c r="L3449" s="257">
        <v>1050000</v>
      </c>
      <c r="M3449" s="223"/>
      <c r="N3449" s="223"/>
      <c r="O3449" s="247">
        <v>2300000</v>
      </c>
      <c r="P3449" s="69" t="str">
        <f t="shared" si="210"/>
        <v>Biaya Loading UnLoading</v>
      </c>
      <c r="Q3449" s="61"/>
    </row>
    <row r="3450" spans="1:17" hidden="1" x14ac:dyDescent="0.25">
      <c r="A3450" s="60" t="str">
        <f t="shared" si="208"/>
        <v>76119</v>
      </c>
      <c r="B3450" s="60">
        <f>COUNTIF($J$7:J3450,J3450)</f>
        <v>76</v>
      </c>
      <c r="C3450" s="60" t="str">
        <f t="shared" si="209"/>
        <v>30119,01</v>
      </c>
      <c r="D3450" s="60">
        <f>COUNTIF($K$7:K3450,K3450)</f>
        <v>30</v>
      </c>
      <c r="E3450" s="61"/>
      <c r="F3450" s="239">
        <v>44628</v>
      </c>
      <c r="G3450" s="164"/>
      <c r="H3450" s="61" t="s">
        <v>619</v>
      </c>
      <c r="I3450" s="79" t="s">
        <v>1870</v>
      </c>
      <c r="J3450" s="64">
        <v>119</v>
      </c>
      <c r="K3450" s="80">
        <v>119.01</v>
      </c>
      <c r="L3450" s="224"/>
      <c r="M3450" s="223">
        <v>2300000</v>
      </c>
      <c r="N3450" s="223"/>
      <c r="O3450" s="247">
        <f>SUM(L3443:L3449)</f>
        <v>2245000</v>
      </c>
      <c r="P3450" s="69" t="str">
        <f t="shared" si="210"/>
        <v>Uang Muka Biaya Pengiriman dan Perjalanan Dinas Marketing</v>
      </c>
      <c r="Q3450" s="61"/>
    </row>
    <row r="3451" spans="1:17" hidden="1" x14ac:dyDescent="0.25">
      <c r="A3451" s="60" t="str">
        <f t="shared" si="208"/>
        <v>87220,03</v>
      </c>
      <c r="B3451" s="60">
        <f>COUNTIF($J$7:J3451,J3451)</f>
        <v>87</v>
      </c>
      <c r="C3451" s="60" t="str">
        <f t="shared" si="209"/>
        <v>0</v>
      </c>
      <c r="D3451" s="60">
        <f>COUNTIF($K$7:K3451,K3451)</f>
        <v>0</v>
      </c>
      <c r="E3451" s="61"/>
      <c r="F3451" s="239">
        <v>44628</v>
      </c>
      <c r="G3451" s="164"/>
      <c r="H3451" s="61" t="s">
        <v>619</v>
      </c>
      <c r="I3451" s="79" t="s">
        <v>1871</v>
      </c>
      <c r="J3451" s="67">
        <v>220.03</v>
      </c>
      <c r="K3451" s="80"/>
      <c r="L3451" s="224"/>
      <c r="M3451" s="223">
        <f>708000-55000</f>
        <v>653000</v>
      </c>
      <c r="N3451" s="223"/>
      <c r="O3451" s="247">
        <f>O3449-O3450</f>
        <v>55000</v>
      </c>
      <c r="P3451" s="69" t="str">
        <f t="shared" si="210"/>
        <v>Hutang BIaya</v>
      </c>
      <c r="Q3451" s="61"/>
    </row>
    <row r="3452" spans="1:17" hidden="1" x14ac:dyDescent="0.25">
      <c r="A3452" s="60" t="str">
        <f t="shared" si="208"/>
        <v>97511,04</v>
      </c>
      <c r="B3452" s="60">
        <f>COUNTIF($J$7:J3452,J3452)</f>
        <v>97</v>
      </c>
      <c r="C3452" s="60" t="str">
        <f t="shared" si="209"/>
        <v>0</v>
      </c>
      <c r="D3452" s="60">
        <f>COUNTIF($K$7:K3452,K3452)</f>
        <v>0</v>
      </c>
      <c r="E3452" s="61"/>
      <c r="F3452" s="239">
        <v>44621</v>
      </c>
      <c r="G3452" s="164"/>
      <c r="H3452" s="61" t="s">
        <v>645</v>
      </c>
      <c r="I3452" s="243" t="s">
        <v>1872</v>
      </c>
      <c r="J3452" s="64">
        <v>511.04</v>
      </c>
      <c r="K3452" s="80"/>
      <c r="L3452" s="257">
        <v>210000</v>
      </c>
      <c r="M3452" s="223"/>
      <c r="N3452" s="223"/>
      <c r="O3452" s="61"/>
      <c r="P3452" s="69" t="str">
        <f t="shared" si="210"/>
        <v>Biaya pengiriman Via Online (Gojek,Grab), Kuli</v>
      </c>
      <c r="Q3452" s="61"/>
    </row>
    <row r="3453" spans="1:17" hidden="1" x14ac:dyDescent="0.25">
      <c r="A3453" s="60" t="str">
        <f t="shared" si="208"/>
        <v>98511,04</v>
      </c>
      <c r="B3453" s="60">
        <f>COUNTIF($J$7:J3453,J3453)</f>
        <v>98</v>
      </c>
      <c r="C3453" s="60" t="str">
        <f t="shared" si="209"/>
        <v>0</v>
      </c>
      <c r="D3453" s="60">
        <f>COUNTIF($K$7:K3453,K3453)</f>
        <v>0</v>
      </c>
      <c r="E3453" s="61"/>
      <c r="F3453" s="239">
        <v>44622</v>
      </c>
      <c r="G3453" s="164"/>
      <c r="H3453" s="61" t="s">
        <v>645</v>
      </c>
      <c r="I3453" s="243" t="s">
        <v>1873</v>
      </c>
      <c r="J3453" s="61">
        <v>511.04</v>
      </c>
      <c r="K3453" s="80"/>
      <c r="L3453" s="257">
        <v>58000</v>
      </c>
      <c r="M3453" s="223"/>
      <c r="N3453" s="223"/>
      <c r="O3453" s="61"/>
      <c r="P3453" s="69" t="str">
        <f t="shared" si="210"/>
        <v>Biaya pengiriman Via Online (Gojek,Grab), Kuli</v>
      </c>
      <c r="Q3453" s="61"/>
    </row>
    <row r="3454" spans="1:17" hidden="1" x14ac:dyDescent="0.25">
      <c r="A3454" s="60" t="str">
        <f t="shared" si="208"/>
        <v>176511,05</v>
      </c>
      <c r="B3454" s="60">
        <f>COUNTIF($J$7:J3454,J3454)</f>
        <v>176</v>
      </c>
      <c r="C3454" s="60" t="str">
        <f t="shared" si="209"/>
        <v>0</v>
      </c>
      <c r="D3454" s="60">
        <f>COUNTIF($K$7:K3454,K3454)</f>
        <v>0</v>
      </c>
      <c r="E3454" s="61"/>
      <c r="F3454" s="239">
        <v>44621</v>
      </c>
      <c r="G3454" s="164"/>
      <c r="H3454" s="61" t="s">
        <v>645</v>
      </c>
      <c r="I3454" s="243" t="s">
        <v>1874</v>
      </c>
      <c r="J3454" s="61">
        <v>511.05</v>
      </c>
      <c r="K3454" s="80"/>
      <c r="L3454" s="257">
        <v>4000</v>
      </c>
      <c r="M3454" s="223"/>
      <c r="N3454" s="223"/>
      <c r="O3454" s="61"/>
      <c r="P3454" s="69" t="str">
        <f t="shared" si="210"/>
        <v>Biaya Transport Pengiriman Bensin, Parkir, Tol</v>
      </c>
      <c r="Q3454" s="61"/>
    </row>
    <row r="3455" spans="1:17" ht="30" hidden="1" x14ac:dyDescent="0.25">
      <c r="A3455" s="60" t="str">
        <f t="shared" si="208"/>
        <v>177511,05</v>
      </c>
      <c r="B3455" s="60">
        <f>COUNTIF($J$7:J3455,J3455)</f>
        <v>177</v>
      </c>
      <c r="C3455" s="60" t="str">
        <f t="shared" si="209"/>
        <v>0</v>
      </c>
      <c r="D3455" s="60">
        <f>COUNTIF($K$7:K3455,K3455)</f>
        <v>0</v>
      </c>
      <c r="E3455" s="61"/>
      <c r="F3455" s="261">
        <v>44621</v>
      </c>
      <c r="G3455" s="164"/>
      <c r="H3455" s="61" t="s">
        <v>645</v>
      </c>
      <c r="I3455" s="262" t="s">
        <v>1875</v>
      </c>
      <c r="J3455" s="61">
        <v>511.05</v>
      </c>
      <c r="K3455" s="80"/>
      <c r="L3455" s="263">
        <v>8000</v>
      </c>
      <c r="M3455" s="223"/>
      <c r="N3455" s="223"/>
      <c r="O3455" s="61"/>
      <c r="P3455" s="69" t="str">
        <f t="shared" si="210"/>
        <v>Biaya Transport Pengiriman Bensin, Parkir, Tol</v>
      </c>
      <c r="Q3455" s="61"/>
    </row>
    <row r="3456" spans="1:17" ht="30" hidden="1" x14ac:dyDescent="0.25">
      <c r="A3456" s="60" t="str">
        <f t="shared" si="208"/>
        <v>178511,05</v>
      </c>
      <c r="B3456" s="60">
        <f>COUNTIF($J$7:J3456,J3456)</f>
        <v>178</v>
      </c>
      <c r="C3456" s="60" t="str">
        <f t="shared" si="209"/>
        <v>0</v>
      </c>
      <c r="D3456" s="60">
        <f>COUNTIF($K$7:K3456,K3456)</f>
        <v>0</v>
      </c>
      <c r="E3456" s="61"/>
      <c r="F3456" s="261">
        <v>44621</v>
      </c>
      <c r="G3456" s="164"/>
      <c r="H3456" s="61" t="s">
        <v>645</v>
      </c>
      <c r="I3456" s="262" t="s">
        <v>1876</v>
      </c>
      <c r="J3456" s="61">
        <v>511.05</v>
      </c>
      <c r="K3456" s="80"/>
      <c r="L3456" s="263">
        <v>8000</v>
      </c>
      <c r="M3456" s="223"/>
      <c r="N3456" s="223"/>
      <c r="O3456" s="61"/>
      <c r="P3456" s="69" t="str">
        <f t="shared" si="210"/>
        <v>Biaya Transport Pengiriman Bensin, Parkir, Tol</v>
      </c>
      <c r="Q3456" s="61"/>
    </row>
    <row r="3457" spans="1:17" hidden="1" x14ac:dyDescent="0.25">
      <c r="A3457" s="60" t="str">
        <f t="shared" si="208"/>
        <v>179511,05</v>
      </c>
      <c r="B3457" s="60">
        <f>COUNTIF($J$7:J3457,J3457)</f>
        <v>179</v>
      </c>
      <c r="C3457" s="60" t="str">
        <f t="shared" si="209"/>
        <v>0</v>
      </c>
      <c r="D3457" s="60">
        <f>COUNTIF($K$7:K3457,K3457)</f>
        <v>0</v>
      </c>
      <c r="E3457" s="61"/>
      <c r="F3457" s="239">
        <v>44622</v>
      </c>
      <c r="G3457" s="164"/>
      <c r="H3457" s="61" t="s">
        <v>645</v>
      </c>
      <c r="I3457" s="243" t="s">
        <v>1877</v>
      </c>
      <c r="J3457" s="61">
        <v>511.05</v>
      </c>
      <c r="K3457" s="80"/>
      <c r="L3457" s="257">
        <v>4000</v>
      </c>
      <c r="M3457" s="223"/>
      <c r="N3457" s="223"/>
      <c r="O3457" s="61"/>
      <c r="P3457" s="69" t="str">
        <f t="shared" si="210"/>
        <v>Biaya Transport Pengiriman Bensin, Parkir, Tol</v>
      </c>
      <c r="Q3457" s="61"/>
    </row>
    <row r="3458" spans="1:17" hidden="1" x14ac:dyDescent="0.25">
      <c r="A3458" s="60" t="str">
        <f t="shared" si="208"/>
        <v>180511,05</v>
      </c>
      <c r="B3458" s="60">
        <f>COUNTIF($J$7:J3458,J3458)</f>
        <v>180</v>
      </c>
      <c r="C3458" s="60" t="str">
        <f t="shared" si="209"/>
        <v>0</v>
      </c>
      <c r="D3458" s="60">
        <f>COUNTIF($K$7:K3458,K3458)</f>
        <v>0</v>
      </c>
      <c r="E3458" s="61"/>
      <c r="F3458" s="239">
        <v>44622</v>
      </c>
      <c r="G3458" s="164"/>
      <c r="H3458" s="61" t="s">
        <v>645</v>
      </c>
      <c r="I3458" s="243" t="s">
        <v>1878</v>
      </c>
      <c r="J3458" s="61">
        <v>511.05</v>
      </c>
      <c r="K3458" s="80"/>
      <c r="L3458" s="257">
        <v>19000</v>
      </c>
      <c r="M3458" s="223"/>
      <c r="N3458" s="223"/>
      <c r="O3458" s="61"/>
      <c r="P3458" s="69" t="str">
        <f t="shared" si="210"/>
        <v>Biaya Transport Pengiriman Bensin, Parkir, Tol</v>
      </c>
      <c r="Q3458" s="61"/>
    </row>
    <row r="3459" spans="1:17" hidden="1" x14ac:dyDescent="0.25">
      <c r="A3459" s="60" t="str">
        <f t="shared" si="208"/>
        <v>181511,05</v>
      </c>
      <c r="B3459" s="60">
        <f>COUNTIF($J$7:J3459,J3459)</f>
        <v>181</v>
      </c>
      <c r="C3459" s="60" t="str">
        <f t="shared" si="209"/>
        <v>0</v>
      </c>
      <c r="D3459" s="60">
        <f>COUNTIF($K$7:K3459,K3459)</f>
        <v>0</v>
      </c>
      <c r="E3459" s="61"/>
      <c r="F3459" s="239">
        <v>44622</v>
      </c>
      <c r="G3459" s="164"/>
      <c r="H3459" s="61" t="s">
        <v>645</v>
      </c>
      <c r="I3459" s="243" t="s">
        <v>1877</v>
      </c>
      <c r="J3459" s="61">
        <v>511.05</v>
      </c>
      <c r="K3459" s="80"/>
      <c r="L3459" s="257">
        <v>2000</v>
      </c>
      <c r="M3459" s="223"/>
      <c r="N3459" s="223"/>
      <c r="O3459" s="61"/>
      <c r="P3459" s="69" t="str">
        <f t="shared" si="210"/>
        <v>Biaya Transport Pengiriman Bensin, Parkir, Tol</v>
      </c>
      <c r="Q3459" s="61"/>
    </row>
    <row r="3460" spans="1:17" hidden="1" x14ac:dyDescent="0.25">
      <c r="A3460" s="60" t="str">
        <f t="shared" si="208"/>
        <v>182511,05</v>
      </c>
      <c r="B3460" s="60">
        <f>COUNTIF($J$7:J3460,J3460)</f>
        <v>182</v>
      </c>
      <c r="C3460" s="60" t="str">
        <f t="shared" si="209"/>
        <v>0</v>
      </c>
      <c r="D3460" s="60">
        <f>COUNTIF($K$7:K3460,K3460)</f>
        <v>0</v>
      </c>
      <c r="E3460" s="61"/>
      <c r="F3460" s="239">
        <v>44622</v>
      </c>
      <c r="G3460" s="164"/>
      <c r="H3460" s="61" t="s">
        <v>645</v>
      </c>
      <c r="I3460" s="243" t="s">
        <v>1879</v>
      </c>
      <c r="J3460" s="61">
        <v>511.05</v>
      </c>
      <c r="K3460" s="80"/>
      <c r="L3460" s="257">
        <v>8000</v>
      </c>
      <c r="M3460" s="223"/>
      <c r="N3460" s="223"/>
      <c r="O3460" s="61"/>
      <c r="P3460" s="69" t="str">
        <f t="shared" si="210"/>
        <v>Biaya Transport Pengiriman Bensin, Parkir, Tol</v>
      </c>
      <c r="Q3460" s="61"/>
    </row>
    <row r="3461" spans="1:17" ht="30" hidden="1" x14ac:dyDescent="0.25">
      <c r="A3461" s="60" t="str">
        <f t="shared" si="208"/>
        <v>80511,03</v>
      </c>
      <c r="B3461" s="60">
        <f>COUNTIF($J$7:J3461,J3461)</f>
        <v>80</v>
      </c>
      <c r="C3461" s="60" t="str">
        <f t="shared" si="209"/>
        <v>0</v>
      </c>
      <c r="D3461" s="60">
        <f>COUNTIF($K$7:K3461,K3461)</f>
        <v>0</v>
      </c>
      <c r="E3461" s="61"/>
      <c r="F3461" s="261">
        <v>44621</v>
      </c>
      <c r="G3461" s="164"/>
      <c r="H3461" s="61" t="s">
        <v>645</v>
      </c>
      <c r="I3461" s="262" t="s">
        <v>1880</v>
      </c>
      <c r="J3461" s="61">
        <v>511.03</v>
      </c>
      <c r="K3461" s="80"/>
      <c r="L3461" s="263">
        <v>313000</v>
      </c>
      <c r="M3461" s="223"/>
      <c r="N3461" s="223"/>
      <c r="O3461" s="61"/>
      <c r="P3461" s="69" t="str">
        <f t="shared" si="210"/>
        <v>Biaya Pengiriman Barang Ekspedisi</v>
      </c>
      <c r="Q3461" s="61"/>
    </row>
    <row r="3462" spans="1:17" hidden="1" x14ac:dyDescent="0.25">
      <c r="A3462" s="60" t="str">
        <f t="shared" si="208"/>
        <v>81511,03</v>
      </c>
      <c r="B3462" s="60">
        <f>COUNTIF($J$7:J3462,J3462)</f>
        <v>81</v>
      </c>
      <c r="C3462" s="60" t="str">
        <f t="shared" si="209"/>
        <v>0</v>
      </c>
      <c r="D3462" s="60">
        <f>COUNTIF($K$7:K3462,K3462)</f>
        <v>0</v>
      </c>
      <c r="E3462" s="61"/>
      <c r="F3462" s="261">
        <v>44621</v>
      </c>
      <c r="G3462" s="164"/>
      <c r="H3462" s="61" t="s">
        <v>645</v>
      </c>
      <c r="I3462" s="262" t="s">
        <v>1881</v>
      </c>
      <c r="J3462" s="61">
        <v>511.03</v>
      </c>
      <c r="K3462" s="80"/>
      <c r="L3462" s="263">
        <v>176000</v>
      </c>
      <c r="M3462" s="223"/>
      <c r="N3462" s="223"/>
      <c r="O3462" s="61"/>
      <c r="P3462" s="69" t="str">
        <f t="shared" si="210"/>
        <v>Biaya Pengiriman Barang Ekspedisi</v>
      </c>
      <c r="Q3462" s="61"/>
    </row>
    <row r="3463" spans="1:17" hidden="1" x14ac:dyDescent="0.25">
      <c r="A3463" s="60" t="str">
        <f t="shared" ref="A3463:A3526" si="211">B3463&amp;J3463</f>
        <v>99511,04</v>
      </c>
      <c r="B3463" s="60">
        <f>COUNTIF($J$7:J3463,J3463)</f>
        <v>99</v>
      </c>
      <c r="C3463" s="60" t="str">
        <f t="shared" ref="C3463:C3526" si="212">D3463&amp;K3463</f>
        <v>0</v>
      </c>
      <c r="D3463" s="60">
        <f>COUNTIF($K$7:K3463,K3463)</f>
        <v>0</v>
      </c>
      <c r="E3463" s="61"/>
      <c r="F3463" s="239">
        <v>44627</v>
      </c>
      <c r="G3463" s="164"/>
      <c r="H3463" s="61" t="s">
        <v>645</v>
      </c>
      <c r="I3463" s="243" t="s">
        <v>1882</v>
      </c>
      <c r="J3463" s="64">
        <v>511.04</v>
      </c>
      <c r="K3463" s="80"/>
      <c r="L3463" s="257">
        <v>312000</v>
      </c>
      <c r="M3463" s="223"/>
      <c r="N3463" s="223"/>
      <c r="O3463" s="61"/>
      <c r="P3463" s="69" t="str">
        <f t="shared" ref="P3463:P3526" si="213">IF(J3463=0,"-",+VLOOKUP(J3463,DAF_AKUN,2,FALSE))</f>
        <v>Biaya pengiriman Via Online (Gojek,Grab), Kuli</v>
      </c>
      <c r="Q3463" s="61"/>
    </row>
    <row r="3464" spans="1:17" hidden="1" x14ac:dyDescent="0.25">
      <c r="A3464" s="60" t="str">
        <f t="shared" si="211"/>
        <v>100511,04</v>
      </c>
      <c r="B3464" s="60">
        <f>COUNTIF($J$7:J3464,J3464)</f>
        <v>100</v>
      </c>
      <c r="C3464" s="60" t="str">
        <f t="shared" si="212"/>
        <v>0</v>
      </c>
      <c r="D3464" s="60">
        <f>COUNTIF($K$7:K3464,K3464)</f>
        <v>0</v>
      </c>
      <c r="E3464" s="61"/>
      <c r="F3464" s="239">
        <v>44627</v>
      </c>
      <c r="G3464" s="164"/>
      <c r="H3464" s="61" t="s">
        <v>645</v>
      </c>
      <c r="I3464" s="243" t="s">
        <v>1883</v>
      </c>
      <c r="J3464" s="64">
        <v>511.04</v>
      </c>
      <c r="K3464" s="80"/>
      <c r="L3464" s="257">
        <v>210000</v>
      </c>
      <c r="M3464" s="223"/>
      <c r="N3464" s="223"/>
      <c r="O3464" s="61"/>
      <c r="P3464" s="69" t="str">
        <f t="shared" si="213"/>
        <v>Biaya pengiriman Via Online (Gojek,Grab), Kuli</v>
      </c>
      <c r="Q3464" s="61"/>
    </row>
    <row r="3465" spans="1:17" hidden="1" x14ac:dyDescent="0.25">
      <c r="A3465" s="60" t="str">
        <f t="shared" si="211"/>
        <v>183511,05</v>
      </c>
      <c r="B3465" s="60">
        <f>COUNTIF($J$7:J3465,J3465)</f>
        <v>183</v>
      </c>
      <c r="C3465" s="60" t="str">
        <f t="shared" si="212"/>
        <v>0</v>
      </c>
      <c r="D3465" s="60">
        <f>COUNTIF($K$7:K3465,K3465)</f>
        <v>0</v>
      </c>
      <c r="E3465" s="61"/>
      <c r="F3465" s="239">
        <v>44624</v>
      </c>
      <c r="G3465" s="164"/>
      <c r="H3465" s="61" t="s">
        <v>645</v>
      </c>
      <c r="I3465" s="243" t="s">
        <v>1884</v>
      </c>
      <c r="J3465" s="61">
        <v>511.05</v>
      </c>
      <c r="K3465" s="80"/>
      <c r="L3465" s="257">
        <v>20000</v>
      </c>
      <c r="M3465" s="223"/>
      <c r="N3465" s="223"/>
      <c r="O3465" s="61"/>
      <c r="P3465" s="69" t="str">
        <f t="shared" si="213"/>
        <v>Biaya Transport Pengiriman Bensin, Parkir, Tol</v>
      </c>
      <c r="Q3465" s="61"/>
    </row>
    <row r="3466" spans="1:17" hidden="1" x14ac:dyDescent="0.25">
      <c r="A3466" s="60" t="str">
        <f t="shared" si="211"/>
        <v>184511,05</v>
      </c>
      <c r="B3466" s="60">
        <f>COUNTIF($J$7:J3466,J3466)</f>
        <v>184</v>
      </c>
      <c r="C3466" s="60" t="str">
        <f t="shared" si="212"/>
        <v>0</v>
      </c>
      <c r="D3466" s="60">
        <f>COUNTIF($K$7:K3466,K3466)</f>
        <v>0</v>
      </c>
      <c r="E3466" s="61"/>
      <c r="F3466" s="239">
        <v>44624</v>
      </c>
      <c r="G3466" s="164"/>
      <c r="H3466" s="61" t="s">
        <v>645</v>
      </c>
      <c r="I3466" s="243" t="s">
        <v>1885</v>
      </c>
      <c r="J3466" s="61">
        <v>511.05</v>
      </c>
      <c r="K3466" s="80"/>
      <c r="L3466" s="257">
        <v>2000</v>
      </c>
      <c r="M3466" s="223"/>
      <c r="N3466" s="223"/>
      <c r="O3466" s="61"/>
      <c r="P3466" s="69" t="str">
        <f t="shared" si="213"/>
        <v>Biaya Transport Pengiriman Bensin, Parkir, Tol</v>
      </c>
      <c r="Q3466" s="61"/>
    </row>
    <row r="3467" spans="1:17" hidden="1" x14ac:dyDescent="0.25">
      <c r="A3467" s="60" t="str">
        <f t="shared" si="211"/>
        <v>185511,05</v>
      </c>
      <c r="B3467" s="60">
        <f>COUNTIF($J$7:J3467,J3467)</f>
        <v>185</v>
      </c>
      <c r="C3467" s="60" t="str">
        <f t="shared" si="212"/>
        <v>0</v>
      </c>
      <c r="D3467" s="60">
        <f>COUNTIF($K$7:K3467,K3467)</f>
        <v>0</v>
      </c>
      <c r="E3467" s="61"/>
      <c r="F3467" s="239">
        <v>44627</v>
      </c>
      <c r="G3467" s="164"/>
      <c r="H3467" s="61" t="s">
        <v>645</v>
      </c>
      <c r="I3467" s="243" t="s">
        <v>1886</v>
      </c>
      <c r="J3467" s="61">
        <v>511.05</v>
      </c>
      <c r="K3467" s="80"/>
      <c r="L3467" s="257">
        <v>4000</v>
      </c>
      <c r="M3467" s="223"/>
      <c r="N3467" s="223"/>
      <c r="O3467" s="61"/>
      <c r="P3467" s="69" t="str">
        <f t="shared" si="213"/>
        <v>Biaya Transport Pengiriman Bensin, Parkir, Tol</v>
      </c>
      <c r="Q3467" s="61"/>
    </row>
    <row r="3468" spans="1:17" hidden="1" x14ac:dyDescent="0.25">
      <c r="A3468" s="60" t="str">
        <f t="shared" si="211"/>
        <v>186511,05</v>
      </c>
      <c r="B3468" s="60">
        <f>COUNTIF($J$7:J3468,J3468)</f>
        <v>186</v>
      </c>
      <c r="C3468" s="60" t="str">
        <f t="shared" si="212"/>
        <v>0</v>
      </c>
      <c r="D3468" s="60">
        <f>COUNTIF($K$7:K3468,K3468)</f>
        <v>0</v>
      </c>
      <c r="E3468" s="61"/>
      <c r="F3468" s="239">
        <v>44627</v>
      </c>
      <c r="G3468" s="164"/>
      <c r="H3468" s="61" t="s">
        <v>645</v>
      </c>
      <c r="I3468" s="243" t="s">
        <v>1887</v>
      </c>
      <c r="J3468" s="61">
        <v>511.05</v>
      </c>
      <c r="K3468" s="80"/>
      <c r="L3468" s="257">
        <v>8000</v>
      </c>
      <c r="M3468" s="223"/>
      <c r="N3468" s="223"/>
      <c r="O3468" s="61"/>
      <c r="P3468" s="69" t="str">
        <f t="shared" si="213"/>
        <v>Biaya Transport Pengiriman Bensin, Parkir, Tol</v>
      </c>
      <c r="Q3468" s="61"/>
    </row>
    <row r="3469" spans="1:17" hidden="1" x14ac:dyDescent="0.25">
      <c r="A3469" s="60" t="str">
        <f t="shared" si="211"/>
        <v>187511,05</v>
      </c>
      <c r="B3469" s="60">
        <f>COUNTIF($J$7:J3469,J3469)</f>
        <v>187</v>
      </c>
      <c r="C3469" s="60" t="str">
        <f t="shared" si="212"/>
        <v>0</v>
      </c>
      <c r="D3469" s="60">
        <f>COUNTIF($K$7:K3469,K3469)</f>
        <v>0</v>
      </c>
      <c r="E3469" s="61"/>
      <c r="F3469" s="239">
        <v>44627</v>
      </c>
      <c r="G3469" s="164"/>
      <c r="H3469" s="61" t="s">
        <v>645</v>
      </c>
      <c r="I3469" s="243" t="s">
        <v>1888</v>
      </c>
      <c r="J3469" s="61">
        <v>511.05</v>
      </c>
      <c r="K3469" s="80"/>
      <c r="L3469" s="257">
        <v>31000</v>
      </c>
      <c r="M3469" s="223"/>
      <c r="N3469" s="223"/>
      <c r="O3469" s="61"/>
      <c r="P3469" s="69" t="str">
        <f t="shared" si="213"/>
        <v>Biaya Transport Pengiriman Bensin, Parkir, Tol</v>
      </c>
      <c r="Q3469" s="61"/>
    </row>
    <row r="3470" spans="1:17" hidden="1" x14ac:dyDescent="0.25">
      <c r="A3470" s="60" t="str">
        <f t="shared" si="211"/>
        <v>188511,05</v>
      </c>
      <c r="B3470" s="60">
        <f>COUNTIF($J$7:J3470,J3470)</f>
        <v>188</v>
      </c>
      <c r="C3470" s="60" t="str">
        <f t="shared" si="212"/>
        <v>0</v>
      </c>
      <c r="D3470" s="60">
        <f>COUNTIF($K$7:K3470,K3470)</f>
        <v>0</v>
      </c>
      <c r="E3470" s="61"/>
      <c r="F3470" s="239">
        <v>44627</v>
      </c>
      <c r="G3470" s="164"/>
      <c r="H3470" s="61" t="s">
        <v>645</v>
      </c>
      <c r="I3470" s="243" t="s">
        <v>1889</v>
      </c>
      <c r="J3470" s="61">
        <v>511.05</v>
      </c>
      <c r="K3470" s="80"/>
      <c r="L3470" s="257">
        <v>8000</v>
      </c>
      <c r="M3470" s="223"/>
      <c r="N3470" s="223"/>
      <c r="O3470" s="61"/>
      <c r="P3470" s="69" t="str">
        <f t="shared" si="213"/>
        <v>Biaya Transport Pengiriman Bensin, Parkir, Tol</v>
      </c>
      <c r="Q3470" s="61"/>
    </row>
    <row r="3471" spans="1:17" hidden="1" x14ac:dyDescent="0.25">
      <c r="A3471" s="60" t="str">
        <f t="shared" si="211"/>
        <v>82511,03</v>
      </c>
      <c r="B3471" s="60">
        <f>COUNTIF($J$7:J3471,J3471)</f>
        <v>82</v>
      </c>
      <c r="C3471" s="60" t="str">
        <f t="shared" si="212"/>
        <v>0</v>
      </c>
      <c r="D3471" s="60">
        <f>COUNTIF($K$7:K3471,K3471)</f>
        <v>0</v>
      </c>
      <c r="E3471" s="61"/>
      <c r="F3471" s="239">
        <v>44627</v>
      </c>
      <c r="G3471" s="164"/>
      <c r="H3471" s="61" t="s">
        <v>645</v>
      </c>
      <c r="I3471" s="243" t="s">
        <v>1890</v>
      </c>
      <c r="J3471" s="61">
        <v>511.03</v>
      </c>
      <c r="K3471" s="80"/>
      <c r="L3471" s="257">
        <v>308000</v>
      </c>
      <c r="M3471" s="223"/>
      <c r="N3471" s="223"/>
      <c r="O3471" s="61"/>
      <c r="P3471" s="69" t="str">
        <f t="shared" si="213"/>
        <v>Biaya Pengiriman Barang Ekspedisi</v>
      </c>
      <c r="Q3471" s="61"/>
    </row>
    <row r="3472" spans="1:17" ht="30" hidden="1" x14ac:dyDescent="0.25">
      <c r="A3472" s="60" t="str">
        <f t="shared" si="211"/>
        <v>83511,03</v>
      </c>
      <c r="B3472" s="60">
        <f>COUNTIF($J$7:J3472,J3472)</f>
        <v>83</v>
      </c>
      <c r="C3472" s="60" t="str">
        <f t="shared" si="212"/>
        <v>0</v>
      </c>
      <c r="D3472" s="60">
        <f>COUNTIF($K$7:K3472,K3472)</f>
        <v>0</v>
      </c>
      <c r="E3472" s="61"/>
      <c r="F3472" s="261">
        <v>44624</v>
      </c>
      <c r="G3472" s="164"/>
      <c r="H3472" s="61" t="s">
        <v>645</v>
      </c>
      <c r="I3472" s="262" t="s">
        <v>1891</v>
      </c>
      <c r="J3472" s="61">
        <v>511.03</v>
      </c>
      <c r="K3472" s="80"/>
      <c r="L3472" s="263">
        <v>126000</v>
      </c>
      <c r="M3472" s="223"/>
      <c r="N3472" s="223"/>
      <c r="O3472" s="247">
        <f>2000000</f>
        <v>2000000</v>
      </c>
      <c r="P3472" s="69" t="str">
        <f t="shared" si="213"/>
        <v>Biaya Pengiriman Barang Ekspedisi</v>
      </c>
      <c r="Q3472" s="61"/>
    </row>
    <row r="3473" spans="1:17" hidden="1" x14ac:dyDescent="0.25">
      <c r="A3473" s="60" t="str">
        <f t="shared" si="211"/>
        <v>42610,1</v>
      </c>
      <c r="B3473" s="60">
        <f>COUNTIF($J$7:J3473,J3473)</f>
        <v>42</v>
      </c>
      <c r="C3473" s="60" t="str">
        <f t="shared" si="212"/>
        <v>0</v>
      </c>
      <c r="D3473" s="60">
        <f>COUNTIF($K$7:K3473,K3473)</f>
        <v>0</v>
      </c>
      <c r="E3473" s="61"/>
      <c r="F3473" s="239">
        <v>44629</v>
      </c>
      <c r="G3473" s="164"/>
      <c r="H3473" s="61" t="s">
        <v>645</v>
      </c>
      <c r="I3473" s="243" t="s">
        <v>1892</v>
      </c>
      <c r="J3473" s="61">
        <v>610.1</v>
      </c>
      <c r="K3473" s="80"/>
      <c r="L3473" s="257">
        <v>84000</v>
      </c>
      <c r="M3473" s="223"/>
      <c r="N3473" s="223"/>
      <c r="O3473" s="303">
        <f>SUM(L3452:L3473)</f>
        <v>1923000</v>
      </c>
      <c r="P3473" s="69" t="str">
        <f t="shared" si="213"/>
        <v>Biaya Rumah Tangga Kantor</v>
      </c>
      <c r="Q3473" s="61"/>
    </row>
    <row r="3474" spans="1:17" hidden="1" x14ac:dyDescent="0.25">
      <c r="A3474" s="60" t="str">
        <f t="shared" si="211"/>
        <v>77119</v>
      </c>
      <c r="B3474" s="60">
        <f>COUNTIF($J$7:J3474,J3474)</f>
        <v>77</v>
      </c>
      <c r="C3474" s="60" t="str">
        <f t="shared" si="212"/>
        <v>31119,02</v>
      </c>
      <c r="D3474" s="60">
        <f>COUNTIF($K$7:K3474,K3474)</f>
        <v>31</v>
      </c>
      <c r="E3474" s="61"/>
      <c r="F3474" s="239">
        <v>44629</v>
      </c>
      <c r="G3474" s="164"/>
      <c r="H3474" s="61" t="s">
        <v>645</v>
      </c>
      <c r="I3474" s="79" t="s">
        <v>1893</v>
      </c>
      <c r="J3474" s="64">
        <v>119</v>
      </c>
      <c r="K3474" s="80">
        <v>119.02</v>
      </c>
      <c r="L3474" s="224"/>
      <c r="M3474" s="223">
        <v>2000000</v>
      </c>
      <c r="N3474" s="223"/>
      <c r="O3474" s="303">
        <f>O3472-O3473</f>
        <v>77000</v>
      </c>
      <c r="P3474" s="69" t="str">
        <f t="shared" si="213"/>
        <v>Uang Muka Biaya Pengiriman dan Perjalanan Dinas Marketing</v>
      </c>
      <c r="Q3474" s="61"/>
    </row>
    <row r="3475" spans="1:17" hidden="1" x14ac:dyDescent="0.25">
      <c r="A3475" s="60" t="str">
        <f t="shared" si="211"/>
        <v>78119</v>
      </c>
      <c r="B3475" s="60">
        <f>COUNTIF($J$7:J3475,J3475)</f>
        <v>78</v>
      </c>
      <c r="C3475" s="60" t="str">
        <f t="shared" si="212"/>
        <v>32119,02</v>
      </c>
      <c r="D3475" s="60">
        <f>COUNTIF($K$7:K3475,K3475)</f>
        <v>32</v>
      </c>
      <c r="E3475" s="61"/>
      <c r="F3475" s="239">
        <v>44629</v>
      </c>
      <c r="G3475" s="164"/>
      <c r="H3475" s="61" t="s">
        <v>645</v>
      </c>
      <c r="I3475" s="79" t="s">
        <v>1894</v>
      </c>
      <c r="J3475" s="64">
        <v>119</v>
      </c>
      <c r="K3475" s="80">
        <v>119.02</v>
      </c>
      <c r="L3475" s="224">
        <v>77000</v>
      </c>
      <c r="M3475" s="223"/>
      <c r="N3475" s="223"/>
      <c r="O3475" s="61"/>
      <c r="P3475" s="69" t="str">
        <f t="shared" si="213"/>
        <v>Uang Muka Biaya Pengiriman dan Perjalanan Dinas Marketing</v>
      </c>
      <c r="Q3475" s="61"/>
    </row>
    <row r="3476" spans="1:17" hidden="1" x14ac:dyDescent="0.25">
      <c r="A3476" s="60" t="str">
        <f t="shared" si="211"/>
        <v>29511,02</v>
      </c>
      <c r="B3476" s="60">
        <f>COUNTIF($J$7:J3476,J3476)</f>
        <v>29</v>
      </c>
      <c r="C3476" s="60" t="str">
        <f t="shared" si="212"/>
        <v>0</v>
      </c>
      <c r="D3476" s="60">
        <f>COUNTIF($K$7:K3476,K3476)</f>
        <v>0</v>
      </c>
      <c r="E3476" s="61"/>
      <c r="F3476" s="239">
        <v>44636</v>
      </c>
      <c r="G3476" s="61"/>
      <c r="H3476" s="61" t="s">
        <v>619</v>
      </c>
      <c r="I3476" s="243" t="s">
        <v>1895</v>
      </c>
      <c r="J3476" s="61">
        <v>511.02</v>
      </c>
      <c r="K3476" s="80"/>
      <c r="L3476" s="257">
        <v>1050000</v>
      </c>
      <c r="M3476" s="223"/>
      <c r="N3476" s="223"/>
      <c r="O3476" s="61"/>
      <c r="P3476" s="69" t="str">
        <f t="shared" si="213"/>
        <v>Biaya Loading UnLoading</v>
      </c>
      <c r="Q3476" s="61"/>
    </row>
    <row r="3477" spans="1:17" hidden="1" x14ac:dyDescent="0.25">
      <c r="A3477" s="60" t="str">
        <f t="shared" si="211"/>
        <v>30511,02</v>
      </c>
      <c r="B3477" s="60">
        <f>COUNTIF($J$7:J3477,J3477)</f>
        <v>30</v>
      </c>
      <c r="C3477" s="60" t="str">
        <f t="shared" si="212"/>
        <v>0</v>
      </c>
      <c r="D3477" s="60">
        <f>COUNTIF($K$7:K3477,K3477)</f>
        <v>0</v>
      </c>
      <c r="E3477" s="61"/>
      <c r="F3477" s="239">
        <v>44636</v>
      </c>
      <c r="G3477" s="232"/>
      <c r="H3477" s="61" t="s">
        <v>619</v>
      </c>
      <c r="I3477" s="243" t="s">
        <v>1307</v>
      </c>
      <c r="J3477" s="61">
        <v>511.02</v>
      </c>
      <c r="K3477" s="80"/>
      <c r="L3477" s="257">
        <v>600000</v>
      </c>
      <c r="M3477" s="223"/>
      <c r="N3477" s="223"/>
      <c r="O3477" s="61"/>
      <c r="P3477" s="69" t="str">
        <f t="shared" si="213"/>
        <v>Biaya Loading UnLoading</v>
      </c>
      <c r="Q3477" s="61"/>
    </row>
    <row r="3478" spans="1:17" hidden="1" x14ac:dyDescent="0.25">
      <c r="A3478" s="60" t="str">
        <f t="shared" si="211"/>
        <v>31511,02</v>
      </c>
      <c r="B3478" s="60">
        <f>COUNTIF($J$7:J3478,J3478)</f>
        <v>31</v>
      </c>
      <c r="C3478" s="60" t="str">
        <f t="shared" si="212"/>
        <v>0</v>
      </c>
      <c r="D3478" s="60">
        <f>COUNTIF($K$7:K3478,K3478)</f>
        <v>0</v>
      </c>
      <c r="E3478" s="61"/>
      <c r="F3478" s="239">
        <v>44636</v>
      </c>
      <c r="G3478" s="232"/>
      <c r="H3478" s="61" t="s">
        <v>619</v>
      </c>
      <c r="I3478" s="243" t="s">
        <v>620</v>
      </c>
      <c r="J3478" s="61">
        <v>511.02</v>
      </c>
      <c r="K3478" s="80"/>
      <c r="L3478" s="257">
        <v>200000</v>
      </c>
      <c r="M3478" s="223"/>
      <c r="N3478" s="223"/>
      <c r="O3478" s="61"/>
      <c r="P3478" s="69" t="str">
        <f t="shared" si="213"/>
        <v>Biaya Loading UnLoading</v>
      </c>
      <c r="Q3478" s="61"/>
    </row>
    <row r="3479" spans="1:17" hidden="1" x14ac:dyDescent="0.25">
      <c r="A3479" s="60" t="str">
        <f t="shared" si="211"/>
        <v>32511,02</v>
      </c>
      <c r="B3479" s="60">
        <f>COUNTIF($J$7:J3479,J3479)</f>
        <v>32</v>
      </c>
      <c r="C3479" s="60" t="str">
        <f t="shared" si="212"/>
        <v>0</v>
      </c>
      <c r="D3479" s="60">
        <f>COUNTIF($K$7:K3479,K3479)</f>
        <v>0</v>
      </c>
      <c r="E3479" s="61"/>
      <c r="F3479" s="239">
        <v>44636</v>
      </c>
      <c r="G3479" s="232"/>
      <c r="H3479" s="61" t="s">
        <v>619</v>
      </c>
      <c r="I3479" s="243" t="s">
        <v>622</v>
      </c>
      <c r="J3479" s="61">
        <v>511.02</v>
      </c>
      <c r="K3479" s="80"/>
      <c r="L3479" s="257">
        <v>50000</v>
      </c>
      <c r="M3479" s="223"/>
      <c r="N3479" s="223"/>
      <c r="O3479" s="61"/>
      <c r="P3479" s="69" t="str">
        <f t="shared" si="213"/>
        <v>Biaya Loading UnLoading</v>
      </c>
      <c r="Q3479" s="61"/>
    </row>
    <row r="3480" spans="1:17" hidden="1" x14ac:dyDescent="0.25">
      <c r="A3480" s="60" t="str">
        <f t="shared" si="211"/>
        <v>33511,02</v>
      </c>
      <c r="B3480" s="60">
        <f>COUNTIF($J$7:J3480,J3480)</f>
        <v>33</v>
      </c>
      <c r="C3480" s="60" t="str">
        <f t="shared" si="212"/>
        <v>0</v>
      </c>
      <c r="D3480" s="60">
        <f>COUNTIF($K$7:K3480,K3480)</f>
        <v>0</v>
      </c>
      <c r="E3480" s="61"/>
      <c r="F3480" s="239">
        <v>44636</v>
      </c>
      <c r="G3480" s="232"/>
      <c r="H3480" s="61" t="s">
        <v>619</v>
      </c>
      <c r="I3480" s="243" t="s">
        <v>628</v>
      </c>
      <c r="J3480" s="61">
        <v>511.02</v>
      </c>
      <c r="K3480" s="80"/>
      <c r="L3480" s="257">
        <v>50000</v>
      </c>
      <c r="M3480" s="223"/>
      <c r="N3480" s="223"/>
      <c r="O3480" s="61"/>
      <c r="P3480" s="69" t="str">
        <f t="shared" si="213"/>
        <v>Biaya Loading UnLoading</v>
      </c>
      <c r="Q3480" s="61"/>
    </row>
    <row r="3481" spans="1:17" hidden="1" x14ac:dyDescent="0.25">
      <c r="A3481" s="60" t="str">
        <f t="shared" si="211"/>
        <v>34511,02</v>
      </c>
      <c r="B3481" s="60">
        <f>COUNTIF($J$7:J3481,J3481)</f>
        <v>34</v>
      </c>
      <c r="C3481" s="60" t="str">
        <f t="shared" si="212"/>
        <v>0</v>
      </c>
      <c r="D3481" s="60">
        <f>COUNTIF($K$7:K3481,K3481)</f>
        <v>0</v>
      </c>
      <c r="E3481" s="61"/>
      <c r="F3481" s="239">
        <v>44636</v>
      </c>
      <c r="G3481" s="232"/>
      <c r="H3481" s="61" t="s">
        <v>619</v>
      </c>
      <c r="I3481" s="243" t="s">
        <v>1896</v>
      </c>
      <c r="J3481" s="61">
        <v>511.02</v>
      </c>
      <c r="K3481" s="80"/>
      <c r="L3481" s="257">
        <v>150000</v>
      </c>
      <c r="M3481" s="223"/>
      <c r="N3481" s="223"/>
      <c r="O3481" s="61"/>
      <c r="P3481" s="69" t="str">
        <f t="shared" si="213"/>
        <v>Biaya Loading UnLoading</v>
      </c>
      <c r="Q3481" s="61"/>
    </row>
    <row r="3482" spans="1:17" hidden="1" x14ac:dyDescent="0.25">
      <c r="A3482" s="60" t="str">
        <f t="shared" si="211"/>
        <v>35511,02</v>
      </c>
      <c r="B3482" s="60">
        <f>COUNTIF($J$7:J3482,J3482)</f>
        <v>35</v>
      </c>
      <c r="C3482" s="60" t="str">
        <f t="shared" si="212"/>
        <v>0</v>
      </c>
      <c r="D3482" s="60">
        <f>COUNTIF($K$7:K3482,K3482)</f>
        <v>0</v>
      </c>
      <c r="E3482" s="61"/>
      <c r="F3482" s="239">
        <v>44636</v>
      </c>
      <c r="G3482" s="232"/>
      <c r="H3482" s="61" t="s">
        <v>619</v>
      </c>
      <c r="I3482" s="243" t="s">
        <v>1897</v>
      </c>
      <c r="J3482" s="61">
        <v>511.02</v>
      </c>
      <c r="K3482" s="80"/>
      <c r="L3482" s="257">
        <v>50000</v>
      </c>
      <c r="M3482" s="223"/>
      <c r="N3482" s="223"/>
      <c r="O3482" s="247">
        <v>2300000</v>
      </c>
      <c r="P3482" s="69" t="str">
        <f t="shared" si="213"/>
        <v>Biaya Loading UnLoading</v>
      </c>
      <c r="Q3482" s="61"/>
    </row>
    <row r="3483" spans="1:17" hidden="1" x14ac:dyDescent="0.25">
      <c r="A3483" s="60" t="str">
        <f t="shared" si="211"/>
        <v>36511,02</v>
      </c>
      <c r="B3483" s="60">
        <f>COUNTIF($J$7:J3483,J3483)</f>
        <v>36</v>
      </c>
      <c r="C3483" s="60" t="str">
        <f t="shared" si="212"/>
        <v>0</v>
      </c>
      <c r="D3483" s="60">
        <f>COUNTIF($K$7:K3483,K3483)</f>
        <v>0</v>
      </c>
      <c r="E3483" s="61"/>
      <c r="F3483" s="239">
        <v>44636</v>
      </c>
      <c r="G3483" s="232"/>
      <c r="H3483" s="61" t="s">
        <v>619</v>
      </c>
      <c r="I3483" s="243" t="s">
        <v>1898</v>
      </c>
      <c r="J3483" s="61">
        <v>511.02</v>
      </c>
      <c r="K3483" s="80"/>
      <c r="L3483" s="257">
        <v>30000</v>
      </c>
      <c r="M3483" s="223"/>
      <c r="N3483" s="223"/>
      <c r="O3483" s="247">
        <f>SUM(L3476:L3483)</f>
        <v>2180000</v>
      </c>
      <c r="P3483" s="69" t="str">
        <f t="shared" si="213"/>
        <v>Biaya Loading UnLoading</v>
      </c>
      <c r="Q3483" s="61"/>
    </row>
    <row r="3484" spans="1:17" hidden="1" x14ac:dyDescent="0.25">
      <c r="A3484" s="60" t="str">
        <f t="shared" si="211"/>
        <v>79119</v>
      </c>
      <c r="B3484" s="60">
        <f>COUNTIF($J$7:J3484,J3484)</f>
        <v>79</v>
      </c>
      <c r="C3484" s="60" t="str">
        <f t="shared" si="212"/>
        <v>31119,01</v>
      </c>
      <c r="D3484" s="60">
        <f>COUNTIF($K$7:K3484,K3484)</f>
        <v>31</v>
      </c>
      <c r="E3484" s="61"/>
      <c r="F3484" s="239">
        <v>44636</v>
      </c>
      <c r="G3484" s="232"/>
      <c r="H3484" s="61" t="s">
        <v>619</v>
      </c>
      <c r="I3484" s="79" t="s">
        <v>1899</v>
      </c>
      <c r="J3484" s="64">
        <v>119</v>
      </c>
      <c r="K3484" s="80">
        <v>119.01</v>
      </c>
      <c r="L3484" s="224"/>
      <c r="M3484" s="223">
        <v>2300000</v>
      </c>
      <c r="N3484" s="223"/>
      <c r="O3484" s="247">
        <f>O3482-O3483</f>
        <v>120000</v>
      </c>
      <c r="P3484" s="69" t="str">
        <f t="shared" si="213"/>
        <v>Uang Muka Biaya Pengiriman dan Perjalanan Dinas Marketing</v>
      </c>
      <c r="Q3484" s="61"/>
    </row>
    <row r="3485" spans="1:17" hidden="1" x14ac:dyDescent="0.25">
      <c r="A3485" s="60" t="str">
        <f t="shared" si="211"/>
        <v>101511,04</v>
      </c>
      <c r="B3485" s="60">
        <f>COUNTIF($J$7:J3485,J3485)</f>
        <v>101</v>
      </c>
      <c r="C3485" s="60" t="str">
        <f t="shared" si="212"/>
        <v>0</v>
      </c>
      <c r="D3485" s="60">
        <f>COUNTIF($K$7:K3485,K3485)</f>
        <v>0</v>
      </c>
      <c r="E3485" s="61"/>
      <c r="F3485" s="239">
        <v>44631</v>
      </c>
      <c r="G3485" s="164"/>
      <c r="H3485" s="61" t="s">
        <v>645</v>
      </c>
      <c r="I3485" s="243" t="s">
        <v>1900</v>
      </c>
      <c r="J3485" s="64">
        <v>511.04</v>
      </c>
      <c r="K3485" s="257"/>
      <c r="L3485" s="257">
        <v>210000</v>
      </c>
      <c r="M3485" s="223"/>
      <c r="N3485" s="223"/>
      <c r="O3485" s="61"/>
      <c r="P3485" s="69" t="str">
        <f t="shared" si="213"/>
        <v>Biaya pengiriman Via Online (Gojek,Grab), Kuli</v>
      </c>
      <c r="Q3485" s="61"/>
    </row>
    <row r="3486" spans="1:17" hidden="1" x14ac:dyDescent="0.25">
      <c r="A3486" s="60" t="str">
        <f t="shared" si="211"/>
        <v>102511,04</v>
      </c>
      <c r="B3486" s="60">
        <f>COUNTIF($J$7:J3486,J3486)</f>
        <v>102</v>
      </c>
      <c r="C3486" s="60" t="str">
        <f t="shared" si="212"/>
        <v>0</v>
      </c>
      <c r="D3486" s="60">
        <f>COUNTIF($K$7:K3486,K3486)</f>
        <v>0</v>
      </c>
      <c r="E3486" s="61"/>
      <c r="F3486" s="239">
        <v>44631</v>
      </c>
      <c r="G3486" s="164"/>
      <c r="H3486" s="61" t="s">
        <v>645</v>
      </c>
      <c r="I3486" s="243" t="s">
        <v>1901</v>
      </c>
      <c r="J3486" s="64">
        <v>511.04</v>
      </c>
      <c r="K3486" s="257"/>
      <c r="L3486" s="257">
        <v>238000</v>
      </c>
      <c r="M3486" s="223"/>
      <c r="N3486" s="223"/>
      <c r="O3486" s="61"/>
      <c r="P3486" s="69" t="str">
        <f t="shared" si="213"/>
        <v>Biaya pengiriman Via Online (Gojek,Grab), Kuli</v>
      </c>
      <c r="Q3486" s="61"/>
    </row>
    <row r="3487" spans="1:17" hidden="1" x14ac:dyDescent="0.25">
      <c r="A3487" s="60" t="str">
        <f t="shared" si="211"/>
        <v>189511,05</v>
      </c>
      <c r="B3487" s="60">
        <f>COUNTIF($J$7:J3487,J3487)</f>
        <v>189</v>
      </c>
      <c r="C3487" s="60" t="str">
        <f t="shared" si="212"/>
        <v>0</v>
      </c>
      <c r="D3487" s="60">
        <f>COUNTIF($K$7:K3487,K3487)</f>
        <v>0</v>
      </c>
      <c r="E3487" s="61"/>
      <c r="F3487" s="239">
        <v>44631</v>
      </c>
      <c r="G3487" s="164"/>
      <c r="H3487" s="61" t="s">
        <v>645</v>
      </c>
      <c r="I3487" s="243" t="s">
        <v>1902</v>
      </c>
      <c r="J3487" s="61">
        <v>511.05</v>
      </c>
      <c r="K3487" s="257"/>
      <c r="L3487" s="257">
        <v>8000</v>
      </c>
      <c r="M3487" s="223"/>
      <c r="N3487" s="223"/>
      <c r="O3487" s="61"/>
      <c r="P3487" s="69" t="str">
        <f t="shared" si="213"/>
        <v>Biaya Transport Pengiriman Bensin, Parkir, Tol</v>
      </c>
      <c r="Q3487" s="61"/>
    </row>
    <row r="3488" spans="1:17" hidden="1" x14ac:dyDescent="0.25">
      <c r="A3488" s="60" t="str">
        <f t="shared" si="211"/>
        <v>190511,05</v>
      </c>
      <c r="B3488" s="60">
        <f>COUNTIF($J$7:J3488,J3488)</f>
        <v>190</v>
      </c>
      <c r="C3488" s="60" t="str">
        <f t="shared" si="212"/>
        <v>0</v>
      </c>
      <c r="D3488" s="60">
        <f>COUNTIF($K$7:K3488,K3488)</f>
        <v>0</v>
      </c>
      <c r="E3488" s="61"/>
      <c r="F3488" s="239">
        <v>44631</v>
      </c>
      <c r="G3488" s="164"/>
      <c r="H3488" s="61" t="s">
        <v>645</v>
      </c>
      <c r="I3488" s="243" t="s">
        <v>1903</v>
      </c>
      <c r="J3488" s="61">
        <v>511.05</v>
      </c>
      <c r="K3488" s="257"/>
      <c r="L3488" s="257">
        <v>8000</v>
      </c>
      <c r="M3488" s="223"/>
      <c r="N3488" s="223"/>
      <c r="O3488" s="61"/>
      <c r="P3488" s="69" t="str">
        <f t="shared" si="213"/>
        <v>Biaya Transport Pengiriman Bensin, Parkir, Tol</v>
      </c>
      <c r="Q3488" s="61"/>
    </row>
    <row r="3489" spans="1:17" hidden="1" x14ac:dyDescent="0.25">
      <c r="A3489" s="60" t="str">
        <f t="shared" si="211"/>
        <v>191511,05</v>
      </c>
      <c r="B3489" s="60">
        <f>COUNTIF($J$7:J3489,J3489)</f>
        <v>191</v>
      </c>
      <c r="C3489" s="60" t="str">
        <f t="shared" si="212"/>
        <v>0</v>
      </c>
      <c r="D3489" s="60">
        <f>COUNTIF($K$7:K3489,K3489)</f>
        <v>0</v>
      </c>
      <c r="E3489" s="61"/>
      <c r="F3489" s="239">
        <v>44631</v>
      </c>
      <c r="G3489" s="164"/>
      <c r="H3489" s="61" t="s">
        <v>645</v>
      </c>
      <c r="I3489" s="243" t="s">
        <v>1904</v>
      </c>
      <c r="J3489" s="61">
        <v>511.05</v>
      </c>
      <c r="K3489" s="257"/>
      <c r="L3489" s="257">
        <v>5000</v>
      </c>
      <c r="M3489" s="223"/>
      <c r="N3489" s="223"/>
      <c r="O3489" s="61"/>
      <c r="P3489" s="69" t="str">
        <f t="shared" si="213"/>
        <v>Biaya Transport Pengiriman Bensin, Parkir, Tol</v>
      </c>
      <c r="Q3489" s="61"/>
    </row>
    <row r="3490" spans="1:17" hidden="1" x14ac:dyDescent="0.25">
      <c r="A3490" s="60" t="str">
        <f t="shared" si="211"/>
        <v>192511,05</v>
      </c>
      <c r="B3490" s="60">
        <f>COUNTIF($J$7:J3490,J3490)</f>
        <v>192</v>
      </c>
      <c r="C3490" s="60" t="str">
        <f t="shared" si="212"/>
        <v>0</v>
      </c>
      <c r="D3490" s="60">
        <f>COUNTIF($K$7:K3490,K3490)</f>
        <v>0</v>
      </c>
      <c r="E3490" s="61"/>
      <c r="F3490" s="239">
        <v>44631</v>
      </c>
      <c r="G3490" s="164"/>
      <c r="H3490" s="61" t="s">
        <v>645</v>
      </c>
      <c r="I3490" s="243" t="s">
        <v>1905</v>
      </c>
      <c r="J3490" s="61">
        <v>511.05</v>
      </c>
      <c r="K3490" s="257"/>
      <c r="L3490" s="257">
        <v>10000</v>
      </c>
      <c r="M3490" s="223"/>
      <c r="N3490" s="223"/>
      <c r="O3490" s="61"/>
      <c r="P3490" s="69" t="str">
        <f t="shared" si="213"/>
        <v>Biaya Transport Pengiriman Bensin, Parkir, Tol</v>
      </c>
      <c r="Q3490" s="61"/>
    </row>
    <row r="3491" spans="1:17" hidden="1" x14ac:dyDescent="0.25">
      <c r="A3491" s="60" t="str">
        <f t="shared" si="211"/>
        <v>193511,05</v>
      </c>
      <c r="B3491" s="60">
        <f>COUNTIF($J$7:J3491,J3491)</f>
        <v>193</v>
      </c>
      <c r="C3491" s="60" t="str">
        <f t="shared" si="212"/>
        <v>0</v>
      </c>
      <c r="D3491" s="60">
        <f>COUNTIF($K$7:K3491,K3491)</f>
        <v>0</v>
      </c>
      <c r="E3491" s="61"/>
      <c r="F3491" s="239">
        <v>44631</v>
      </c>
      <c r="G3491" s="164"/>
      <c r="H3491" s="61" t="s">
        <v>645</v>
      </c>
      <c r="I3491" s="243" t="s">
        <v>1906</v>
      </c>
      <c r="J3491" s="61">
        <v>511.05</v>
      </c>
      <c r="K3491" s="257"/>
      <c r="L3491" s="257">
        <v>4000</v>
      </c>
      <c r="M3491" s="223"/>
      <c r="N3491" s="223"/>
      <c r="O3491" s="61"/>
      <c r="P3491" s="69" t="str">
        <f t="shared" si="213"/>
        <v>Biaya Transport Pengiriman Bensin, Parkir, Tol</v>
      </c>
      <c r="Q3491" s="61"/>
    </row>
    <row r="3492" spans="1:17" hidden="1" x14ac:dyDescent="0.25">
      <c r="A3492" s="60" t="str">
        <f t="shared" si="211"/>
        <v>84511,03</v>
      </c>
      <c r="B3492" s="60">
        <f>COUNTIF($J$7:J3492,J3492)</f>
        <v>84</v>
      </c>
      <c r="C3492" s="60" t="str">
        <f t="shared" si="212"/>
        <v>0</v>
      </c>
      <c r="D3492" s="60">
        <f>COUNTIF($K$7:K3492,K3492)</f>
        <v>0</v>
      </c>
      <c r="E3492" s="61"/>
      <c r="F3492" s="239">
        <v>44631</v>
      </c>
      <c r="G3492" s="164"/>
      <c r="H3492" s="61" t="s">
        <v>645</v>
      </c>
      <c r="I3492" s="243" t="s">
        <v>1907</v>
      </c>
      <c r="J3492" s="61">
        <v>511.03</v>
      </c>
      <c r="K3492" s="257"/>
      <c r="L3492" s="257">
        <v>315000</v>
      </c>
      <c r="M3492" s="223"/>
      <c r="N3492" s="223"/>
      <c r="O3492" s="61"/>
      <c r="P3492" s="69" t="str">
        <f t="shared" si="213"/>
        <v>Biaya Pengiriman Barang Ekspedisi</v>
      </c>
      <c r="Q3492" s="61"/>
    </row>
    <row r="3493" spans="1:17" hidden="1" x14ac:dyDescent="0.25">
      <c r="A3493" s="60" t="str">
        <f t="shared" si="211"/>
        <v>85511,03</v>
      </c>
      <c r="B3493" s="60">
        <f>COUNTIF($J$7:J3493,J3493)</f>
        <v>85</v>
      </c>
      <c r="C3493" s="60" t="str">
        <f t="shared" si="212"/>
        <v>0</v>
      </c>
      <c r="D3493" s="60">
        <f>COUNTIF($K$7:K3493,K3493)</f>
        <v>0</v>
      </c>
      <c r="E3493" s="61"/>
      <c r="F3493" s="239">
        <v>44631</v>
      </c>
      <c r="G3493" s="164"/>
      <c r="H3493" s="61" t="s">
        <v>645</v>
      </c>
      <c r="I3493" s="243" t="s">
        <v>1908</v>
      </c>
      <c r="J3493" s="64">
        <v>511.03</v>
      </c>
      <c r="K3493" s="257"/>
      <c r="L3493" s="257">
        <v>278400</v>
      </c>
      <c r="M3493" s="223"/>
      <c r="N3493" s="223"/>
      <c r="O3493" s="61"/>
      <c r="P3493" s="69" t="str">
        <f t="shared" si="213"/>
        <v>Biaya Pengiriman Barang Ekspedisi</v>
      </c>
      <c r="Q3493" s="61"/>
    </row>
    <row r="3494" spans="1:17" hidden="1" x14ac:dyDescent="0.25">
      <c r="A3494" s="60" t="str">
        <f t="shared" si="211"/>
        <v>194511,05</v>
      </c>
      <c r="B3494" s="60">
        <f>COUNTIF($J$7:J3494,J3494)</f>
        <v>194</v>
      </c>
      <c r="C3494" s="60" t="str">
        <f t="shared" si="212"/>
        <v>0</v>
      </c>
      <c r="D3494" s="60">
        <f>COUNTIF($K$7:K3494,K3494)</f>
        <v>0</v>
      </c>
      <c r="E3494" s="61"/>
      <c r="F3494" s="239">
        <v>44634</v>
      </c>
      <c r="G3494" s="164"/>
      <c r="H3494" s="61" t="s">
        <v>645</v>
      </c>
      <c r="I3494" s="243" t="s">
        <v>1909</v>
      </c>
      <c r="J3494" s="61">
        <v>511.05</v>
      </c>
      <c r="K3494" s="257"/>
      <c r="L3494" s="257">
        <v>2000</v>
      </c>
      <c r="M3494" s="223"/>
      <c r="N3494" s="223"/>
      <c r="O3494" s="61"/>
      <c r="P3494" s="69" t="str">
        <f t="shared" si="213"/>
        <v>Biaya Transport Pengiriman Bensin, Parkir, Tol</v>
      </c>
      <c r="Q3494" s="61"/>
    </row>
    <row r="3495" spans="1:17" hidden="1" x14ac:dyDescent="0.25">
      <c r="A3495" s="60" t="str">
        <f t="shared" si="211"/>
        <v>195511,05</v>
      </c>
      <c r="B3495" s="60">
        <f>COUNTIF($J$7:J3495,J3495)</f>
        <v>195</v>
      </c>
      <c r="C3495" s="60" t="str">
        <f t="shared" si="212"/>
        <v>0</v>
      </c>
      <c r="D3495" s="60">
        <f>COUNTIF($K$7:K3495,K3495)</f>
        <v>0</v>
      </c>
      <c r="E3495" s="61"/>
      <c r="F3495" s="239">
        <v>44634</v>
      </c>
      <c r="G3495" s="164"/>
      <c r="H3495" s="61" t="s">
        <v>645</v>
      </c>
      <c r="I3495" s="243" t="s">
        <v>1910</v>
      </c>
      <c r="J3495" s="61">
        <v>511.05</v>
      </c>
      <c r="K3495" s="257"/>
      <c r="L3495" s="257">
        <v>15000</v>
      </c>
      <c r="M3495" s="223"/>
      <c r="N3495" s="223"/>
      <c r="O3495" s="61"/>
      <c r="P3495" s="69" t="str">
        <f t="shared" si="213"/>
        <v>Biaya Transport Pengiriman Bensin, Parkir, Tol</v>
      </c>
      <c r="Q3495" s="61"/>
    </row>
    <row r="3496" spans="1:17" hidden="1" x14ac:dyDescent="0.25">
      <c r="A3496" s="60" t="str">
        <f t="shared" si="211"/>
        <v>196511,05</v>
      </c>
      <c r="B3496" s="60">
        <f>COUNTIF($J$7:J3496,J3496)</f>
        <v>196</v>
      </c>
      <c r="C3496" s="60" t="str">
        <f t="shared" si="212"/>
        <v>0</v>
      </c>
      <c r="D3496" s="60">
        <f>COUNTIF($K$7:K3496,K3496)</f>
        <v>0</v>
      </c>
      <c r="E3496" s="61"/>
      <c r="F3496" s="239">
        <v>44635</v>
      </c>
      <c r="G3496" s="164"/>
      <c r="H3496" s="61" t="s">
        <v>645</v>
      </c>
      <c r="I3496" s="243" t="s">
        <v>1911</v>
      </c>
      <c r="J3496" s="61">
        <v>511.05</v>
      </c>
      <c r="K3496" s="257"/>
      <c r="L3496" s="257">
        <v>16684</v>
      </c>
      <c r="M3496" s="223"/>
      <c r="N3496" s="223"/>
      <c r="O3496" s="61"/>
      <c r="P3496" s="69" t="str">
        <f t="shared" si="213"/>
        <v>Biaya Transport Pengiriman Bensin, Parkir, Tol</v>
      </c>
      <c r="Q3496" s="61"/>
    </row>
    <row r="3497" spans="1:17" hidden="1" x14ac:dyDescent="0.25">
      <c r="A3497" s="60" t="str">
        <f t="shared" si="211"/>
        <v>197511,05</v>
      </c>
      <c r="B3497" s="60">
        <f>COUNTIF($J$7:J3497,J3497)</f>
        <v>197</v>
      </c>
      <c r="C3497" s="60" t="str">
        <f t="shared" si="212"/>
        <v>0</v>
      </c>
      <c r="D3497" s="60">
        <f>COUNTIF($K$7:K3497,K3497)</f>
        <v>0</v>
      </c>
      <c r="E3497" s="61"/>
      <c r="F3497" s="239">
        <v>44635</v>
      </c>
      <c r="G3497" s="164"/>
      <c r="H3497" s="61" t="s">
        <v>645</v>
      </c>
      <c r="I3497" s="243" t="s">
        <v>1912</v>
      </c>
      <c r="J3497" s="61">
        <v>511.05</v>
      </c>
      <c r="K3497" s="257"/>
      <c r="L3497" s="257">
        <v>8000</v>
      </c>
      <c r="M3497" s="223"/>
      <c r="N3497" s="223"/>
      <c r="O3497" s="61"/>
      <c r="P3497" s="69" t="str">
        <f t="shared" si="213"/>
        <v>Biaya Transport Pengiriman Bensin, Parkir, Tol</v>
      </c>
      <c r="Q3497" s="61"/>
    </row>
    <row r="3498" spans="1:17" hidden="1" x14ac:dyDescent="0.25">
      <c r="A3498" s="60" t="str">
        <f t="shared" si="211"/>
        <v>198511,05</v>
      </c>
      <c r="B3498" s="60">
        <f>COUNTIF($J$7:J3498,J3498)</f>
        <v>198</v>
      </c>
      <c r="C3498" s="60" t="str">
        <f t="shared" si="212"/>
        <v>0</v>
      </c>
      <c r="D3498" s="60">
        <f>COUNTIF($K$7:K3498,K3498)</f>
        <v>0</v>
      </c>
      <c r="E3498" s="61"/>
      <c r="F3498" s="239">
        <v>44637</v>
      </c>
      <c r="G3498" s="164"/>
      <c r="H3498" s="61" t="s">
        <v>645</v>
      </c>
      <c r="I3498" s="243" t="s">
        <v>1913</v>
      </c>
      <c r="J3498" s="61">
        <v>511.05</v>
      </c>
      <c r="K3498" s="257"/>
      <c r="L3498" s="257">
        <v>20000</v>
      </c>
      <c r="M3498" s="223"/>
      <c r="N3498" s="223"/>
      <c r="O3498" s="61"/>
      <c r="P3498" s="69" t="str">
        <f t="shared" si="213"/>
        <v>Biaya Transport Pengiriman Bensin, Parkir, Tol</v>
      </c>
      <c r="Q3498" s="61"/>
    </row>
    <row r="3499" spans="1:17" hidden="1" x14ac:dyDescent="0.25">
      <c r="A3499" s="60" t="str">
        <f t="shared" si="211"/>
        <v>199511,05</v>
      </c>
      <c r="B3499" s="60">
        <f>COUNTIF($J$7:J3499,J3499)</f>
        <v>199</v>
      </c>
      <c r="C3499" s="60" t="str">
        <f t="shared" si="212"/>
        <v>0</v>
      </c>
      <c r="D3499" s="60">
        <f>COUNTIF($K$7:K3499,K3499)</f>
        <v>0</v>
      </c>
      <c r="E3499" s="61"/>
      <c r="F3499" s="239">
        <v>44637</v>
      </c>
      <c r="G3499" s="164"/>
      <c r="H3499" s="61" t="s">
        <v>645</v>
      </c>
      <c r="I3499" s="243" t="s">
        <v>1913</v>
      </c>
      <c r="J3499" s="61">
        <v>511.05</v>
      </c>
      <c r="K3499" s="257"/>
      <c r="L3499" s="257">
        <v>2000</v>
      </c>
      <c r="M3499" s="223"/>
      <c r="N3499" s="223"/>
      <c r="O3499" s="61"/>
      <c r="P3499" s="69" t="str">
        <f t="shared" si="213"/>
        <v>Biaya Transport Pengiriman Bensin, Parkir, Tol</v>
      </c>
      <c r="Q3499" s="61"/>
    </row>
    <row r="3500" spans="1:17" hidden="1" x14ac:dyDescent="0.25">
      <c r="A3500" s="60" t="str">
        <f t="shared" si="211"/>
        <v>103511,04</v>
      </c>
      <c r="B3500" s="60">
        <f>COUNTIF($J$7:J3500,J3500)</f>
        <v>103</v>
      </c>
      <c r="C3500" s="60" t="str">
        <f t="shared" si="212"/>
        <v>0</v>
      </c>
      <c r="D3500" s="60">
        <f>COUNTIF($K$7:K3500,K3500)</f>
        <v>0</v>
      </c>
      <c r="E3500" s="61"/>
      <c r="F3500" s="239">
        <v>44638</v>
      </c>
      <c r="G3500" s="164"/>
      <c r="H3500" s="61" t="s">
        <v>645</v>
      </c>
      <c r="I3500" s="243" t="s">
        <v>1914</v>
      </c>
      <c r="J3500" s="64">
        <v>511.04</v>
      </c>
      <c r="K3500" s="257"/>
      <c r="L3500" s="257">
        <v>210000</v>
      </c>
      <c r="M3500" s="223"/>
      <c r="N3500" s="223"/>
      <c r="O3500" s="61"/>
      <c r="P3500" s="69" t="str">
        <f t="shared" si="213"/>
        <v>Biaya pengiriman Via Online (Gojek,Grab), Kuli</v>
      </c>
      <c r="Q3500" s="61"/>
    </row>
    <row r="3501" spans="1:17" hidden="1" x14ac:dyDescent="0.25">
      <c r="A3501" s="60" t="str">
        <f t="shared" si="211"/>
        <v>200511,05</v>
      </c>
      <c r="B3501" s="60">
        <f>COUNTIF($J$7:J3501,J3501)</f>
        <v>200</v>
      </c>
      <c r="C3501" s="60" t="str">
        <f t="shared" si="212"/>
        <v>0</v>
      </c>
      <c r="D3501" s="60">
        <f>COUNTIF($K$7:K3501,K3501)</f>
        <v>0</v>
      </c>
      <c r="E3501" s="61"/>
      <c r="F3501" s="239">
        <v>44638</v>
      </c>
      <c r="G3501" s="164"/>
      <c r="H3501" s="61" t="s">
        <v>645</v>
      </c>
      <c r="I3501" s="243" t="s">
        <v>1915</v>
      </c>
      <c r="J3501" s="61">
        <v>511.05</v>
      </c>
      <c r="K3501" s="257"/>
      <c r="L3501" s="257">
        <v>2000</v>
      </c>
      <c r="M3501" s="223"/>
      <c r="N3501" s="223"/>
      <c r="O3501" s="61"/>
      <c r="P3501" s="69" t="str">
        <f t="shared" si="213"/>
        <v>Biaya Transport Pengiriman Bensin, Parkir, Tol</v>
      </c>
      <c r="Q3501" s="61"/>
    </row>
    <row r="3502" spans="1:17" hidden="1" x14ac:dyDescent="0.25">
      <c r="A3502" s="60" t="str">
        <f t="shared" si="211"/>
        <v>201511,05</v>
      </c>
      <c r="B3502" s="60">
        <f>COUNTIF($J$7:J3502,J3502)</f>
        <v>201</v>
      </c>
      <c r="C3502" s="60" t="str">
        <f t="shared" si="212"/>
        <v>0</v>
      </c>
      <c r="D3502" s="60">
        <f>COUNTIF($K$7:K3502,K3502)</f>
        <v>0</v>
      </c>
      <c r="E3502" s="61"/>
      <c r="F3502" s="239">
        <v>44638</v>
      </c>
      <c r="G3502" s="164"/>
      <c r="H3502" s="61" t="s">
        <v>645</v>
      </c>
      <c r="I3502" s="243" t="s">
        <v>1916</v>
      </c>
      <c r="J3502" s="61">
        <v>511.05</v>
      </c>
      <c r="K3502" s="257"/>
      <c r="L3502" s="257">
        <v>8000</v>
      </c>
      <c r="M3502" s="223"/>
      <c r="N3502" s="223"/>
      <c r="O3502" s="61"/>
      <c r="P3502" s="69" t="str">
        <f t="shared" si="213"/>
        <v>Biaya Transport Pengiriman Bensin, Parkir, Tol</v>
      </c>
      <c r="Q3502" s="61"/>
    </row>
    <row r="3503" spans="1:17" hidden="1" x14ac:dyDescent="0.25">
      <c r="A3503" s="60" t="str">
        <f t="shared" si="211"/>
        <v>202511,05</v>
      </c>
      <c r="B3503" s="60">
        <f>COUNTIF($J$7:J3503,J3503)</f>
        <v>202</v>
      </c>
      <c r="C3503" s="60" t="str">
        <f t="shared" si="212"/>
        <v>0</v>
      </c>
      <c r="D3503" s="60">
        <f>COUNTIF($K$7:K3503,K3503)</f>
        <v>0</v>
      </c>
      <c r="E3503" s="61"/>
      <c r="F3503" s="239">
        <v>44638</v>
      </c>
      <c r="G3503" s="164"/>
      <c r="H3503" s="61" t="s">
        <v>645</v>
      </c>
      <c r="I3503" s="243" t="s">
        <v>1917</v>
      </c>
      <c r="J3503" s="61">
        <v>511.05</v>
      </c>
      <c r="K3503" s="257"/>
      <c r="L3503" s="257">
        <v>8000</v>
      </c>
      <c r="M3503" s="223"/>
      <c r="N3503" s="223"/>
      <c r="O3503" s="61"/>
      <c r="P3503" s="69" t="str">
        <f t="shared" si="213"/>
        <v>Biaya Transport Pengiriman Bensin, Parkir, Tol</v>
      </c>
      <c r="Q3503" s="61"/>
    </row>
    <row r="3504" spans="1:17" hidden="1" x14ac:dyDescent="0.25">
      <c r="A3504" s="60" t="str">
        <f t="shared" si="211"/>
        <v>203511,05</v>
      </c>
      <c r="B3504" s="60">
        <f>COUNTIF($J$7:J3504,J3504)</f>
        <v>203</v>
      </c>
      <c r="C3504" s="60" t="str">
        <f t="shared" si="212"/>
        <v>0</v>
      </c>
      <c r="D3504" s="60">
        <f>COUNTIF($K$7:K3504,K3504)</f>
        <v>0</v>
      </c>
      <c r="E3504" s="61"/>
      <c r="F3504" s="239">
        <v>44638</v>
      </c>
      <c r="G3504" s="164"/>
      <c r="H3504" s="61" t="s">
        <v>645</v>
      </c>
      <c r="I3504" s="243" t="s">
        <v>1918</v>
      </c>
      <c r="J3504" s="61">
        <v>511.05</v>
      </c>
      <c r="K3504" s="257"/>
      <c r="L3504" s="257">
        <v>4000</v>
      </c>
      <c r="M3504" s="223"/>
      <c r="N3504" s="223"/>
      <c r="O3504" s="260">
        <f>M3506</f>
        <v>2000000</v>
      </c>
      <c r="P3504" s="69" t="str">
        <f t="shared" si="213"/>
        <v>Biaya Transport Pengiriman Bensin, Parkir, Tol</v>
      </c>
      <c r="Q3504" s="61"/>
    </row>
    <row r="3505" spans="1:17" hidden="1" x14ac:dyDescent="0.25">
      <c r="A3505" s="60" t="str">
        <f t="shared" si="211"/>
        <v>204511,05</v>
      </c>
      <c r="B3505" s="60">
        <f>COUNTIF($J$7:J3505,J3505)</f>
        <v>204</v>
      </c>
      <c r="C3505" s="60" t="str">
        <f t="shared" si="212"/>
        <v>0</v>
      </c>
      <c r="D3505" s="60">
        <f>COUNTIF($K$7:K3505,K3505)</f>
        <v>0</v>
      </c>
      <c r="E3505" s="61"/>
      <c r="F3505" s="239">
        <v>44638</v>
      </c>
      <c r="G3505" s="164"/>
      <c r="H3505" s="61" t="s">
        <v>645</v>
      </c>
      <c r="I3505" s="243" t="s">
        <v>1919</v>
      </c>
      <c r="J3505" s="61">
        <v>511.05</v>
      </c>
      <c r="K3505" s="257"/>
      <c r="L3505" s="257">
        <v>20000</v>
      </c>
      <c r="M3505" s="223"/>
      <c r="N3505" s="223"/>
      <c r="O3505" s="303">
        <f>SUM(L3485:L3505)</f>
        <v>1392084</v>
      </c>
      <c r="P3505" s="69" t="str">
        <f t="shared" si="213"/>
        <v>Biaya Transport Pengiriman Bensin, Parkir, Tol</v>
      </c>
      <c r="Q3505" s="61"/>
    </row>
    <row r="3506" spans="1:17" hidden="1" x14ac:dyDescent="0.25">
      <c r="A3506" s="60" t="str">
        <f t="shared" si="211"/>
        <v>80119</v>
      </c>
      <c r="B3506" s="60">
        <f>COUNTIF($J$7:J3506,J3506)</f>
        <v>80</v>
      </c>
      <c r="C3506" s="60" t="str">
        <f t="shared" si="212"/>
        <v>33119,02</v>
      </c>
      <c r="D3506" s="60">
        <f>COUNTIF($K$7:K3506,K3506)</f>
        <v>33</v>
      </c>
      <c r="E3506" s="61"/>
      <c r="F3506" s="239">
        <v>44638</v>
      </c>
      <c r="G3506" s="164"/>
      <c r="H3506" s="61" t="s">
        <v>645</v>
      </c>
      <c r="I3506" s="79" t="s">
        <v>1920</v>
      </c>
      <c r="J3506" s="64">
        <v>119</v>
      </c>
      <c r="K3506" s="80">
        <v>119.02</v>
      </c>
      <c r="L3506" s="224"/>
      <c r="M3506" s="224">
        <v>2000000</v>
      </c>
      <c r="N3506" s="224"/>
      <c r="O3506" s="260">
        <f>O3504-O3505</f>
        <v>607916</v>
      </c>
      <c r="P3506" s="69" t="str">
        <f t="shared" si="213"/>
        <v>Uang Muka Biaya Pengiriman dan Perjalanan Dinas Marketing</v>
      </c>
      <c r="Q3506" s="61"/>
    </row>
    <row r="3507" spans="1:17" hidden="1" x14ac:dyDescent="0.25">
      <c r="A3507" s="60" t="str">
        <f t="shared" si="211"/>
        <v>81119</v>
      </c>
      <c r="B3507" s="60">
        <f>COUNTIF($J$7:J3507,J3507)</f>
        <v>81</v>
      </c>
      <c r="C3507" s="60" t="str">
        <f t="shared" si="212"/>
        <v>34119,02</v>
      </c>
      <c r="D3507" s="60">
        <f>COUNTIF($K$7:K3507,K3507)</f>
        <v>34</v>
      </c>
      <c r="E3507" s="61"/>
      <c r="F3507" s="239">
        <v>44638</v>
      </c>
      <c r="G3507" s="164"/>
      <c r="H3507" s="61" t="s">
        <v>645</v>
      </c>
      <c r="I3507" s="79" t="s">
        <v>1921</v>
      </c>
      <c r="J3507" s="64">
        <v>119</v>
      </c>
      <c r="K3507" s="80">
        <v>119.02</v>
      </c>
      <c r="L3507" s="224">
        <v>607916</v>
      </c>
      <c r="M3507" s="223"/>
      <c r="N3507" s="223"/>
      <c r="O3507" s="61"/>
      <c r="P3507" s="69" t="str">
        <f t="shared" si="213"/>
        <v>Uang Muka Biaya Pengiriman dan Perjalanan Dinas Marketing</v>
      </c>
      <c r="Q3507" s="61"/>
    </row>
    <row r="3508" spans="1:17" hidden="1" x14ac:dyDescent="0.25">
      <c r="A3508" s="60" t="str">
        <f t="shared" si="211"/>
        <v>86511,03</v>
      </c>
      <c r="B3508" s="60">
        <f>COUNTIF($J$7:J3508,J3508)</f>
        <v>86</v>
      </c>
      <c r="C3508" s="60" t="str">
        <f t="shared" si="212"/>
        <v>0</v>
      </c>
      <c r="D3508" s="60">
        <f>COUNTIF($K$7:K3508,K3508)</f>
        <v>0</v>
      </c>
      <c r="E3508" s="61"/>
      <c r="F3508" s="239">
        <v>44637</v>
      </c>
      <c r="G3508" s="164"/>
      <c r="H3508" s="61" t="s">
        <v>619</v>
      </c>
      <c r="I3508" s="243" t="s">
        <v>1922</v>
      </c>
      <c r="J3508" s="64">
        <v>511.03</v>
      </c>
      <c r="K3508" s="80"/>
      <c r="L3508" s="257">
        <v>60000</v>
      </c>
      <c r="M3508" s="223"/>
      <c r="N3508" s="223"/>
      <c r="O3508" s="61"/>
      <c r="P3508" s="69" t="str">
        <f t="shared" si="213"/>
        <v>Biaya Pengiriman Barang Ekspedisi</v>
      </c>
      <c r="Q3508" s="61"/>
    </row>
    <row r="3509" spans="1:17" hidden="1" x14ac:dyDescent="0.25">
      <c r="A3509" s="60" t="str">
        <f t="shared" si="211"/>
        <v>104511,04</v>
      </c>
      <c r="B3509" s="60">
        <f>COUNTIF($J$7:J3509,J3509)</f>
        <v>104</v>
      </c>
      <c r="C3509" s="60" t="str">
        <f t="shared" si="212"/>
        <v>0</v>
      </c>
      <c r="D3509" s="60">
        <f>COUNTIF($K$7:K3509,K3509)</f>
        <v>0</v>
      </c>
      <c r="E3509" s="61"/>
      <c r="F3509" s="239">
        <v>44635</v>
      </c>
      <c r="G3509" s="164"/>
      <c r="H3509" s="61" t="s">
        <v>619</v>
      </c>
      <c r="I3509" s="243" t="s">
        <v>1923</v>
      </c>
      <c r="J3509" s="61">
        <v>511.04</v>
      </c>
      <c r="K3509" s="80"/>
      <c r="L3509" s="257">
        <v>89000</v>
      </c>
      <c r="M3509" s="223"/>
      <c r="N3509" s="223"/>
      <c r="O3509" s="61"/>
      <c r="P3509" s="69" t="str">
        <f t="shared" si="213"/>
        <v>Biaya pengiriman Via Online (Gojek,Grab), Kuli</v>
      </c>
      <c r="Q3509" s="61"/>
    </row>
    <row r="3510" spans="1:17" hidden="1" x14ac:dyDescent="0.25">
      <c r="A3510" s="60" t="str">
        <f t="shared" si="211"/>
        <v>105511,04</v>
      </c>
      <c r="B3510" s="60">
        <f>COUNTIF($J$7:J3510,J3510)</f>
        <v>105</v>
      </c>
      <c r="C3510" s="60" t="str">
        <f t="shared" si="212"/>
        <v>0</v>
      </c>
      <c r="D3510" s="60">
        <f>COUNTIF($K$7:K3510,K3510)</f>
        <v>0</v>
      </c>
      <c r="E3510" s="61"/>
      <c r="F3510" s="239">
        <v>44635</v>
      </c>
      <c r="G3510" s="164"/>
      <c r="H3510" s="61" t="s">
        <v>619</v>
      </c>
      <c r="I3510" s="243" t="s">
        <v>1924</v>
      </c>
      <c r="J3510" s="64">
        <v>511.04</v>
      </c>
      <c r="K3510" s="80"/>
      <c r="L3510" s="257">
        <v>370000</v>
      </c>
      <c r="M3510" s="223"/>
      <c r="N3510" s="223"/>
      <c r="O3510" s="61"/>
      <c r="P3510" s="69" t="str">
        <f t="shared" si="213"/>
        <v>Biaya pengiriman Via Online (Gojek,Grab), Kuli</v>
      </c>
      <c r="Q3510" s="61"/>
    </row>
    <row r="3511" spans="1:17" hidden="1" x14ac:dyDescent="0.25">
      <c r="A3511" s="60" t="str">
        <f t="shared" si="211"/>
        <v>205511,05</v>
      </c>
      <c r="B3511" s="60">
        <f>COUNTIF($J$7:J3511,J3511)</f>
        <v>205</v>
      </c>
      <c r="C3511" s="60" t="str">
        <f t="shared" si="212"/>
        <v>0</v>
      </c>
      <c r="D3511" s="60">
        <f>COUNTIF($K$7:K3511,K3511)</f>
        <v>0</v>
      </c>
      <c r="E3511" s="61"/>
      <c r="F3511" s="239">
        <v>44635</v>
      </c>
      <c r="G3511" s="164"/>
      <c r="H3511" s="61" t="s">
        <v>619</v>
      </c>
      <c r="I3511" s="243" t="s">
        <v>1925</v>
      </c>
      <c r="J3511" s="61">
        <v>511.05</v>
      </c>
      <c r="K3511" s="80"/>
      <c r="L3511" s="257">
        <v>8000</v>
      </c>
      <c r="M3511" s="223"/>
      <c r="N3511" s="223"/>
      <c r="O3511" s="61"/>
      <c r="P3511" s="69" t="str">
        <f t="shared" si="213"/>
        <v>Biaya Transport Pengiriman Bensin, Parkir, Tol</v>
      </c>
      <c r="Q3511" s="61"/>
    </row>
    <row r="3512" spans="1:17" hidden="1" x14ac:dyDescent="0.25">
      <c r="A3512" s="60" t="str">
        <f t="shared" si="211"/>
        <v>206511,05</v>
      </c>
      <c r="B3512" s="60">
        <f>COUNTIF($J$7:J3512,J3512)</f>
        <v>206</v>
      </c>
      <c r="C3512" s="60" t="str">
        <f t="shared" si="212"/>
        <v>0</v>
      </c>
      <c r="D3512" s="60">
        <f>COUNTIF($K$7:K3512,K3512)</f>
        <v>0</v>
      </c>
      <c r="E3512" s="61"/>
      <c r="F3512" s="239">
        <v>44635</v>
      </c>
      <c r="G3512" s="164"/>
      <c r="H3512" s="61" t="s">
        <v>619</v>
      </c>
      <c r="I3512" s="243" t="s">
        <v>1926</v>
      </c>
      <c r="J3512" s="61">
        <v>511.05</v>
      </c>
      <c r="K3512" s="80"/>
      <c r="L3512" s="257">
        <v>16000</v>
      </c>
      <c r="M3512" s="223"/>
      <c r="N3512" s="223"/>
      <c r="O3512" s="61"/>
      <c r="P3512" s="69" t="str">
        <f t="shared" si="213"/>
        <v>Biaya Transport Pengiriman Bensin, Parkir, Tol</v>
      </c>
      <c r="Q3512" s="61"/>
    </row>
    <row r="3513" spans="1:17" hidden="1" x14ac:dyDescent="0.25">
      <c r="A3513" s="60" t="str">
        <f t="shared" si="211"/>
        <v>207511,05</v>
      </c>
      <c r="B3513" s="60">
        <f>COUNTIF($J$7:J3513,J3513)</f>
        <v>207</v>
      </c>
      <c r="C3513" s="60" t="str">
        <f t="shared" si="212"/>
        <v>0</v>
      </c>
      <c r="D3513" s="60">
        <f>COUNTIF($K$7:K3513,K3513)</f>
        <v>0</v>
      </c>
      <c r="E3513" s="61"/>
      <c r="F3513" s="239">
        <v>44643</v>
      </c>
      <c r="G3513" s="164"/>
      <c r="H3513" s="61" t="s">
        <v>619</v>
      </c>
      <c r="I3513" s="243" t="s">
        <v>1927</v>
      </c>
      <c r="J3513" s="61">
        <v>511.05</v>
      </c>
      <c r="K3513" s="80"/>
      <c r="L3513" s="257">
        <v>2000</v>
      </c>
      <c r="M3513" s="223"/>
      <c r="N3513" s="223"/>
      <c r="O3513" s="61"/>
      <c r="P3513" s="69" t="str">
        <f t="shared" si="213"/>
        <v>Biaya Transport Pengiriman Bensin, Parkir, Tol</v>
      </c>
      <c r="Q3513" s="61"/>
    </row>
    <row r="3514" spans="1:17" hidden="1" x14ac:dyDescent="0.25">
      <c r="A3514" s="60" t="str">
        <f t="shared" si="211"/>
        <v>208511,05</v>
      </c>
      <c r="B3514" s="60">
        <f>COUNTIF($J$7:J3514,J3514)</f>
        <v>208</v>
      </c>
      <c r="C3514" s="60" t="str">
        <f t="shared" si="212"/>
        <v>0</v>
      </c>
      <c r="D3514" s="60">
        <f>COUNTIF($K$7:K3514,K3514)</f>
        <v>0</v>
      </c>
      <c r="E3514" s="61"/>
      <c r="F3514" s="239">
        <v>44643</v>
      </c>
      <c r="G3514" s="164"/>
      <c r="H3514" s="61" t="s">
        <v>619</v>
      </c>
      <c r="I3514" s="243" t="s">
        <v>1928</v>
      </c>
      <c r="J3514" s="61">
        <v>511.05</v>
      </c>
      <c r="K3514" s="80"/>
      <c r="L3514" s="257">
        <v>20000</v>
      </c>
      <c r="M3514" s="223"/>
      <c r="N3514" s="223"/>
      <c r="O3514" s="61"/>
      <c r="P3514" s="69" t="str">
        <f t="shared" si="213"/>
        <v>Biaya Transport Pengiriman Bensin, Parkir, Tol</v>
      </c>
      <c r="Q3514" s="61"/>
    </row>
    <row r="3515" spans="1:17" hidden="1" x14ac:dyDescent="0.25">
      <c r="A3515" s="60" t="str">
        <f t="shared" si="211"/>
        <v>209511,05</v>
      </c>
      <c r="B3515" s="60">
        <f>COUNTIF($J$7:J3515,J3515)</f>
        <v>209</v>
      </c>
      <c r="C3515" s="60" t="str">
        <f t="shared" si="212"/>
        <v>0</v>
      </c>
      <c r="D3515" s="60">
        <f>COUNTIF($K$7:K3515,K3515)</f>
        <v>0</v>
      </c>
      <c r="E3515" s="61"/>
      <c r="F3515" s="239">
        <v>44644</v>
      </c>
      <c r="G3515" s="164"/>
      <c r="H3515" s="61" t="s">
        <v>619</v>
      </c>
      <c r="I3515" s="243" t="s">
        <v>1929</v>
      </c>
      <c r="J3515" s="61">
        <v>511.05</v>
      </c>
      <c r="K3515" s="80"/>
      <c r="L3515" s="257">
        <v>3000</v>
      </c>
      <c r="M3515" s="223"/>
      <c r="N3515" s="223"/>
      <c r="O3515" s="61"/>
      <c r="P3515" s="69" t="str">
        <f t="shared" si="213"/>
        <v>Biaya Transport Pengiriman Bensin, Parkir, Tol</v>
      </c>
      <c r="Q3515" s="61"/>
    </row>
    <row r="3516" spans="1:17" hidden="1" x14ac:dyDescent="0.25">
      <c r="A3516" s="60" t="str">
        <f t="shared" si="211"/>
        <v>210511,05</v>
      </c>
      <c r="B3516" s="60">
        <f>COUNTIF($J$7:J3516,J3516)</f>
        <v>210</v>
      </c>
      <c r="C3516" s="60" t="str">
        <f t="shared" si="212"/>
        <v>0</v>
      </c>
      <c r="D3516" s="60">
        <f>COUNTIF($K$7:K3516,K3516)</f>
        <v>0</v>
      </c>
      <c r="E3516" s="61"/>
      <c r="F3516" s="239">
        <v>44649</v>
      </c>
      <c r="G3516" s="164"/>
      <c r="H3516" s="61" t="s">
        <v>619</v>
      </c>
      <c r="I3516" s="243" t="s">
        <v>1930</v>
      </c>
      <c r="J3516" s="61">
        <v>511.05</v>
      </c>
      <c r="K3516" s="80"/>
      <c r="L3516" s="257">
        <v>20000</v>
      </c>
      <c r="M3516" s="223"/>
      <c r="N3516" s="223"/>
      <c r="O3516" s="61"/>
      <c r="P3516" s="69" t="str">
        <f t="shared" si="213"/>
        <v>Biaya Transport Pengiriman Bensin, Parkir, Tol</v>
      </c>
      <c r="Q3516" s="61"/>
    </row>
    <row r="3517" spans="1:17" hidden="1" x14ac:dyDescent="0.25">
      <c r="A3517" s="60" t="str">
        <f t="shared" si="211"/>
        <v>211511,05</v>
      </c>
      <c r="B3517" s="60">
        <f>COUNTIF($J$7:J3517,J3517)</f>
        <v>211</v>
      </c>
      <c r="C3517" s="60" t="str">
        <f t="shared" si="212"/>
        <v>0</v>
      </c>
      <c r="D3517" s="60">
        <f>COUNTIF($K$7:K3517,K3517)</f>
        <v>0</v>
      </c>
      <c r="E3517" s="61"/>
      <c r="F3517" s="239">
        <v>44649</v>
      </c>
      <c r="G3517" s="164"/>
      <c r="H3517" s="61" t="s">
        <v>619</v>
      </c>
      <c r="I3517" s="243" t="s">
        <v>1931</v>
      </c>
      <c r="J3517" s="61">
        <v>511.05</v>
      </c>
      <c r="K3517" s="80"/>
      <c r="L3517" s="257">
        <v>2000</v>
      </c>
      <c r="M3517" s="223"/>
      <c r="N3517" s="223"/>
      <c r="O3517" s="61"/>
      <c r="P3517" s="69" t="str">
        <f t="shared" si="213"/>
        <v>Biaya Transport Pengiriman Bensin, Parkir, Tol</v>
      </c>
      <c r="Q3517" s="61"/>
    </row>
    <row r="3518" spans="1:17" hidden="1" x14ac:dyDescent="0.25">
      <c r="A3518" s="60" t="str">
        <f t="shared" si="211"/>
        <v>212511,05</v>
      </c>
      <c r="B3518" s="60">
        <f>COUNTIF($J$7:J3518,J3518)</f>
        <v>212</v>
      </c>
      <c r="C3518" s="60" t="str">
        <f t="shared" si="212"/>
        <v>0</v>
      </c>
      <c r="D3518" s="60">
        <f>COUNTIF($K$7:K3518,K3518)</f>
        <v>0</v>
      </c>
      <c r="E3518" s="61"/>
      <c r="F3518" s="239">
        <v>44644</v>
      </c>
      <c r="G3518" s="164"/>
      <c r="H3518" s="61" t="s">
        <v>619</v>
      </c>
      <c r="I3518" s="243" t="s">
        <v>1932</v>
      </c>
      <c r="J3518" s="61">
        <v>511.05</v>
      </c>
      <c r="K3518" s="80"/>
      <c r="L3518" s="257">
        <v>20000</v>
      </c>
      <c r="M3518" s="223"/>
      <c r="N3518" s="223"/>
      <c r="O3518" s="61"/>
      <c r="P3518" s="69" t="str">
        <f t="shared" si="213"/>
        <v>Biaya Transport Pengiriman Bensin, Parkir, Tol</v>
      </c>
      <c r="Q3518" s="61"/>
    </row>
    <row r="3519" spans="1:17" hidden="1" x14ac:dyDescent="0.25">
      <c r="A3519" s="60" t="str">
        <f t="shared" si="211"/>
        <v>11610,04</v>
      </c>
      <c r="B3519" s="60">
        <f>COUNTIF($J$7:J3519,J3519)</f>
        <v>11</v>
      </c>
      <c r="C3519" s="60" t="str">
        <f t="shared" si="212"/>
        <v>0</v>
      </c>
      <c r="D3519" s="60">
        <f>COUNTIF($K$7:K3519,K3519)</f>
        <v>0</v>
      </c>
      <c r="E3519" s="61"/>
      <c r="F3519" s="239">
        <v>44641</v>
      </c>
      <c r="G3519" s="164"/>
      <c r="H3519" s="61" t="s">
        <v>619</v>
      </c>
      <c r="I3519" s="243" t="s">
        <v>1933</v>
      </c>
      <c r="J3519" s="61">
        <v>610.04</v>
      </c>
      <c r="K3519" s="80"/>
      <c r="L3519" s="257">
        <v>35000</v>
      </c>
      <c r="M3519" s="223"/>
      <c r="N3519" s="223"/>
      <c r="O3519" s="61"/>
      <c r="P3519" s="69" t="str">
        <f t="shared" si="213"/>
        <v>Biaya Transportasi Umum (Bensin, Tol, Parkir) dan Kirim Dokumen</v>
      </c>
      <c r="Q3519" s="61"/>
    </row>
    <row r="3520" spans="1:17" hidden="1" x14ac:dyDescent="0.25">
      <c r="A3520" s="60" t="str">
        <f t="shared" si="211"/>
        <v>43610,1</v>
      </c>
      <c r="B3520" s="60">
        <f>COUNTIF($J$7:J3520,J3520)</f>
        <v>43</v>
      </c>
      <c r="C3520" s="60" t="str">
        <f t="shared" si="212"/>
        <v>0</v>
      </c>
      <c r="D3520" s="60">
        <f>COUNTIF($K$7:K3520,K3520)</f>
        <v>0</v>
      </c>
      <c r="E3520" s="61"/>
      <c r="F3520" s="239">
        <v>44643</v>
      </c>
      <c r="G3520" s="164"/>
      <c r="H3520" s="61" t="s">
        <v>619</v>
      </c>
      <c r="I3520" s="243" t="s">
        <v>1934</v>
      </c>
      <c r="J3520" s="61">
        <v>610.1</v>
      </c>
      <c r="K3520" s="80"/>
      <c r="L3520" s="257">
        <v>84000</v>
      </c>
      <c r="M3520" s="223"/>
      <c r="N3520" s="223"/>
      <c r="O3520" s="61"/>
      <c r="P3520" s="69" t="str">
        <f t="shared" si="213"/>
        <v>Biaya Rumah Tangga Kantor</v>
      </c>
      <c r="Q3520" s="61"/>
    </row>
    <row r="3521" spans="1:17" hidden="1" x14ac:dyDescent="0.25">
      <c r="A3521" s="60" t="str">
        <f t="shared" si="211"/>
        <v>106511,04</v>
      </c>
      <c r="B3521" s="60">
        <f>COUNTIF($J$7:J3521,J3521)</f>
        <v>106</v>
      </c>
      <c r="C3521" s="60" t="str">
        <f t="shared" si="212"/>
        <v>0</v>
      </c>
      <c r="D3521" s="60">
        <f>COUNTIF($K$7:K3521,K3521)</f>
        <v>0</v>
      </c>
      <c r="E3521" s="61"/>
      <c r="F3521" s="239">
        <v>44645</v>
      </c>
      <c r="G3521" s="164"/>
      <c r="H3521" s="61" t="s">
        <v>619</v>
      </c>
      <c r="I3521" s="243" t="s">
        <v>1935</v>
      </c>
      <c r="J3521" s="61">
        <v>511.04</v>
      </c>
      <c r="K3521" s="80"/>
      <c r="L3521" s="257">
        <v>141000</v>
      </c>
      <c r="M3521" s="223"/>
      <c r="N3521" s="223"/>
      <c r="O3521" s="61"/>
      <c r="P3521" s="69" t="str">
        <f t="shared" si="213"/>
        <v>Biaya pengiriman Via Online (Gojek,Grab), Kuli</v>
      </c>
      <c r="Q3521" s="61"/>
    </row>
    <row r="3522" spans="1:17" hidden="1" x14ac:dyDescent="0.25">
      <c r="A3522" s="60" t="str">
        <f t="shared" si="211"/>
        <v>107511,04</v>
      </c>
      <c r="B3522" s="60">
        <f>COUNTIF($J$7:J3522,J3522)</f>
        <v>107</v>
      </c>
      <c r="C3522" s="60" t="str">
        <f t="shared" si="212"/>
        <v>0</v>
      </c>
      <c r="D3522" s="60">
        <f>COUNTIF($K$7:K3522,K3522)</f>
        <v>0</v>
      </c>
      <c r="E3522" s="61"/>
      <c r="F3522" s="239">
        <v>44645</v>
      </c>
      <c r="G3522" s="164"/>
      <c r="H3522" s="61" t="s">
        <v>619</v>
      </c>
      <c r="I3522" s="243" t="s">
        <v>1936</v>
      </c>
      <c r="J3522" s="61">
        <v>511.04</v>
      </c>
      <c r="K3522" s="80"/>
      <c r="L3522" s="257">
        <v>89000</v>
      </c>
      <c r="M3522" s="223"/>
      <c r="N3522" s="223"/>
      <c r="O3522" s="61"/>
      <c r="P3522" s="69" t="str">
        <f t="shared" si="213"/>
        <v>Biaya pengiriman Via Online (Gojek,Grab), Kuli</v>
      </c>
      <c r="Q3522" s="61"/>
    </row>
    <row r="3523" spans="1:17" hidden="1" x14ac:dyDescent="0.25">
      <c r="A3523" s="60" t="str">
        <f t="shared" si="211"/>
        <v>87511,03</v>
      </c>
      <c r="B3523" s="60">
        <f>COUNTIF($J$7:J3523,J3523)</f>
        <v>87</v>
      </c>
      <c r="C3523" s="60" t="str">
        <f t="shared" si="212"/>
        <v>0</v>
      </c>
      <c r="D3523" s="60">
        <f>COUNTIF($K$7:K3523,K3523)</f>
        <v>0</v>
      </c>
      <c r="E3523" s="61"/>
      <c r="F3523" s="239">
        <v>44641</v>
      </c>
      <c r="G3523" s="164"/>
      <c r="H3523" s="61" t="s">
        <v>619</v>
      </c>
      <c r="I3523" s="243" t="s">
        <v>1937</v>
      </c>
      <c r="J3523" s="61">
        <v>511.03</v>
      </c>
      <c r="K3523" s="80"/>
      <c r="L3523" s="257">
        <v>416000</v>
      </c>
      <c r="M3523" s="223"/>
      <c r="N3523" s="223"/>
      <c r="O3523" s="61"/>
      <c r="P3523" s="69" t="str">
        <f t="shared" si="213"/>
        <v>Biaya Pengiriman Barang Ekspedisi</v>
      </c>
      <c r="Q3523" s="61"/>
    </row>
    <row r="3524" spans="1:17" hidden="1" x14ac:dyDescent="0.25">
      <c r="A3524" s="60" t="str">
        <f t="shared" si="211"/>
        <v>108511,04</v>
      </c>
      <c r="B3524" s="60">
        <f>COUNTIF($J$7:J3524,J3524)</f>
        <v>108</v>
      </c>
      <c r="C3524" s="60" t="str">
        <f t="shared" si="212"/>
        <v>0</v>
      </c>
      <c r="D3524" s="60">
        <f>COUNTIF($K$7:K3524,K3524)</f>
        <v>0</v>
      </c>
      <c r="E3524" s="61"/>
      <c r="F3524" s="239">
        <v>44641</v>
      </c>
      <c r="G3524" s="164"/>
      <c r="H3524" s="61" t="s">
        <v>619</v>
      </c>
      <c r="I3524" s="243" t="s">
        <v>1938</v>
      </c>
      <c r="J3524" s="64">
        <v>511.04</v>
      </c>
      <c r="K3524" s="80"/>
      <c r="L3524" s="257">
        <v>210000</v>
      </c>
      <c r="M3524" s="223"/>
      <c r="N3524" s="223"/>
      <c r="O3524" s="61"/>
      <c r="P3524" s="69" t="str">
        <f t="shared" si="213"/>
        <v>Biaya pengiriman Via Online (Gojek,Grab), Kuli</v>
      </c>
      <c r="Q3524" s="61"/>
    </row>
    <row r="3525" spans="1:17" hidden="1" x14ac:dyDescent="0.25">
      <c r="A3525" s="60" t="str">
        <f t="shared" si="211"/>
        <v>109511,04</v>
      </c>
      <c r="B3525" s="60">
        <f>COUNTIF($J$7:J3525,J3525)</f>
        <v>109</v>
      </c>
      <c r="C3525" s="60" t="str">
        <f t="shared" si="212"/>
        <v>0</v>
      </c>
      <c r="D3525" s="60">
        <f>COUNTIF($K$7:K3525,K3525)</f>
        <v>0</v>
      </c>
      <c r="E3525" s="61"/>
      <c r="F3525" s="239">
        <v>44641</v>
      </c>
      <c r="G3525" s="164"/>
      <c r="H3525" s="61" t="s">
        <v>619</v>
      </c>
      <c r="I3525" s="243" t="s">
        <v>1939</v>
      </c>
      <c r="J3525" s="61">
        <v>511.04</v>
      </c>
      <c r="K3525" s="80"/>
      <c r="L3525" s="257">
        <v>37000</v>
      </c>
      <c r="M3525" s="223"/>
      <c r="N3525" s="223"/>
      <c r="O3525" s="61"/>
      <c r="P3525" s="69" t="str">
        <f t="shared" si="213"/>
        <v>Biaya pengiriman Via Online (Gojek,Grab), Kuli</v>
      </c>
      <c r="Q3525" s="61"/>
    </row>
    <row r="3526" spans="1:17" hidden="1" x14ac:dyDescent="0.25">
      <c r="A3526" s="60" t="str">
        <f t="shared" si="211"/>
        <v>110511,04</v>
      </c>
      <c r="B3526" s="60">
        <f>COUNTIF($J$7:J3526,J3526)</f>
        <v>110</v>
      </c>
      <c r="C3526" s="60" t="str">
        <f t="shared" si="212"/>
        <v>0</v>
      </c>
      <c r="D3526" s="60">
        <f>COUNTIF($K$7:K3526,K3526)</f>
        <v>0</v>
      </c>
      <c r="E3526" s="61"/>
      <c r="F3526" s="239">
        <v>44641</v>
      </c>
      <c r="G3526" s="164"/>
      <c r="H3526" s="61" t="s">
        <v>619</v>
      </c>
      <c r="I3526" s="243" t="s">
        <v>1940</v>
      </c>
      <c r="J3526" s="61">
        <v>511.04</v>
      </c>
      <c r="K3526" s="80"/>
      <c r="L3526" s="257">
        <v>20000</v>
      </c>
      <c r="M3526" s="223"/>
      <c r="N3526" s="223"/>
      <c r="O3526" s="61"/>
      <c r="P3526" s="69" t="str">
        <f t="shared" si="213"/>
        <v>Biaya pengiriman Via Online (Gojek,Grab), Kuli</v>
      </c>
      <c r="Q3526" s="61"/>
    </row>
    <row r="3527" spans="1:17" hidden="1" x14ac:dyDescent="0.25">
      <c r="A3527" s="60" t="str">
        <f t="shared" ref="A3527:A3590" si="214">B3527&amp;J3527</f>
        <v>213511,05</v>
      </c>
      <c r="B3527" s="60">
        <f>COUNTIF($J$7:J3527,J3527)</f>
        <v>213</v>
      </c>
      <c r="C3527" s="60" t="str">
        <f t="shared" ref="C3527:C3590" si="215">D3527&amp;K3527</f>
        <v>0</v>
      </c>
      <c r="D3527" s="60">
        <f>COUNTIF($K$7:K3527,K3527)</f>
        <v>0</v>
      </c>
      <c r="E3527" s="61"/>
      <c r="F3527" s="239">
        <v>44641</v>
      </c>
      <c r="G3527" s="164"/>
      <c r="H3527" s="61" t="s">
        <v>619</v>
      </c>
      <c r="I3527" s="243" t="s">
        <v>1941</v>
      </c>
      <c r="J3527" s="61">
        <v>511.05</v>
      </c>
      <c r="K3527" s="80"/>
      <c r="L3527" s="257">
        <v>8000</v>
      </c>
      <c r="M3527" s="223"/>
      <c r="N3527" s="223"/>
      <c r="O3527" s="61"/>
      <c r="P3527" s="69" t="str">
        <f t="shared" ref="P3527:P3590" si="216">IF(J3527=0,"-",+VLOOKUP(J3527,DAF_AKUN,2,FALSE))</f>
        <v>Biaya Transport Pengiriman Bensin, Parkir, Tol</v>
      </c>
      <c r="Q3527" s="61"/>
    </row>
    <row r="3528" spans="1:17" hidden="1" x14ac:dyDescent="0.25">
      <c r="A3528" s="60" t="str">
        <f t="shared" si="214"/>
        <v>214511,05</v>
      </c>
      <c r="B3528" s="60">
        <f>COUNTIF($J$7:J3528,J3528)</f>
        <v>214</v>
      </c>
      <c r="C3528" s="60" t="str">
        <f t="shared" si="215"/>
        <v>0</v>
      </c>
      <c r="D3528" s="60">
        <f>COUNTIF($K$7:K3528,K3528)</f>
        <v>0</v>
      </c>
      <c r="E3528" s="61"/>
      <c r="F3528" s="239">
        <v>44642</v>
      </c>
      <c r="G3528" s="164"/>
      <c r="H3528" s="61" t="s">
        <v>619</v>
      </c>
      <c r="I3528" s="243" t="s">
        <v>1942</v>
      </c>
      <c r="J3528" s="61">
        <v>511.05</v>
      </c>
      <c r="K3528" s="80"/>
      <c r="L3528" s="257">
        <v>2000</v>
      </c>
      <c r="M3528" s="223"/>
      <c r="N3528" s="223"/>
      <c r="O3528" s="61"/>
      <c r="P3528" s="69" t="str">
        <f t="shared" si="216"/>
        <v>Biaya Transport Pengiriman Bensin, Parkir, Tol</v>
      </c>
      <c r="Q3528" s="61"/>
    </row>
    <row r="3529" spans="1:17" hidden="1" x14ac:dyDescent="0.25">
      <c r="A3529" s="60" t="str">
        <f t="shared" si="214"/>
        <v>215511,05</v>
      </c>
      <c r="B3529" s="60">
        <f>COUNTIF($J$7:J3529,J3529)</f>
        <v>215</v>
      </c>
      <c r="C3529" s="60" t="str">
        <f t="shared" si="215"/>
        <v>0</v>
      </c>
      <c r="D3529" s="60">
        <f>COUNTIF($K$7:K3529,K3529)</f>
        <v>0</v>
      </c>
      <c r="E3529" s="61"/>
      <c r="F3529" s="239">
        <v>44642</v>
      </c>
      <c r="G3529" s="164"/>
      <c r="H3529" s="61" t="s">
        <v>619</v>
      </c>
      <c r="I3529" s="243" t="s">
        <v>1943</v>
      </c>
      <c r="J3529" s="61">
        <v>511.05</v>
      </c>
      <c r="K3529" s="80"/>
      <c r="L3529" s="257">
        <v>20000</v>
      </c>
      <c r="M3529" s="223"/>
      <c r="N3529" s="223"/>
      <c r="O3529" s="61"/>
      <c r="P3529" s="69" t="str">
        <f t="shared" si="216"/>
        <v>Biaya Transport Pengiriman Bensin, Parkir, Tol</v>
      </c>
      <c r="Q3529" s="61"/>
    </row>
    <row r="3530" spans="1:17" hidden="1" x14ac:dyDescent="0.25">
      <c r="A3530" s="60" t="str">
        <f t="shared" si="214"/>
        <v>111511,04</v>
      </c>
      <c r="B3530" s="60">
        <f>COUNTIF($J$7:J3530,J3530)</f>
        <v>111</v>
      </c>
      <c r="C3530" s="60" t="str">
        <f t="shared" si="215"/>
        <v>0</v>
      </c>
      <c r="D3530" s="60">
        <f>COUNTIF($K$7:K3530,K3530)</f>
        <v>0</v>
      </c>
      <c r="E3530" s="61"/>
      <c r="F3530" s="239">
        <v>44642</v>
      </c>
      <c r="G3530" s="164"/>
      <c r="H3530" s="61" t="s">
        <v>619</v>
      </c>
      <c r="I3530" s="243" t="s">
        <v>1944</v>
      </c>
      <c r="J3530" s="64">
        <v>511.04</v>
      </c>
      <c r="K3530" s="80"/>
      <c r="L3530" s="257">
        <v>210000</v>
      </c>
      <c r="M3530" s="223"/>
      <c r="N3530" s="223"/>
      <c r="O3530" s="61"/>
      <c r="P3530" s="69" t="str">
        <f t="shared" si="216"/>
        <v>Biaya pengiriman Via Online (Gojek,Grab), Kuli</v>
      </c>
      <c r="Q3530" s="61"/>
    </row>
    <row r="3531" spans="1:17" hidden="1" x14ac:dyDescent="0.25">
      <c r="A3531" s="60" t="str">
        <f t="shared" si="214"/>
        <v>112511,04</v>
      </c>
      <c r="B3531" s="60">
        <f>COUNTIF($J$7:J3531,J3531)</f>
        <v>112</v>
      </c>
      <c r="C3531" s="60" t="str">
        <f t="shared" si="215"/>
        <v>0</v>
      </c>
      <c r="D3531" s="60">
        <f>COUNTIF($K$7:K3531,K3531)</f>
        <v>0</v>
      </c>
      <c r="E3531" s="61"/>
      <c r="F3531" s="239">
        <v>44642</v>
      </c>
      <c r="G3531" s="164"/>
      <c r="H3531" s="61" t="s">
        <v>619</v>
      </c>
      <c r="I3531" s="243" t="s">
        <v>1945</v>
      </c>
      <c r="J3531" s="61">
        <v>511.04</v>
      </c>
      <c r="K3531" s="80"/>
      <c r="L3531" s="257">
        <v>37000</v>
      </c>
      <c r="M3531" s="223"/>
      <c r="N3531" s="223"/>
      <c r="O3531" s="61"/>
      <c r="P3531" s="69" t="str">
        <f t="shared" si="216"/>
        <v>Biaya pengiriman Via Online (Gojek,Grab), Kuli</v>
      </c>
      <c r="Q3531" s="61"/>
    </row>
    <row r="3532" spans="1:17" ht="30" hidden="1" x14ac:dyDescent="0.25">
      <c r="A3532" s="60" t="str">
        <f t="shared" si="214"/>
        <v>216511,05</v>
      </c>
      <c r="B3532" s="60">
        <f>COUNTIF($J$7:J3532,J3532)</f>
        <v>216</v>
      </c>
      <c r="C3532" s="60" t="str">
        <f t="shared" si="215"/>
        <v>0</v>
      </c>
      <c r="D3532" s="60">
        <f>COUNTIF($K$7:K3532,K3532)</f>
        <v>0</v>
      </c>
      <c r="E3532" s="61"/>
      <c r="F3532" s="261">
        <v>44642</v>
      </c>
      <c r="G3532" s="164"/>
      <c r="H3532" s="61" t="s">
        <v>619</v>
      </c>
      <c r="I3532" s="262" t="s">
        <v>1946</v>
      </c>
      <c r="J3532" s="61">
        <v>511.05</v>
      </c>
      <c r="K3532" s="80"/>
      <c r="L3532" s="263">
        <v>8000</v>
      </c>
      <c r="M3532" s="223"/>
      <c r="N3532" s="223"/>
      <c r="O3532" s="304">
        <f>M3536</f>
        <v>2000000</v>
      </c>
      <c r="P3532" s="69" t="str">
        <f t="shared" si="216"/>
        <v>Biaya Transport Pengiriman Bensin, Parkir, Tol</v>
      </c>
      <c r="Q3532" s="61"/>
    </row>
    <row r="3533" spans="1:17" hidden="1" x14ac:dyDescent="0.25">
      <c r="A3533" s="60" t="str">
        <f t="shared" si="214"/>
        <v>88511,03</v>
      </c>
      <c r="B3533" s="60">
        <f>COUNTIF($J$7:J3533,J3533)</f>
        <v>88</v>
      </c>
      <c r="C3533" s="60" t="str">
        <f t="shared" si="215"/>
        <v>0</v>
      </c>
      <c r="D3533" s="60">
        <f>COUNTIF($K$7:K3533,K3533)</f>
        <v>0</v>
      </c>
      <c r="E3533" s="61"/>
      <c r="F3533" s="261">
        <v>44642</v>
      </c>
      <c r="G3533" s="164"/>
      <c r="H3533" s="61" t="s">
        <v>619</v>
      </c>
      <c r="I3533" s="262" t="s">
        <v>1947</v>
      </c>
      <c r="J3533" s="61">
        <v>511.03</v>
      </c>
      <c r="K3533" s="80"/>
      <c r="L3533" s="263">
        <v>55000</v>
      </c>
      <c r="M3533" s="223"/>
      <c r="N3533" s="223"/>
      <c r="O3533" s="303">
        <f>SUM(L3508:L3534)</f>
        <v>2035000</v>
      </c>
      <c r="P3533" s="69" t="str">
        <f t="shared" si="216"/>
        <v>Biaya Pengiriman Barang Ekspedisi</v>
      </c>
      <c r="Q3533" s="61"/>
    </row>
    <row r="3534" spans="1:17" hidden="1" x14ac:dyDescent="0.25">
      <c r="A3534" s="60" t="str">
        <f t="shared" si="214"/>
        <v>12610,04</v>
      </c>
      <c r="B3534" s="60">
        <f>COUNTIF($J$7:J3534,J3534)</f>
        <v>12</v>
      </c>
      <c r="C3534" s="60" t="str">
        <f t="shared" si="215"/>
        <v>0</v>
      </c>
      <c r="D3534" s="60">
        <f>COUNTIF($K$7:K3534,K3534)</f>
        <v>0</v>
      </c>
      <c r="E3534" s="61"/>
      <c r="F3534" s="261">
        <v>44634</v>
      </c>
      <c r="G3534" s="164"/>
      <c r="H3534" s="61" t="s">
        <v>619</v>
      </c>
      <c r="I3534" s="262" t="s">
        <v>1948</v>
      </c>
      <c r="J3534" s="61">
        <v>610.04</v>
      </c>
      <c r="K3534" s="80"/>
      <c r="L3534" s="263">
        <v>53000</v>
      </c>
      <c r="M3534" s="223"/>
      <c r="N3534" s="223"/>
      <c r="O3534" s="264">
        <f>O3532-O3533</f>
        <v>-35000</v>
      </c>
      <c r="P3534" s="69" t="str">
        <f t="shared" si="216"/>
        <v>Biaya Transportasi Umum (Bensin, Tol, Parkir) dan Kirim Dokumen</v>
      </c>
      <c r="Q3534" s="61"/>
    </row>
    <row r="3535" spans="1:17" hidden="1" x14ac:dyDescent="0.25">
      <c r="A3535" s="60" t="str">
        <f t="shared" si="214"/>
        <v>82119</v>
      </c>
      <c r="B3535" s="60">
        <f>COUNTIF($J$7:J3535,J3535)</f>
        <v>82</v>
      </c>
      <c r="C3535" s="60" t="str">
        <f t="shared" si="215"/>
        <v>32119,01</v>
      </c>
      <c r="D3535" s="60">
        <f>COUNTIF($K$7:K3535,K3535)</f>
        <v>32</v>
      </c>
      <c r="E3535" s="61"/>
      <c r="F3535" s="261">
        <v>44634</v>
      </c>
      <c r="G3535" s="164"/>
      <c r="H3535" s="61" t="s">
        <v>619</v>
      </c>
      <c r="I3535" s="262" t="s">
        <v>1949</v>
      </c>
      <c r="J3535" s="67">
        <v>119</v>
      </c>
      <c r="K3535" s="80">
        <v>119.01</v>
      </c>
      <c r="L3535" s="223">
        <f>120000+36000-35000</f>
        <v>121000</v>
      </c>
      <c r="M3535" s="61"/>
      <c r="N3535" s="61"/>
      <c r="O3535" s="264"/>
      <c r="P3535" s="69" t="str">
        <f t="shared" si="216"/>
        <v>Uang Muka Biaya Pengiriman dan Perjalanan Dinas Marketing</v>
      </c>
      <c r="Q3535" s="61"/>
    </row>
    <row r="3536" spans="1:17" hidden="1" x14ac:dyDescent="0.25">
      <c r="A3536" s="60" t="str">
        <f t="shared" si="214"/>
        <v>83119</v>
      </c>
      <c r="B3536" s="60">
        <f>COUNTIF($J$7:J3536,J3536)</f>
        <v>83</v>
      </c>
      <c r="C3536" s="60" t="str">
        <f t="shared" si="215"/>
        <v>33119,01</v>
      </c>
      <c r="D3536" s="60">
        <f>COUNTIF($K$7:K3536,K3536)</f>
        <v>33</v>
      </c>
      <c r="E3536" s="61"/>
      <c r="F3536" s="261">
        <v>44642</v>
      </c>
      <c r="G3536" s="164"/>
      <c r="H3536" s="61" t="s">
        <v>619</v>
      </c>
      <c r="I3536" s="79" t="s">
        <v>1950</v>
      </c>
      <c r="J3536" s="64">
        <v>119</v>
      </c>
      <c r="K3536" s="80">
        <v>119.01</v>
      </c>
      <c r="L3536" s="224"/>
      <c r="M3536" s="223">
        <v>2000000</v>
      </c>
      <c r="N3536" s="223"/>
      <c r="O3536" s="61"/>
      <c r="P3536" s="69" t="str">
        <f t="shared" si="216"/>
        <v>Uang Muka Biaya Pengiriman dan Perjalanan Dinas Marketing</v>
      </c>
      <c r="Q3536" s="61"/>
    </row>
    <row r="3537" spans="1:17" hidden="1" x14ac:dyDescent="0.25">
      <c r="A3537" s="60" t="str">
        <f t="shared" si="214"/>
        <v>84119</v>
      </c>
      <c r="B3537" s="60">
        <f>COUNTIF($J$7:J3537,J3537)</f>
        <v>84</v>
      </c>
      <c r="C3537" s="60" t="str">
        <f t="shared" si="215"/>
        <v>34119,01</v>
      </c>
      <c r="D3537" s="60">
        <f>COUNTIF($K$7:K3537,K3537)</f>
        <v>34</v>
      </c>
      <c r="E3537" s="61"/>
      <c r="F3537" s="261">
        <v>44642</v>
      </c>
      <c r="G3537" s="164"/>
      <c r="H3537" s="61" t="s">
        <v>619</v>
      </c>
      <c r="I3537" s="79" t="s">
        <v>1951</v>
      </c>
      <c r="J3537" s="64">
        <v>119</v>
      </c>
      <c r="K3537" s="80">
        <v>119.01</v>
      </c>
      <c r="L3537" s="224"/>
      <c r="M3537" s="223"/>
      <c r="N3537" s="223"/>
      <c r="O3537" s="61"/>
      <c r="P3537" s="69" t="str">
        <f t="shared" si="216"/>
        <v>Uang Muka Biaya Pengiriman dan Perjalanan Dinas Marketing</v>
      </c>
      <c r="Q3537" s="61"/>
    </row>
    <row r="3538" spans="1:17" hidden="1" x14ac:dyDescent="0.25">
      <c r="A3538" s="60" t="str">
        <f t="shared" si="214"/>
        <v>89511,03</v>
      </c>
      <c r="B3538" s="60">
        <f>COUNTIF($J$7:J3538,J3538)</f>
        <v>89</v>
      </c>
      <c r="C3538" s="60" t="str">
        <f t="shared" si="215"/>
        <v>0</v>
      </c>
      <c r="D3538" s="60">
        <f>COUNTIF($K$7:K3538,K3538)</f>
        <v>0</v>
      </c>
      <c r="E3538" s="61"/>
      <c r="F3538" s="261">
        <v>44642</v>
      </c>
      <c r="G3538" s="164"/>
      <c r="H3538" s="61" t="s">
        <v>619</v>
      </c>
      <c r="I3538" s="243" t="s">
        <v>1952</v>
      </c>
      <c r="J3538" s="64">
        <v>511.03</v>
      </c>
      <c r="K3538" s="80"/>
      <c r="L3538" s="224">
        <v>126000</v>
      </c>
      <c r="M3538" s="223"/>
      <c r="N3538" s="223"/>
      <c r="O3538" s="61" t="s">
        <v>621</v>
      </c>
      <c r="P3538" s="69" t="str">
        <f t="shared" si="216"/>
        <v>Biaya Pengiriman Barang Ekspedisi</v>
      </c>
      <c r="Q3538" s="61"/>
    </row>
    <row r="3539" spans="1:17" hidden="1" x14ac:dyDescent="0.25">
      <c r="A3539" s="60" t="str">
        <f t="shared" si="214"/>
        <v>90511,03</v>
      </c>
      <c r="B3539" s="60">
        <f>COUNTIF($J$7:J3539,J3539)</f>
        <v>90</v>
      </c>
      <c r="C3539" s="60" t="str">
        <f t="shared" si="215"/>
        <v>0</v>
      </c>
      <c r="D3539" s="60">
        <f>COUNTIF($K$7:K3539,K3539)</f>
        <v>0</v>
      </c>
      <c r="E3539" s="61"/>
      <c r="F3539" s="261">
        <v>44642</v>
      </c>
      <c r="G3539" s="164"/>
      <c r="H3539" s="61" t="s">
        <v>619</v>
      </c>
      <c r="I3539" s="243" t="s">
        <v>1953</v>
      </c>
      <c r="J3539" s="64">
        <v>511.03</v>
      </c>
      <c r="K3539" s="80"/>
      <c r="L3539" s="224"/>
      <c r="M3539" s="223">
        <v>162000</v>
      </c>
      <c r="N3539" s="223"/>
      <c r="O3539" s="61"/>
      <c r="P3539" s="69" t="str">
        <f t="shared" si="216"/>
        <v>Biaya Pengiriman Barang Ekspedisi</v>
      </c>
      <c r="Q3539" s="61"/>
    </row>
    <row r="3540" spans="1:17" hidden="1" x14ac:dyDescent="0.25">
      <c r="A3540" s="60" t="str">
        <f t="shared" si="214"/>
        <v>44610,1</v>
      </c>
      <c r="B3540" s="60">
        <f>COUNTIF($J$7:J3540,J3540)</f>
        <v>44</v>
      </c>
      <c r="C3540" s="60" t="str">
        <f t="shared" si="215"/>
        <v>0</v>
      </c>
      <c r="D3540" s="60">
        <f>COUNTIF($K$7:K3540,K3540)</f>
        <v>0</v>
      </c>
      <c r="E3540" s="61"/>
      <c r="F3540" s="261">
        <v>44642</v>
      </c>
      <c r="G3540" s="164"/>
      <c r="H3540" s="61" t="s">
        <v>645</v>
      </c>
      <c r="I3540" s="243" t="s">
        <v>1954</v>
      </c>
      <c r="J3540" s="61">
        <v>610.1</v>
      </c>
      <c r="K3540" s="80"/>
      <c r="L3540" s="224">
        <v>488468</v>
      </c>
      <c r="M3540" s="223"/>
      <c r="N3540" s="223"/>
      <c r="O3540" s="61"/>
      <c r="P3540" s="69" t="str">
        <f t="shared" si="216"/>
        <v>Biaya Rumah Tangga Kantor</v>
      </c>
      <c r="Q3540" s="61"/>
    </row>
    <row r="3541" spans="1:17" hidden="1" x14ac:dyDescent="0.25">
      <c r="A3541" s="60" t="str">
        <f t="shared" si="214"/>
        <v>85119</v>
      </c>
      <c r="B3541" s="60">
        <f>COUNTIF($J$7:J3541,J3541)</f>
        <v>85</v>
      </c>
      <c r="C3541" s="60" t="str">
        <f t="shared" si="215"/>
        <v>35119,02</v>
      </c>
      <c r="D3541" s="60">
        <f>COUNTIF($K$7:K3541,K3541)</f>
        <v>35</v>
      </c>
      <c r="E3541" s="61"/>
      <c r="F3541" s="261">
        <v>44642</v>
      </c>
      <c r="G3541" s="164"/>
      <c r="H3541" s="61" t="s">
        <v>645</v>
      </c>
      <c r="I3541" s="243" t="s">
        <v>1954</v>
      </c>
      <c r="J3541" s="64">
        <v>119</v>
      </c>
      <c r="K3541" s="80">
        <v>119.02</v>
      </c>
      <c r="L3541" s="224">
        <v>111532</v>
      </c>
      <c r="M3541" s="223"/>
      <c r="N3541" s="223"/>
      <c r="O3541" s="61"/>
      <c r="P3541" s="69" t="str">
        <f t="shared" si="216"/>
        <v>Uang Muka Biaya Pengiriman dan Perjalanan Dinas Marketing</v>
      </c>
      <c r="Q3541" s="61"/>
    </row>
    <row r="3542" spans="1:17" hidden="1" x14ac:dyDescent="0.25">
      <c r="A3542" s="60" t="str">
        <f t="shared" si="214"/>
        <v>86119</v>
      </c>
      <c r="B3542" s="60">
        <f>COUNTIF($J$7:J3542,J3542)</f>
        <v>86</v>
      </c>
      <c r="C3542" s="60" t="str">
        <f t="shared" si="215"/>
        <v>36119,02</v>
      </c>
      <c r="D3542" s="60">
        <f>COUNTIF($K$7:K3542,K3542)</f>
        <v>36</v>
      </c>
      <c r="E3542" s="61"/>
      <c r="F3542" s="261">
        <v>44642</v>
      </c>
      <c r="G3542" s="164"/>
      <c r="H3542" s="61" t="s">
        <v>645</v>
      </c>
      <c r="I3542" s="243" t="s">
        <v>1955</v>
      </c>
      <c r="J3542" s="64">
        <v>119</v>
      </c>
      <c r="K3542" s="80">
        <v>119.02</v>
      </c>
      <c r="L3542" s="224"/>
      <c r="M3542" s="223">
        <v>600000</v>
      </c>
      <c r="N3542" s="223"/>
      <c r="O3542" s="61"/>
      <c r="P3542" s="69" t="str">
        <f t="shared" si="216"/>
        <v>Uang Muka Biaya Pengiriman dan Perjalanan Dinas Marketing</v>
      </c>
      <c r="Q3542" s="61"/>
    </row>
    <row r="3543" spans="1:17" hidden="1" x14ac:dyDescent="0.25">
      <c r="A3543" s="60" t="str">
        <f t="shared" si="214"/>
        <v>87119</v>
      </c>
      <c r="B3543" s="60">
        <f>COUNTIF($J$7:J3543,J3543)</f>
        <v>87</v>
      </c>
      <c r="C3543" s="60" t="str">
        <f t="shared" si="215"/>
        <v>6119,04</v>
      </c>
      <c r="D3543" s="60">
        <f>COUNTIF($K$7:K3543,K3543)</f>
        <v>6</v>
      </c>
      <c r="E3543" s="61"/>
      <c r="F3543" s="232">
        <v>44630</v>
      </c>
      <c r="G3543" s="232"/>
      <c r="H3543" s="61" t="s">
        <v>796</v>
      </c>
      <c r="I3543" s="230" t="s">
        <v>1956</v>
      </c>
      <c r="J3543" s="64">
        <v>119</v>
      </c>
      <c r="K3543" s="65">
        <v>119.04</v>
      </c>
      <c r="L3543" s="305"/>
      <c r="M3543" s="306">
        <v>6000000</v>
      </c>
      <c r="N3543" s="306"/>
      <c r="O3543" s="61"/>
      <c r="P3543" s="69" t="str">
        <f t="shared" si="216"/>
        <v>Uang Muka Biaya Pengiriman dan Perjalanan Dinas Marketing</v>
      </c>
      <c r="Q3543" s="61"/>
    </row>
    <row r="3544" spans="1:17" hidden="1" x14ac:dyDescent="0.25">
      <c r="A3544" s="60" t="str">
        <f t="shared" si="214"/>
        <v>31512,03</v>
      </c>
      <c r="B3544" s="60">
        <f>COUNTIF($J$7:J3544,J3544)</f>
        <v>31</v>
      </c>
      <c r="C3544" s="60" t="str">
        <f t="shared" si="215"/>
        <v>0</v>
      </c>
      <c r="D3544" s="60">
        <f>COUNTIF($K$7:K3544,K3544)</f>
        <v>0</v>
      </c>
      <c r="E3544" s="61"/>
      <c r="F3544" s="232">
        <v>44630</v>
      </c>
      <c r="G3544" s="232"/>
      <c r="H3544" s="61" t="s">
        <v>796</v>
      </c>
      <c r="I3544" s="230" t="s">
        <v>1957</v>
      </c>
      <c r="J3544" s="238">
        <v>512.03</v>
      </c>
      <c r="K3544" s="65"/>
      <c r="L3544" s="305">
        <v>300000</v>
      </c>
      <c r="M3544" s="306"/>
      <c r="N3544" s="306"/>
      <c r="O3544" s="61"/>
      <c r="P3544" s="69" t="str">
        <f t="shared" si="216"/>
        <v>Beban Gasoline Marketing (Bensin, Parkir, Tol)</v>
      </c>
      <c r="Q3544" s="61"/>
    </row>
    <row r="3545" spans="1:17" hidden="1" x14ac:dyDescent="0.25">
      <c r="A3545" s="60" t="str">
        <f t="shared" si="214"/>
        <v>3512,04</v>
      </c>
      <c r="B3545" s="60">
        <f>COUNTIF($J$7:J3545,J3545)</f>
        <v>3</v>
      </c>
      <c r="C3545" s="60" t="str">
        <f t="shared" si="215"/>
        <v>0</v>
      </c>
      <c r="D3545" s="60">
        <f>COUNTIF($K$7:K3545,K3545)</f>
        <v>0</v>
      </c>
      <c r="E3545" s="61"/>
      <c r="F3545" s="232">
        <v>44630</v>
      </c>
      <c r="G3545" s="232"/>
      <c r="H3545" s="61" t="s">
        <v>796</v>
      </c>
      <c r="I3545" s="230" t="s">
        <v>1958</v>
      </c>
      <c r="J3545" s="238">
        <v>512.04</v>
      </c>
      <c r="K3545" s="65"/>
      <c r="L3545" s="252">
        <v>36500</v>
      </c>
      <c r="M3545" s="306"/>
      <c r="N3545" s="306"/>
      <c r="O3545" s="61"/>
      <c r="P3545" s="69" t="str">
        <f t="shared" si="216"/>
        <v>Beban Akomodasi</v>
      </c>
      <c r="Q3545" s="61"/>
    </row>
    <row r="3546" spans="1:17" hidden="1" x14ac:dyDescent="0.25">
      <c r="A3546" s="60" t="str">
        <f t="shared" si="214"/>
        <v>4512,04</v>
      </c>
      <c r="B3546" s="60">
        <f>COUNTIF($J$7:J3546,J3546)</f>
        <v>4</v>
      </c>
      <c r="C3546" s="60" t="str">
        <f t="shared" si="215"/>
        <v>0</v>
      </c>
      <c r="D3546" s="60">
        <f>COUNTIF($K$7:K3546,K3546)</f>
        <v>0</v>
      </c>
      <c r="E3546" s="61"/>
      <c r="F3546" s="232">
        <v>44630</v>
      </c>
      <c r="G3546" s="232"/>
      <c r="H3546" s="61" t="s">
        <v>796</v>
      </c>
      <c r="I3546" s="230" t="s">
        <v>1959</v>
      </c>
      <c r="J3546" s="238">
        <v>512.04</v>
      </c>
      <c r="K3546" s="65"/>
      <c r="L3546" s="252">
        <v>111000</v>
      </c>
      <c r="M3546" s="306"/>
      <c r="N3546" s="306"/>
      <c r="O3546" s="61"/>
      <c r="P3546" s="69" t="str">
        <f t="shared" si="216"/>
        <v>Beban Akomodasi</v>
      </c>
      <c r="Q3546" s="61"/>
    </row>
    <row r="3547" spans="1:17" hidden="1" x14ac:dyDescent="0.25">
      <c r="A3547" s="60" t="str">
        <f t="shared" si="214"/>
        <v>5512,04</v>
      </c>
      <c r="B3547" s="60">
        <f>COUNTIF($J$7:J3547,J3547)</f>
        <v>5</v>
      </c>
      <c r="C3547" s="60" t="str">
        <f t="shared" si="215"/>
        <v>0</v>
      </c>
      <c r="D3547" s="60">
        <f>COUNTIF($K$7:K3547,K3547)</f>
        <v>0</v>
      </c>
      <c r="E3547" s="61"/>
      <c r="F3547" s="232">
        <v>44630</v>
      </c>
      <c r="G3547" s="232"/>
      <c r="H3547" s="61" t="s">
        <v>796</v>
      </c>
      <c r="I3547" s="230" t="s">
        <v>1960</v>
      </c>
      <c r="J3547" s="238">
        <v>512.04</v>
      </c>
      <c r="K3547" s="65"/>
      <c r="L3547" s="252">
        <v>30600</v>
      </c>
      <c r="M3547" s="306"/>
      <c r="N3547" s="306"/>
      <c r="O3547" s="61"/>
      <c r="P3547" s="69" t="str">
        <f t="shared" si="216"/>
        <v>Beban Akomodasi</v>
      </c>
      <c r="Q3547" s="61"/>
    </row>
    <row r="3548" spans="1:17" hidden="1" x14ac:dyDescent="0.25">
      <c r="A3548" s="60" t="str">
        <f t="shared" si="214"/>
        <v>6512,04</v>
      </c>
      <c r="B3548" s="60">
        <f>COUNTIF($J$7:J3548,J3548)</f>
        <v>6</v>
      </c>
      <c r="C3548" s="60" t="str">
        <f t="shared" si="215"/>
        <v>0</v>
      </c>
      <c r="D3548" s="60">
        <f>COUNTIF($K$7:K3548,K3548)</f>
        <v>0</v>
      </c>
      <c r="E3548" s="61"/>
      <c r="F3548" s="232">
        <v>44630</v>
      </c>
      <c r="G3548" s="232"/>
      <c r="H3548" s="61" t="s">
        <v>796</v>
      </c>
      <c r="I3548" s="307" t="s">
        <v>1959</v>
      </c>
      <c r="J3548" s="238">
        <v>512.04</v>
      </c>
      <c r="K3548" s="65"/>
      <c r="L3548" s="252">
        <v>120000</v>
      </c>
      <c r="M3548" s="306"/>
      <c r="N3548" s="306"/>
      <c r="O3548" s="61"/>
      <c r="P3548" s="69" t="str">
        <f t="shared" si="216"/>
        <v>Beban Akomodasi</v>
      </c>
      <c r="Q3548" s="61"/>
    </row>
    <row r="3549" spans="1:17" hidden="1" x14ac:dyDescent="0.25">
      <c r="A3549" s="60" t="str">
        <f t="shared" si="214"/>
        <v>7512,04</v>
      </c>
      <c r="B3549" s="60">
        <f>COUNTIF($J$7:J3549,J3549)</f>
        <v>7</v>
      </c>
      <c r="C3549" s="60" t="str">
        <f t="shared" si="215"/>
        <v>0</v>
      </c>
      <c r="D3549" s="60">
        <f>COUNTIF($K$7:K3549,K3549)</f>
        <v>0</v>
      </c>
      <c r="E3549" s="61"/>
      <c r="F3549" s="232">
        <v>44630</v>
      </c>
      <c r="G3549" s="232"/>
      <c r="H3549" s="61" t="s">
        <v>796</v>
      </c>
      <c r="I3549" s="230" t="s">
        <v>1961</v>
      </c>
      <c r="J3549" s="238">
        <v>512.04</v>
      </c>
      <c r="K3549" s="65"/>
      <c r="L3549" s="252">
        <v>41000</v>
      </c>
      <c r="M3549" s="306"/>
      <c r="N3549" s="306"/>
      <c r="O3549" s="61"/>
      <c r="P3549" s="69" t="str">
        <f t="shared" si="216"/>
        <v>Beban Akomodasi</v>
      </c>
      <c r="Q3549" s="61"/>
    </row>
    <row r="3550" spans="1:17" hidden="1" x14ac:dyDescent="0.25">
      <c r="A3550" s="60" t="str">
        <f t="shared" si="214"/>
        <v>8512,04</v>
      </c>
      <c r="B3550" s="60">
        <f>COUNTIF($J$7:J3550,J3550)</f>
        <v>8</v>
      </c>
      <c r="C3550" s="60" t="str">
        <f t="shared" si="215"/>
        <v>0</v>
      </c>
      <c r="D3550" s="60">
        <f>COUNTIF($K$7:K3550,K3550)</f>
        <v>0</v>
      </c>
      <c r="E3550" s="61"/>
      <c r="F3550" s="232">
        <v>44630</v>
      </c>
      <c r="G3550" s="232"/>
      <c r="H3550" s="61" t="s">
        <v>796</v>
      </c>
      <c r="I3550" s="230" t="s">
        <v>1962</v>
      </c>
      <c r="J3550" s="238">
        <v>512.04</v>
      </c>
      <c r="K3550" s="65"/>
      <c r="L3550" s="252">
        <v>94600</v>
      </c>
      <c r="M3550" s="306"/>
      <c r="N3550" s="306"/>
      <c r="O3550" s="61"/>
      <c r="P3550" s="69" t="str">
        <f t="shared" si="216"/>
        <v>Beban Akomodasi</v>
      </c>
      <c r="Q3550" s="61"/>
    </row>
    <row r="3551" spans="1:17" hidden="1" x14ac:dyDescent="0.25">
      <c r="A3551" s="60" t="str">
        <f t="shared" si="214"/>
        <v>6512,05</v>
      </c>
      <c r="B3551" s="60">
        <f>COUNTIF($J$7:J3551,J3551)</f>
        <v>6</v>
      </c>
      <c r="C3551" s="60" t="str">
        <f t="shared" si="215"/>
        <v>0</v>
      </c>
      <c r="D3551" s="60">
        <f>COUNTIF($K$7:K3551,K3551)</f>
        <v>0</v>
      </c>
      <c r="E3551" s="61"/>
      <c r="F3551" s="232">
        <v>44630</v>
      </c>
      <c r="G3551" s="232"/>
      <c r="H3551" s="61" t="s">
        <v>796</v>
      </c>
      <c r="I3551" s="230" t="s">
        <v>1963</v>
      </c>
      <c r="J3551" s="238">
        <v>512.04999999999995</v>
      </c>
      <c r="K3551" s="65"/>
      <c r="L3551" s="305">
        <v>21000</v>
      </c>
      <c r="M3551" s="306"/>
      <c r="N3551" s="306"/>
      <c r="O3551" s="61"/>
      <c r="P3551" s="69" t="str">
        <f t="shared" si="216"/>
        <v>Beban Operasional Marketing Lainnya</v>
      </c>
      <c r="Q3551" s="61"/>
    </row>
    <row r="3552" spans="1:17" hidden="1" x14ac:dyDescent="0.25">
      <c r="A3552" s="60" t="str">
        <f t="shared" si="214"/>
        <v>9512,04</v>
      </c>
      <c r="B3552" s="60">
        <f>COUNTIF($J$7:J3552,J3552)</f>
        <v>9</v>
      </c>
      <c r="C3552" s="60" t="str">
        <f t="shared" si="215"/>
        <v>0</v>
      </c>
      <c r="D3552" s="60">
        <f>COUNTIF($K$7:K3552,K3552)</f>
        <v>0</v>
      </c>
      <c r="E3552" s="61"/>
      <c r="F3552" s="232">
        <v>44630</v>
      </c>
      <c r="G3552" s="232"/>
      <c r="H3552" s="61" t="s">
        <v>796</v>
      </c>
      <c r="I3552" s="230" t="s">
        <v>1961</v>
      </c>
      <c r="J3552" s="238">
        <v>512.04</v>
      </c>
      <c r="K3552" s="65"/>
      <c r="L3552" s="252">
        <v>73000</v>
      </c>
      <c r="M3552" s="306"/>
      <c r="N3552" s="306"/>
      <c r="O3552" s="61"/>
      <c r="P3552" s="69" t="str">
        <f t="shared" si="216"/>
        <v>Beban Akomodasi</v>
      </c>
      <c r="Q3552" s="61"/>
    </row>
    <row r="3553" spans="1:17" ht="30" hidden="1" x14ac:dyDescent="0.25">
      <c r="A3553" s="60" t="str">
        <f t="shared" si="214"/>
        <v>10512,04</v>
      </c>
      <c r="B3553" s="60">
        <f>COUNTIF($J$7:J3553,J3553)</f>
        <v>10</v>
      </c>
      <c r="C3553" s="60" t="str">
        <f t="shared" si="215"/>
        <v>0</v>
      </c>
      <c r="D3553" s="60">
        <f>COUNTIF($K$7:K3553,K3553)</f>
        <v>0</v>
      </c>
      <c r="E3553" s="61"/>
      <c r="F3553" s="232">
        <v>44630</v>
      </c>
      <c r="G3553" s="232"/>
      <c r="H3553" s="61" t="s">
        <v>796</v>
      </c>
      <c r="I3553" s="230" t="s">
        <v>1964</v>
      </c>
      <c r="J3553" s="238">
        <v>512.04</v>
      </c>
      <c r="K3553" s="65"/>
      <c r="L3553" s="252">
        <v>208000</v>
      </c>
      <c r="M3553" s="306"/>
      <c r="N3553" s="306"/>
      <c r="O3553" s="61"/>
      <c r="P3553" s="69" t="str">
        <f t="shared" si="216"/>
        <v>Beban Akomodasi</v>
      </c>
      <c r="Q3553" s="61"/>
    </row>
    <row r="3554" spans="1:17" hidden="1" x14ac:dyDescent="0.25">
      <c r="A3554" s="60" t="str">
        <f t="shared" si="214"/>
        <v>11512,04</v>
      </c>
      <c r="B3554" s="60">
        <f>COUNTIF($J$7:J3554,J3554)</f>
        <v>11</v>
      </c>
      <c r="C3554" s="60" t="str">
        <f t="shared" si="215"/>
        <v>0</v>
      </c>
      <c r="D3554" s="60">
        <f>COUNTIF($K$7:K3554,K3554)</f>
        <v>0</v>
      </c>
      <c r="E3554" s="61"/>
      <c r="F3554" s="232">
        <v>44630</v>
      </c>
      <c r="G3554" s="232"/>
      <c r="H3554" s="61" t="s">
        <v>796</v>
      </c>
      <c r="I3554" s="230" t="s">
        <v>1965</v>
      </c>
      <c r="J3554" s="238">
        <v>512.04</v>
      </c>
      <c r="K3554" s="65"/>
      <c r="L3554" s="252">
        <v>30000</v>
      </c>
      <c r="M3554" s="306"/>
      <c r="N3554" s="306"/>
      <c r="O3554" s="61"/>
      <c r="P3554" s="69" t="str">
        <f t="shared" si="216"/>
        <v>Beban Akomodasi</v>
      </c>
      <c r="Q3554" s="61"/>
    </row>
    <row r="3555" spans="1:17" hidden="1" x14ac:dyDescent="0.25">
      <c r="A3555" s="60" t="str">
        <f t="shared" si="214"/>
        <v>12512,04</v>
      </c>
      <c r="B3555" s="60">
        <f>COUNTIF($J$7:J3555,J3555)</f>
        <v>12</v>
      </c>
      <c r="C3555" s="60" t="str">
        <f t="shared" si="215"/>
        <v>0</v>
      </c>
      <c r="D3555" s="60">
        <f>COUNTIF($K$7:K3555,K3555)</f>
        <v>0</v>
      </c>
      <c r="E3555" s="61"/>
      <c r="F3555" s="232">
        <v>44630</v>
      </c>
      <c r="G3555" s="232"/>
      <c r="H3555" s="61" t="s">
        <v>796</v>
      </c>
      <c r="I3555" s="230" t="s">
        <v>1966</v>
      </c>
      <c r="J3555" s="238">
        <v>512.04</v>
      </c>
      <c r="K3555" s="65"/>
      <c r="L3555" s="252">
        <v>76000</v>
      </c>
      <c r="M3555" s="306"/>
      <c r="N3555" s="306"/>
      <c r="O3555" s="61"/>
      <c r="P3555" s="69" t="str">
        <f t="shared" si="216"/>
        <v>Beban Akomodasi</v>
      </c>
      <c r="Q3555" s="61"/>
    </row>
    <row r="3556" spans="1:17" hidden="1" x14ac:dyDescent="0.25">
      <c r="A3556" s="60" t="str">
        <f t="shared" si="214"/>
        <v>13512,04</v>
      </c>
      <c r="B3556" s="60">
        <f>COUNTIF($J$7:J3556,J3556)</f>
        <v>13</v>
      </c>
      <c r="C3556" s="60" t="str">
        <f t="shared" si="215"/>
        <v>0</v>
      </c>
      <c r="D3556" s="60">
        <f>COUNTIF($K$7:K3556,K3556)</f>
        <v>0</v>
      </c>
      <c r="E3556" s="61"/>
      <c r="F3556" s="232">
        <v>44630</v>
      </c>
      <c r="G3556" s="232"/>
      <c r="H3556" s="61" t="s">
        <v>796</v>
      </c>
      <c r="I3556" s="230" t="s">
        <v>1965</v>
      </c>
      <c r="J3556" s="238">
        <v>512.04</v>
      </c>
      <c r="K3556" s="65"/>
      <c r="L3556" s="252">
        <v>34000</v>
      </c>
      <c r="M3556" s="306"/>
      <c r="N3556" s="306"/>
      <c r="O3556" s="61"/>
      <c r="P3556" s="69" t="str">
        <f t="shared" si="216"/>
        <v>Beban Akomodasi</v>
      </c>
      <c r="Q3556" s="61"/>
    </row>
    <row r="3557" spans="1:17" hidden="1" x14ac:dyDescent="0.25">
      <c r="A3557" s="60" t="str">
        <f t="shared" si="214"/>
        <v>14512,04</v>
      </c>
      <c r="B3557" s="60">
        <f>COUNTIF($J$7:J3557,J3557)</f>
        <v>14</v>
      </c>
      <c r="C3557" s="60" t="str">
        <f t="shared" si="215"/>
        <v>0</v>
      </c>
      <c r="D3557" s="60">
        <f>COUNTIF($K$7:K3557,K3557)</f>
        <v>0</v>
      </c>
      <c r="E3557" s="61"/>
      <c r="F3557" s="232">
        <v>44630</v>
      </c>
      <c r="G3557" s="232"/>
      <c r="H3557" s="61" t="s">
        <v>796</v>
      </c>
      <c r="I3557" s="230" t="s">
        <v>1967</v>
      </c>
      <c r="J3557" s="238">
        <v>512.04</v>
      </c>
      <c r="K3557" s="65"/>
      <c r="L3557" s="252">
        <v>74300</v>
      </c>
      <c r="M3557" s="306"/>
      <c r="N3557" s="306"/>
      <c r="O3557" s="61"/>
      <c r="P3557" s="69" t="str">
        <f t="shared" si="216"/>
        <v>Beban Akomodasi</v>
      </c>
      <c r="Q3557" s="61"/>
    </row>
    <row r="3558" spans="1:17" ht="30" hidden="1" x14ac:dyDescent="0.25">
      <c r="A3558" s="60" t="str">
        <f t="shared" si="214"/>
        <v>32512,03</v>
      </c>
      <c r="B3558" s="60">
        <f>COUNTIF($J$7:J3558,J3558)</f>
        <v>32</v>
      </c>
      <c r="C3558" s="60" t="str">
        <f t="shared" si="215"/>
        <v>0</v>
      </c>
      <c r="D3558" s="60">
        <f>COUNTIF($K$7:K3558,K3558)</f>
        <v>0</v>
      </c>
      <c r="E3558" s="61"/>
      <c r="F3558" s="232">
        <v>44630</v>
      </c>
      <c r="G3558" s="232"/>
      <c r="H3558" s="61" t="s">
        <v>796</v>
      </c>
      <c r="I3558" s="230" t="s">
        <v>1968</v>
      </c>
      <c r="J3558" s="238">
        <v>512.03</v>
      </c>
      <c r="K3558" s="65"/>
      <c r="L3558" s="305">
        <v>500000</v>
      </c>
      <c r="M3558" s="306"/>
      <c r="N3558" s="306"/>
      <c r="O3558" s="61"/>
      <c r="P3558" s="69" t="str">
        <f t="shared" si="216"/>
        <v>Beban Gasoline Marketing (Bensin, Parkir, Tol)</v>
      </c>
      <c r="Q3558" s="61"/>
    </row>
    <row r="3559" spans="1:17" hidden="1" x14ac:dyDescent="0.25">
      <c r="A3559" s="60" t="str">
        <f t="shared" si="214"/>
        <v>15512,04</v>
      </c>
      <c r="B3559" s="60">
        <f>COUNTIF($J$7:J3559,J3559)</f>
        <v>15</v>
      </c>
      <c r="C3559" s="60" t="str">
        <f t="shared" si="215"/>
        <v>0</v>
      </c>
      <c r="D3559" s="60">
        <f>COUNTIF($K$7:K3559,K3559)</f>
        <v>0</v>
      </c>
      <c r="E3559" s="61"/>
      <c r="F3559" s="232">
        <v>44630</v>
      </c>
      <c r="G3559" s="232"/>
      <c r="H3559" s="61" t="s">
        <v>796</v>
      </c>
      <c r="I3559" s="230" t="s">
        <v>1969</v>
      </c>
      <c r="J3559" s="238">
        <v>512.04</v>
      </c>
      <c r="K3559" s="65"/>
      <c r="L3559" s="252">
        <v>55000</v>
      </c>
      <c r="M3559" s="306"/>
      <c r="N3559" s="306"/>
      <c r="O3559" s="61"/>
      <c r="P3559" s="69" t="str">
        <f t="shared" si="216"/>
        <v>Beban Akomodasi</v>
      </c>
      <c r="Q3559" s="61"/>
    </row>
    <row r="3560" spans="1:17" hidden="1" x14ac:dyDescent="0.25">
      <c r="A3560" s="60" t="str">
        <f t="shared" si="214"/>
        <v>33512,03</v>
      </c>
      <c r="B3560" s="60">
        <f>COUNTIF($J$7:J3560,J3560)</f>
        <v>33</v>
      </c>
      <c r="C3560" s="60" t="str">
        <f t="shared" si="215"/>
        <v>0</v>
      </c>
      <c r="D3560" s="60">
        <f>COUNTIF($K$7:K3560,K3560)</f>
        <v>0</v>
      </c>
      <c r="E3560" s="61"/>
      <c r="F3560" s="232">
        <v>44630</v>
      </c>
      <c r="G3560" s="232"/>
      <c r="H3560" s="61" t="s">
        <v>796</v>
      </c>
      <c r="I3560" s="230" t="s">
        <v>1970</v>
      </c>
      <c r="J3560" s="238">
        <v>512.03</v>
      </c>
      <c r="K3560" s="65"/>
      <c r="L3560" s="305">
        <v>280000</v>
      </c>
      <c r="M3560" s="306"/>
      <c r="N3560" s="306"/>
      <c r="O3560" s="61"/>
      <c r="P3560" s="69" t="str">
        <f t="shared" si="216"/>
        <v>Beban Gasoline Marketing (Bensin, Parkir, Tol)</v>
      </c>
      <c r="Q3560" s="61"/>
    </row>
    <row r="3561" spans="1:17" hidden="1" x14ac:dyDescent="0.25">
      <c r="A3561" s="60" t="str">
        <f t="shared" si="214"/>
        <v>16512,04</v>
      </c>
      <c r="B3561" s="60">
        <f>COUNTIF($J$7:J3561,J3561)</f>
        <v>16</v>
      </c>
      <c r="C3561" s="60" t="str">
        <f t="shared" si="215"/>
        <v>0</v>
      </c>
      <c r="D3561" s="60">
        <f>COUNTIF($K$7:K3561,K3561)</f>
        <v>0</v>
      </c>
      <c r="E3561" s="61"/>
      <c r="F3561" s="232">
        <v>44630</v>
      </c>
      <c r="G3561" s="232"/>
      <c r="H3561" s="61" t="s">
        <v>796</v>
      </c>
      <c r="I3561" s="230" t="s">
        <v>1967</v>
      </c>
      <c r="J3561" s="238">
        <v>512.04</v>
      </c>
      <c r="K3561" s="65"/>
      <c r="L3561" s="252">
        <v>51300</v>
      </c>
      <c r="M3561" s="306"/>
      <c r="N3561" s="306"/>
      <c r="O3561" s="61"/>
      <c r="P3561" s="69" t="str">
        <f t="shared" si="216"/>
        <v>Beban Akomodasi</v>
      </c>
      <c r="Q3561" s="61"/>
    </row>
    <row r="3562" spans="1:17" hidden="1" x14ac:dyDescent="0.25">
      <c r="A3562" s="60" t="str">
        <f t="shared" si="214"/>
        <v>17512,04</v>
      </c>
      <c r="B3562" s="60">
        <f>COUNTIF($J$7:J3562,J3562)</f>
        <v>17</v>
      </c>
      <c r="C3562" s="60" t="str">
        <f t="shared" si="215"/>
        <v>0</v>
      </c>
      <c r="D3562" s="60">
        <f>COUNTIF($K$7:K3562,K3562)</f>
        <v>0</v>
      </c>
      <c r="E3562" s="61"/>
      <c r="F3562" s="232">
        <v>44630</v>
      </c>
      <c r="G3562" s="232"/>
      <c r="H3562" s="61" t="s">
        <v>796</v>
      </c>
      <c r="I3562" s="230" t="s">
        <v>1971</v>
      </c>
      <c r="J3562" s="238">
        <v>512.04</v>
      </c>
      <c r="K3562" s="65"/>
      <c r="L3562" s="252">
        <v>229719</v>
      </c>
      <c r="M3562" s="306"/>
      <c r="N3562" s="306"/>
      <c r="O3562" s="61"/>
      <c r="P3562" s="69" t="str">
        <f t="shared" si="216"/>
        <v>Beban Akomodasi</v>
      </c>
      <c r="Q3562" s="61"/>
    </row>
    <row r="3563" spans="1:17" ht="30" hidden="1" x14ac:dyDescent="0.25">
      <c r="A3563" s="60" t="str">
        <f t="shared" si="214"/>
        <v>7512,05</v>
      </c>
      <c r="B3563" s="60">
        <f>COUNTIF($J$7:J3563,J3563)</f>
        <v>7</v>
      </c>
      <c r="C3563" s="60" t="str">
        <f t="shared" si="215"/>
        <v>0</v>
      </c>
      <c r="D3563" s="60">
        <f>COUNTIF($K$7:K3563,K3563)</f>
        <v>0</v>
      </c>
      <c r="E3563" s="61"/>
      <c r="F3563" s="232">
        <v>44630</v>
      </c>
      <c r="G3563" s="232"/>
      <c r="H3563" s="61" t="s">
        <v>796</v>
      </c>
      <c r="I3563" s="230" t="s">
        <v>1972</v>
      </c>
      <c r="J3563" s="238">
        <v>512.04999999999995</v>
      </c>
      <c r="K3563" s="65"/>
      <c r="L3563" s="305">
        <v>108000</v>
      </c>
      <c r="M3563" s="306"/>
      <c r="N3563" s="306"/>
      <c r="O3563" s="61"/>
      <c r="P3563" s="69" t="str">
        <f t="shared" si="216"/>
        <v>Beban Operasional Marketing Lainnya</v>
      </c>
      <c r="Q3563" s="61"/>
    </row>
    <row r="3564" spans="1:17" hidden="1" x14ac:dyDescent="0.25">
      <c r="A3564" s="60" t="str">
        <f t="shared" si="214"/>
        <v>18512,04</v>
      </c>
      <c r="B3564" s="60">
        <f>COUNTIF($J$7:J3564,J3564)</f>
        <v>18</v>
      </c>
      <c r="C3564" s="60" t="str">
        <f t="shared" si="215"/>
        <v>0</v>
      </c>
      <c r="D3564" s="60">
        <f>COUNTIF($K$7:K3564,K3564)</f>
        <v>0</v>
      </c>
      <c r="E3564" s="61"/>
      <c r="F3564" s="232">
        <v>44630</v>
      </c>
      <c r="G3564" s="232"/>
      <c r="H3564" s="61" t="s">
        <v>796</v>
      </c>
      <c r="I3564" s="230" t="s">
        <v>1965</v>
      </c>
      <c r="J3564" s="238">
        <v>512.04</v>
      </c>
      <c r="K3564" s="65"/>
      <c r="L3564" s="252">
        <v>126502</v>
      </c>
      <c r="M3564" s="306"/>
      <c r="N3564" s="306"/>
      <c r="O3564" s="61"/>
      <c r="P3564" s="69" t="str">
        <f t="shared" si="216"/>
        <v>Beban Akomodasi</v>
      </c>
      <c r="Q3564" s="61"/>
    </row>
    <row r="3565" spans="1:17" hidden="1" x14ac:dyDescent="0.25">
      <c r="A3565" s="60" t="str">
        <f t="shared" si="214"/>
        <v>19512,04</v>
      </c>
      <c r="B3565" s="60">
        <f>COUNTIF($J$7:J3565,J3565)</f>
        <v>19</v>
      </c>
      <c r="C3565" s="60" t="str">
        <f t="shared" si="215"/>
        <v>0</v>
      </c>
      <c r="D3565" s="60">
        <f>COUNTIF($K$7:K3565,K3565)</f>
        <v>0</v>
      </c>
      <c r="E3565" s="61"/>
      <c r="F3565" s="232">
        <v>44630</v>
      </c>
      <c r="G3565" s="232"/>
      <c r="H3565" s="61" t="s">
        <v>796</v>
      </c>
      <c r="I3565" s="230" t="s">
        <v>1967</v>
      </c>
      <c r="J3565" s="238">
        <v>512.04</v>
      </c>
      <c r="K3565" s="65"/>
      <c r="L3565" s="252">
        <v>47800</v>
      </c>
      <c r="M3565" s="306"/>
      <c r="N3565" s="306"/>
      <c r="O3565" s="61"/>
      <c r="P3565" s="69" t="str">
        <f t="shared" si="216"/>
        <v>Beban Akomodasi</v>
      </c>
      <c r="Q3565" s="61"/>
    </row>
    <row r="3566" spans="1:17" ht="30" hidden="1" x14ac:dyDescent="0.25">
      <c r="A3566" s="60" t="str">
        <f t="shared" si="214"/>
        <v>34512,03</v>
      </c>
      <c r="B3566" s="60">
        <f>COUNTIF($J$7:J3566,J3566)</f>
        <v>34</v>
      </c>
      <c r="C3566" s="60" t="str">
        <f t="shared" si="215"/>
        <v>0</v>
      </c>
      <c r="D3566" s="60">
        <f>COUNTIF($K$7:K3566,K3566)</f>
        <v>0</v>
      </c>
      <c r="E3566" s="61"/>
      <c r="F3566" s="232">
        <v>44630</v>
      </c>
      <c r="G3566" s="232"/>
      <c r="H3566" s="61" t="s">
        <v>796</v>
      </c>
      <c r="I3566" s="230" t="s">
        <v>1968</v>
      </c>
      <c r="J3566" s="238">
        <v>512.03</v>
      </c>
      <c r="K3566" s="65"/>
      <c r="L3566" s="305">
        <v>501500</v>
      </c>
      <c r="M3566" s="306"/>
      <c r="N3566" s="306"/>
      <c r="O3566" s="61"/>
      <c r="P3566" s="69" t="str">
        <f t="shared" si="216"/>
        <v>Beban Gasoline Marketing (Bensin, Parkir, Tol)</v>
      </c>
      <c r="Q3566" s="61"/>
    </row>
    <row r="3567" spans="1:17" hidden="1" x14ac:dyDescent="0.25">
      <c r="A3567" s="60" t="str">
        <f t="shared" si="214"/>
        <v>35512,03</v>
      </c>
      <c r="B3567" s="60">
        <f>COUNTIF($J$7:J3567,J3567)</f>
        <v>35</v>
      </c>
      <c r="C3567" s="60" t="str">
        <f t="shared" si="215"/>
        <v>0</v>
      </c>
      <c r="D3567" s="60">
        <f>COUNTIF($K$7:K3567,K3567)</f>
        <v>0</v>
      </c>
      <c r="E3567" s="61"/>
      <c r="F3567" s="232">
        <v>44630</v>
      </c>
      <c r="G3567" s="232"/>
      <c r="H3567" s="61" t="s">
        <v>796</v>
      </c>
      <c r="I3567" s="230" t="s">
        <v>1970</v>
      </c>
      <c r="J3567" s="238">
        <v>512.03</v>
      </c>
      <c r="K3567" s="65"/>
      <c r="L3567" s="305">
        <v>300000</v>
      </c>
      <c r="M3567" s="306"/>
      <c r="N3567" s="306"/>
      <c r="O3567" s="61"/>
      <c r="P3567" s="69" t="str">
        <f t="shared" si="216"/>
        <v>Beban Gasoline Marketing (Bensin, Parkir, Tol)</v>
      </c>
      <c r="Q3567" s="61"/>
    </row>
    <row r="3568" spans="1:17" ht="30" hidden="1" x14ac:dyDescent="0.25">
      <c r="A3568" s="60" t="str">
        <f t="shared" si="214"/>
        <v>8512,05</v>
      </c>
      <c r="B3568" s="60">
        <f>COUNTIF($J$7:J3568,J3568)</f>
        <v>8</v>
      </c>
      <c r="C3568" s="60" t="str">
        <f t="shared" si="215"/>
        <v>0</v>
      </c>
      <c r="D3568" s="60">
        <f>COUNTIF($K$7:K3568,K3568)</f>
        <v>0</v>
      </c>
      <c r="E3568" s="61"/>
      <c r="F3568" s="232">
        <v>44630</v>
      </c>
      <c r="G3568" s="232"/>
      <c r="H3568" s="61" t="s">
        <v>796</v>
      </c>
      <c r="I3568" s="230" t="s">
        <v>1973</v>
      </c>
      <c r="J3568" s="238">
        <v>512.04999999999995</v>
      </c>
      <c r="K3568" s="65"/>
      <c r="L3568" s="305">
        <v>40000</v>
      </c>
      <c r="M3568" s="306"/>
      <c r="N3568" s="306"/>
      <c r="O3568" s="61"/>
      <c r="P3568" s="69" t="str">
        <f t="shared" si="216"/>
        <v>Beban Operasional Marketing Lainnya</v>
      </c>
      <c r="Q3568" s="61"/>
    </row>
    <row r="3569" spans="1:17" hidden="1" x14ac:dyDescent="0.25">
      <c r="A3569" s="60" t="str">
        <f t="shared" si="214"/>
        <v>20512,04</v>
      </c>
      <c r="B3569" s="60">
        <f>COUNTIF($J$7:J3569,J3569)</f>
        <v>20</v>
      </c>
      <c r="C3569" s="60" t="str">
        <f t="shared" si="215"/>
        <v>0</v>
      </c>
      <c r="D3569" s="60">
        <f>COUNTIF($K$7:K3569,K3569)</f>
        <v>0</v>
      </c>
      <c r="E3569" s="61"/>
      <c r="F3569" s="232">
        <v>44630</v>
      </c>
      <c r="G3569" s="232"/>
      <c r="H3569" s="61" t="s">
        <v>796</v>
      </c>
      <c r="I3569" s="230" t="s">
        <v>1969</v>
      </c>
      <c r="J3569" s="238">
        <v>512.04</v>
      </c>
      <c r="K3569" s="65"/>
      <c r="L3569" s="252">
        <v>148700</v>
      </c>
      <c r="M3569" s="306"/>
      <c r="N3569" s="306"/>
      <c r="O3569" s="61"/>
      <c r="P3569" s="69" t="str">
        <f t="shared" si="216"/>
        <v>Beban Akomodasi</v>
      </c>
      <c r="Q3569" s="61"/>
    </row>
    <row r="3570" spans="1:17" hidden="1" x14ac:dyDescent="0.25">
      <c r="A3570" s="60" t="str">
        <f t="shared" si="214"/>
        <v>36512,03</v>
      </c>
      <c r="B3570" s="60">
        <f>COUNTIF($J$7:J3570,J3570)</f>
        <v>36</v>
      </c>
      <c r="C3570" s="60" t="str">
        <f t="shared" si="215"/>
        <v>0</v>
      </c>
      <c r="D3570" s="60">
        <f>COUNTIF($K$7:K3570,K3570)</f>
        <v>0</v>
      </c>
      <c r="E3570" s="61"/>
      <c r="F3570" s="232">
        <v>44630</v>
      </c>
      <c r="G3570" s="232"/>
      <c r="H3570" s="61" t="s">
        <v>796</v>
      </c>
      <c r="I3570" s="230" t="s">
        <v>1970</v>
      </c>
      <c r="J3570" s="238">
        <v>512.03</v>
      </c>
      <c r="K3570" s="65"/>
      <c r="L3570" s="305">
        <v>200000</v>
      </c>
      <c r="M3570" s="306"/>
      <c r="N3570" s="306"/>
      <c r="O3570" s="61"/>
      <c r="P3570" s="69" t="str">
        <f t="shared" si="216"/>
        <v>Beban Gasoline Marketing (Bensin, Parkir, Tol)</v>
      </c>
      <c r="Q3570" s="61"/>
    </row>
    <row r="3571" spans="1:17" hidden="1" x14ac:dyDescent="0.25">
      <c r="A3571" s="60" t="str">
        <f t="shared" si="214"/>
        <v>37512,03</v>
      </c>
      <c r="B3571" s="60">
        <f>COUNTIF($J$7:J3571,J3571)</f>
        <v>37</v>
      </c>
      <c r="C3571" s="60" t="str">
        <f t="shared" si="215"/>
        <v>0</v>
      </c>
      <c r="D3571" s="60">
        <f>COUNTIF($K$7:K3571,K3571)</f>
        <v>0</v>
      </c>
      <c r="E3571" s="61"/>
      <c r="F3571" s="232">
        <v>44630</v>
      </c>
      <c r="G3571" s="232"/>
      <c r="H3571" s="61" t="s">
        <v>796</v>
      </c>
      <c r="I3571" s="230" t="s">
        <v>1970</v>
      </c>
      <c r="J3571" s="238">
        <v>512.03</v>
      </c>
      <c r="K3571" s="65"/>
      <c r="L3571" s="305">
        <v>320000</v>
      </c>
      <c r="M3571" s="306"/>
      <c r="N3571" s="306"/>
      <c r="O3571" s="61"/>
      <c r="P3571" s="69" t="str">
        <f t="shared" si="216"/>
        <v>Beban Gasoline Marketing (Bensin, Parkir, Tol)</v>
      </c>
      <c r="Q3571" s="61"/>
    </row>
    <row r="3572" spans="1:17" hidden="1" x14ac:dyDescent="0.25">
      <c r="A3572" s="60" t="str">
        <f t="shared" si="214"/>
        <v>21512,04</v>
      </c>
      <c r="B3572" s="60">
        <f>COUNTIF($J$7:J3572,J3572)</f>
        <v>21</v>
      </c>
      <c r="C3572" s="60" t="str">
        <f t="shared" si="215"/>
        <v>0</v>
      </c>
      <c r="D3572" s="60">
        <f>COUNTIF($K$7:K3572,K3572)</f>
        <v>0</v>
      </c>
      <c r="E3572" s="61"/>
      <c r="F3572" s="232">
        <v>44630</v>
      </c>
      <c r="G3572" s="232"/>
      <c r="H3572" s="61" t="s">
        <v>796</v>
      </c>
      <c r="I3572" s="230" t="s">
        <v>1965</v>
      </c>
      <c r="J3572" s="238">
        <v>512.04</v>
      </c>
      <c r="K3572" s="65"/>
      <c r="L3572" s="252">
        <v>52000</v>
      </c>
      <c r="M3572" s="306"/>
      <c r="N3572" s="306"/>
      <c r="O3572" s="61"/>
      <c r="P3572" s="69" t="str">
        <f t="shared" si="216"/>
        <v>Beban Akomodasi</v>
      </c>
      <c r="Q3572" s="61"/>
    </row>
    <row r="3573" spans="1:17" hidden="1" x14ac:dyDescent="0.25">
      <c r="A3573" s="60" t="str">
        <f t="shared" si="214"/>
        <v>22512,04</v>
      </c>
      <c r="B3573" s="60">
        <f>COUNTIF($J$7:J3573,J3573)</f>
        <v>22</v>
      </c>
      <c r="C3573" s="60" t="str">
        <f t="shared" si="215"/>
        <v>0</v>
      </c>
      <c r="D3573" s="60">
        <f>COUNTIF($K$7:K3573,K3573)</f>
        <v>0</v>
      </c>
      <c r="E3573" s="61"/>
      <c r="F3573" s="232">
        <v>44630</v>
      </c>
      <c r="G3573" s="232"/>
      <c r="H3573" s="61" t="s">
        <v>796</v>
      </c>
      <c r="I3573" s="230" t="s">
        <v>1974</v>
      </c>
      <c r="J3573" s="238">
        <v>512.04</v>
      </c>
      <c r="K3573" s="65"/>
      <c r="L3573" s="252">
        <v>43800</v>
      </c>
      <c r="M3573" s="306"/>
      <c r="N3573" s="306"/>
      <c r="O3573" s="61"/>
      <c r="P3573" s="69" t="str">
        <f t="shared" si="216"/>
        <v>Beban Akomodasi</v>
      </c>
      <c r="Q3573" s="61"/>
    </row>
    <row r="3574" spans="1:17" hidden="1" x14ac:dyDescent="0.25">
      <c r="A3574" s="60" t="str">
        <f t="shared" si="214"/>
        <v>23512,04</v>
      </c>
      <c r="B3574" s="60">
        <f>COUNTIF($J$7:J3574,J3574)</f>
        <v>23</v>
      </c>
      <c r="C3574" s="60" t="str">
        <f t="shared" si="215"/>
        <v>0</v>
      </c>
      <c r="D3574" s="60">
        <f>COUNTIF($K$7:K3574,K3574)</f>
        <v>0</v>
      </c>
      <c r="E3574" s="61"/>
      <c r="F3574" s="232">
        <v>44630</v>
      </c>
      <c r="G3574" s="232"/>
      <c r="H3574" s="61" t="s">
        <v>796</v>
      </c>
      <c r="I3574" s="230" t="s">
        <v>1975</v>
      </c>
      <c r="J3574" s="238">
        <v>512.04</v>
      </c>
      <c r="K3574" s="65"/>
      <c r="L3574" s="252">
        <v>104500</v>
      </c>
      <c r="M3574" s="306"/>
      <c r="N3574" s="306"/>
      <c r="O3574" s="61"/>
      <c r="P3574" s="69" t="str">
        <f t="shared" si="216"/>
        <v>Beban Akomodasi</v>
      </c>
      <c r="Q3574" s="61"/>
    </row>
    <row r="3575" spans="1:17" ht="30" hidden="1" x14ac:dyDescent="0.25">
      <c r="A3575" s="60" t="str">
        <f t="shared" si="214"/>
        <v>38512,03</v>
      </c>
      <c r="B3575" s="60">
        <f>COUNTIF($J$7:J3575,J3575)</f>
        <v>38</v>
      </c>
      <c r="C3575" s="60" t="str">
        <f t="shared" si="215"/>
        <v>0</v>
      </c>
      <c r="D3575" s="60">
        <f>COUNTIF($K$7:K3575,K3575)</f>
        <v>0</v>
      </c>
      <c r="E3575" s="61"/>
      <c r="F3575" s="232">
        <v>44630</v>
      </c>
      <c r="G3575" s="232"/>
      <c r="H3575" s="61" t="s">
        <v>796</v>
      </c>
      <c r="I3575" s="230" t="s">
        <v>1976</v>
      </c>
      <c r="J3575" s="238">
        <v>512.03</v>
      </c>
      <c r="K3575" s="65"/>
      <c r="L3575" s="305">
        <v>300000</v>
      </c>
      <c r="M3575" s="306"/>
      <c r="N3575" s="306"/>
      <c r="O3575" s="61"/>
      <c r="P3575" s="69" t="str">
        <f t="shared" si="216"/>
        <v>Beban Gasoline Marketing (Bensin, Parkir, Tol)</v>
      </c>
      <c r="Q3575" s="61"/>
    </row>
    <row r="3576" spans="1:17" hidden="1" x14ac:dyDescent="0.25">
      <c r="A3576" s="60" t="str">
        <f t="shared" si="214"/>
        <v>24512,04</v>
      </c>
      <c r="B3576" s="60">
        <f>COUNTIF($J$7:J3576,J3576)</f>
        <v>24</v>
      </c>
      <c r="C3576" s="60" t="str">
        <f t="shared" si="215"/>
        <v>0</v>
      </c>
      <c r="D3576" s="60">
        <f>COUNTIF($K$7:K3576,K3576)</f>
        <v>0</v>
      </c>
      <c r="E3576" s="61"/>
      <c r="F3576" s="232">
        <v>44630</v>
      </c>
      <c r="G3576" s="232"/>
      <c r="H3576" s="61" t="s">
        <v>796</v>
      </c>
      <c r="I3576" s="230" t="s">
        <v>1974</v>
      </c>
      <c r="J3576" s="238">
        <v>512.04</v>
      </c>
      <c r="K3576" s="65"/>
      <c r="L3576" s="252">
        <v>40500</v>
      </c>
      <c r="M3576" s="306"/>
      <c r="N3576" s="306"/>
      <c r="O3576" s="61"/>
      <c r="P3576" s="69" t="str">
        <f t="shared" si="216"/>
        <v>Beban Akomodasi</v>
      </c>
      <c r="Q3576" s="61"/>
    </row>
    <row r="3577" spans="1:17" hidden="1" x14ac:dyDescent="0.25">
      <c r="A3577" s="60" t="str">
        <f t="shared" si="214"/>
        <v>39512,03</v>
      </c>
      <c r="B3577" s="60">
        <f>COUNTIF($J$7:J3577,J3577)</f>
        <v>39</v>
      </c>
      <c r="C3577" s="60" t="str">
        <f t="shared" si="215"/>
        <v>0</v>
      </c>
      <c r="D3577" s="60">
        <f>COUNTIF($K$7:K3577,K3577)</f>
        <v>0</v>
      </c>
      <c r="E3577" s="61"/>
      <c r="F3577" s="232">
        <v>44630</v>
      </c>
      <c r="G3577" s="232"/>
      <c r="H3577" s="61" t="s">
        <v>796</v>
      </c>
      <c r="I3577" s="230" t="s">
        <v>1977</v>
      </c>
      <c r="J3577" s="238">
        <v>512.03</v>
      </c>
      <c r="K3577" s="65"/>
      <c r="L3577" s="305">
        <v>320000</v>
      </c>
      <c r="M3577" s="306"/>
      <c r="N3577" s="306"/>
      <c r="O3577" s="61"/>
      <c r="P3577" s="69" t="str">
        <f t="shared" si="216"/>
        <v>Beban Gasoline Marketing (Bensin, Parkir, Tol)</v>
      </c>
      <c r="Q3577" s="61"/>
    </row>
    <row r="3578" spans="1:17" hidden="1" x14ac:dyDescent="0.25">
      <c r="A3578" s="60" t="str">
        <f t="shared" si="214"/>
        <v>40512,03</v>
      </c>
      <c r="B3578" s="60">
        <f>COUNTIF($J$7:J3578,J3578)</f>
        <v>40</v>
      </c>
      <c r="C3578" s="60" t="str">
        <f t="shared" si="215"/>
        <v>0</v>
      </c>
      <c r="D3578" s="60">
        <f>COUNTIF($K$7:K3578,K3578)</f>
        <v>0</v>
      </c>
      <c r="E3578" s="61"/>
      <c r="F3578" s="232">
        <v>44630</v>
      </c>
      <c r="G3578" s="232"/>
      <c r="H3578" s="61" t="s">
        <v>796</v>
      </c>
      <c r="I3578" s="230" t="s">
        <v>1977</v>
      </c>
      <c r="J3578" s="238">
        <v>512.03</v>
      </c>
      <c r="K3578" s="65"/>
      <c r="L3578" s="305">
        <v>286020</v>
      </c>
      <c r="M3578" s="306"/>
      <c r="N3578" s="306"/>
      <c r="O3578" s="61"/>
      <c r="P3578" s="69" t="str">
        <f t="shared" si="216"/>
        <v>Beban Gasoline Marketing (Bensin, Parkir, Tol)</v>
      </c>
      <c r="Q3578" s="61"/>
    </row>
    <row r="3579" spans="1:17" hidden="1" x14ac:dyDescent="0.25">
      <c r="A3579" s="60" t="str">
        <f t="shared" si="214"/>
        <v>41512,03</v>
      </c>
      <c r="B3579" s="60">
        <f>COUNTIF($J$7:J3579,J3579)</f>
        <v>41</v>
      </c>
      <c r="C3579" s="60" t="str">
        <f t="shared" si="215"/>
        <v>0</v>
      </c>
      <c r="D3579" s="60">
        <f>COUNTIF($K$7:K3579,K3579)</f>
        <v>0</v>
      </c>
      <c r="E3579" s="61"/>
      <c r="F3579" s="232">
        <v>44630</v>
      </c>
      <c r="G3579" s="232"/>
      <c r="H3579" s="61" t="s">
        <v>796</v>
      </c>
      <c r="I3579" s="230" t="s">
        <v>1977</v>
      </c>
      <c r="J3579" s="238">
        <v>512.03</v>
      </c>
      <c r="K3579" s="65"/>
      <c r="L3579" s="305">
        <v>280000</v>
      </c>
      <c r="M3579" s="306"/>
      <c r="N3579" s="306"/>
      <c r="O3579" s="61"/>
      <c r="P3579" s="69" t="str">
        <f t="shared" si="216"/>
        <v>Beban Gasoline Marketing (Bensin, Parkir, Tol)</v>
      </c>
      <c r="Q3579" s="61"/>
    </row>
    <row r="3580" spans="1:17" ht="30" hidden="1" x14ac:dyDescent="0.25">
      <c r="A3580" s="60" t="str">
        <f t="shared" si="214"/>
        <v>42512,03</v>
      </c>
      <c r="B3580" s="60">
        <f>COUNTIF($J$7:J3580,J3580)</f>
        <v>42</v>
      </c>
      <c r="C3580" s="60" t="str">
        <f t="shared" si="215"/>
        <v>0</v>
      </c>
      <c r="D3580" s="60">
        <f>COUNTIF($K$7:K3580,K3580)</f>
        <v>0</v>
      </c>
      <c r="E3580" s="61"/>
      <c r="F3580" s="232">
        <v>44630</v>
      </c>
      <c r="G3580" s="232"/>
      <c r="H3580" s="61" t="s">
        <v>796</v>
      </c>
      <c r="I3580" s="230" t="s">
        <v>1976</v>
      </c>
      <c r="J3580" s="238">
        <v>512.03</v>
      </c>
      <c r="K3580" s="65"/>
      <c r="L3580" s="305">
        <v>200000</v>
      </c>
      <c r="M3580" s="306"/>
      <c r="N3580" s="306"/>
      <c r="O3580" s="61"/>
      <c r="P3580" s="69" t="str">
        <f t="shared" si="216"/>
        <v>Beban Gasoline Marketing (Bensin, Parkir, Tol)</v>
      </c>
      <c r="Q3580" s="61"/>
    </row>
    <row r="3581" spans="1:17" hidden="1" x14ac:dyDescent="0.25">
      <c r="A3581" s="60" t="str">
        <f t="shared" si="214"/>
        <v>25512,04</v>
      </c>
      <c r="B3581" s="60">
        <f>COUNTIF($J$7:J3581,J3581)</f>
        <v>25</v>
      </c>
      <c r="C3581" s="60" t="str">
        <f t="shared" si="215"/>
        <v>0</v>
      </c>
      <c r="D3581" s="60">
        <f>COUNTIF($K$7:K3581,K3581)</f>
        <v>0</v>
      </c>
      <c r="E3581" s="61"/>
      <c r="F3581" s="232">
        <v>44630</v>
      </c>
      <c r="G3581" s="232"/>
      <c r="H3581" s="61" t="s">
        <v>796</v>
      </c>
      <c r="I3581" s="230" t="s">
        <v>1978</v>
      </c>
      <c r="J3581" s="238">
        <v>512.04</v>
      </c>
      <c r="K3581" s="65"/>
      <c r="L3581" s="252">
        <v>35000</v>
      </c>
      <c r="M3581" s="306"/>
      <c r="N3581" s="306"/>
      <c r="O3581" s="61"/>
      <c r="P3581" s="69" t="str">
        <f t="shared" si="216"/>
        <v>Beban Akomodasi</v>
      </c>
      <c r="Q3581" s="61"/>
    </row>
    <row r="3582" spans="1:17" hidden="1" x14ac:dyDescent="0.25">
      <c r="A3582" s="60" t="str">
        <f t="shared" si="214"/>
        <v>88119</v>
      </c>
      <c r="B3582" s="60">
        <f>COUNTIF($J$7:J3582,J3582)</f>
        <v>88</v>
      </c>
      <c r="C3582" s="60" t="str">
        <f t="shared" si="215"/>
        <v>7119,04</v>
      </c>
      <c r="D3582" s="60">
        <f>COUNTIF($K$7:K3582,K3582)</f>
        <v>7</v>
      </c>
      <c r="E3582" s="61"/>
      <c r="F3582" s="232">
        <v>44630</v>
      </c>
      <c r="G3582" s="232"/>
      <c r="H3582" s="61" t="s">
        <v>796</v>
      </c>
      <c r="I3582" s="230" t="s">
        <v>1956</v>
      </c>
      <c r="J3582" s="64">
        <v>119</v>
      </c>
      <c r="K3582" s="65">
        <v>119.04</v>
      </c>
      <c r="L3582" s="305"/>
      <c r="M3582" s="306">
        <v>4000000</v>
      </c>
      <c r="N3582" s="306"/>
      <c r="O3582" s="61"/>
      <c r="P3582" s="69" t="str">
        <f t="shared" si="216"/>
        <v>Uang Muka Biaya Pengiriman dan Perjalanan Dinas Marketing</v>
      </c>
      <c r="Q3582" s="61"/>
    </row>
    <row r="3583" spans="1:17" hidden="1" x14ac:dyDescent="0.25">
      <c r="A3583" s="60" t="str">
        <f t="shared" si="214"/>
        <v>43512,03</v>
      </c>
      <c r="B3583" s="60">
        <f>COUNTIF($J$7:J3583,J3583)</f>
        <v>43</v>
      </c>
      <c r="C3583" s="60" t="str">
        <f t="shared" si="215"/>
        <v>0</v>
      </c>
      <c r="D3583" s="60">
        <f>COUNTIF($K$7:K3583,K3583)</f>
        <v>0</v>
      </c>
      <c r="E3583" s="61"/>
      <c r="F3583" s="232">
        <v>44630</v>
      </c>
      <c r="G3583" s="232"/>
      <c r="H3583" s="61" t="s">
        <v>796</v>
      </c>
      <c r="I3583" s="230" t="s">
        <v>1979</v>
      </c>
      <c r="J3583" s="238">
        <v>512.03</v>
      </c>
      <c r="K3583" s="65"/>
      <c r="L3583" s="305">
        <v>300000</v>
      </c>
      <c r="M3583" s="306"/>
      <c r="N3583" s="306"/>
      <c r="O3583" s="61"/>
      <c r="P3583" s="69" t="str">
        <f t="shared" si="216"/>
        <v>Beban Gasoline Marketing (Bensin, Parkir, Tol)</v>
      </c>
      <c r="Q3583" s="61"/>
    </row>
    <row r="3584" spans="1:17" hidden="1" x14ac:dyDescent="0.25">
      <c r="A3584" s="60" t="str">
        <f t="shared" si="214"/>
        <v>26512,04</v>
      </c>
      <c r="B3584" s="60">
        <f>COUNTIF($J$7:J3584,J3584)</f>
        <v>26</v>
      </c>
      <c r="C3584" s="60" t="str">
        <f t="shared" si="215"/>
        <v>0</v>
      </c>
      <c r="D3584" s="60">
        <f>COUNTIF($K$7:K3584,K3584)</f>
        <v>0</v>
      </c>
      <c r="E3584" s="61"/>
      <c r="F3584" s="232">
        <v>44630</v>
      </c>
      <c r="G3584" s="232"/>
      <c r="H3584" s="61" t="s">
        <v>796</v>
      </c>
      <c r="I3584" s="230" t="s">
        <v>1980</v>
      </c>
      <c r="J3584" s="238">
        <v>512.04</v>
      </c>
      <c r="K3584" s="65"/>
      <c r="L3584" s="252">
        <v>60000</v>
      </c>
      <c r="M3584" s="306"/>
      <c r="N3584" s="306"/>
      <c r="O3584" s="61"/>
      <c r="P3584" s="69" t="str">
        <f t="shared" si="216"/>
        <v>Beban Akomodasi</v>
      </c>
      <c r="Q3584" s="61"/>
    </row>
    <row r="3585" spans="1:17" hidden="1" x14ac:dyDescent="0.25">
      <c r="A3585" s="60" t="str">
        <f t="shared" si="214"/>
        <v>27512,04</v>
      </c>
      <c r="B3585" s="60">
        <f>COUNTIF($J$7:J3585,J3585)</f>
        <v>27</v>
      </c>
      <c r="C3585" s="60" t="str">
        <f t="shared" si="215"/>
        <v>0</v>
      </c>
      <c r="D3585" s="60">
        <f>COUNTIF($K$7:K3585,K3585)</f>
        <v>0</v>
      </c>
      <c r="E3585" s="61"/>
      <c r="F3585" s="232">
        <v>44630</v>
      </c>
      <c r="G3585" s="232"/>
      <c r="H3585" s="61" t="s">
        <v>796</v>
      </c>
      <c r="I3585" s="230" t="s">
        <v>1980</v>
      </c>
      <c r="J3585" s="238">
        <v>512.04</v>
      </c>
      <c r="K3585" s="65"/>
      <c r="L3585" s="252">
        <v>79000</v>
      </c>
      <c r="M3585" s="306"/>
      <c r="N3585" s="306"/>
      <c r="O3585" s="61"/>
      <c r="P3585" s="69" t="str">
        <f t="shared" si="216"/>
        <v>Beban Akomodasi</v>
      </c>
      <c r="Q3585" s="61"/>
    </row>
    <row r="3586" spans="1:17" hidden="1" x14ac:dyDescent="0.25">
      <c r="A3586" s="60" t="str">
        <f t="shared" si="214"/>
        <v>28512,04</v>
      </c>
      <c r="B3586" s="60">
        <f>COUNTIF($J$7:J3586,J3586)</f>
        <v>28</v>
      </c>
      <c r="C3586" s="60" t="str">
        <f t="shared" si="215"/>
        <v>0</v>
      </c>
      <c r="D3586" s="60">
        <f>COUNTIF($K$7:K3586,K3586)</f>
        <v>0</v>
      </c>
      <c r="E3586" s="61"/>
      <c r="F3586" s="232">
        <v>44630</v>
      </c>
      <c r="G3586" s="232"/>
      <c r="H3586" s="61" t="s">
        <v>796</v>
      </c>
      <c r="I3586" s="230" t="s">
        <v>1981</v>
      </c>
      <c r="J3586" s="238">
        <v>512.04</v>
      </c>
      <c r="K3586" s="65"/>
      <c r="L3586" s="252">
        <v>23300</v>
      </c>
      <c r="M3586" s="306"/>
      <c r="N3586" s="306"/>
      <c r="O3586" s="61"/>
      <c r="P3586" s="69" t="str">
        <f t="shared" si="216"/>
        <v>Beban Akomodasi</v>
      </c>
      <c r="Q3586" s="61"/>
    </row>
    <row r="3587" spans="1:17" hidden="1" x14ac:dyDescent="0.25">
      <c r="A3587" s="60" t="str">
        <f t="shared" si="214"/>
        <v>29512,04</v>
      </c>
      <c r="B3587" s="60">
        <f>COUNTIF($J$7:J3587,J3587)</f>
        <v>29</v>
      </c>
      <c r="C3587" s="60" t="str">
        <f t="shared" si="215"/>
        <v>0</v>
      </c>
      <c r="D3587" s="60">
        <f>COUNTIF($K$7:K3587,K3587)</f>
        <v>0</v>
      </c>
      <c r="E3587" s="61"/>
      <c r="F3587" s="232">
        <v>44630</v>
      </c>
      <c r="G3587" s="232"/>
      <c r="H3587" s="61" t="s">
        <v>796</v>
      </c>
      <c r="I3587" s="230" t="s">
        <v>1982</v>
      </c>
      <c r="J3587" s="238">
        <v>512.04</v>
      </c>
      <c r="K3587" s="65"/>
      <c r="L3587" s="252">
        <v>45100</v>
      </c>
      <c r="M3587" s="306"/>
      <c r="N3587" s="306"/>
      <c r="O3587" s="61"/>
      <c r="P3587" s="69" t="str">
        <f t="shared" si="216"/>
        <v>Beban Akomodasi</v>
      </c>
      <c r="Q3587" s="61"/>
    </row>
    <row r="3588" spans="1:17" hidden="1" x14ac:dyDescent="0.25">
      <c r="A3588" s="60" t="str">
        <f t="shared" si="214"/>
        <v>44512,03</v>
      </c>
      <c r="B3588" s="60">
        <f>COUNTIF($J$7:J3588,J3588)</f>
        <v>44</v>
      </c>
      <c r="C3588" s="60" t="str">
        <f t="shared" si="215"/>
        <v>0</v>
      </c>
      <c r="D3588" s="60">
        <f>COUNTIF($K$7:K3588,K3588)</f>
        <v>0</v>
      </c>
      <c r="E3588" s="61"/>
      <c r="F3588" s="232">
        <v>44630</v>
      </c>
      <c r="G3588" s="232"/>
      <c r="H3588" s="61" t="s">
        <v>796</v>
      </c>
      <c r="I3588" s="230" t="s">
        <v>1983</v>
      </c>
      <c r="J3588" s="238">
        <v>512.03</v>
      </c>
      <c r="K3588" s="65"/>
      <c r="L3588" s="305">
        <v>200000</v>
      </c>
      <c r="M3588" s="306"/>
      <c r="N3588" s="306"/>
      <c r="O3588" s="61"/>
      <c r="P3588" s="69" t="str">
        <f t="shared" si="216"/>
        <v>Beban Gasoline Marketing (Bensin, Parkir, Tol)</v>
      </c>
      <c r="Q3588" s="61"/>
    </row>
    <row r="3589" spans="1:17" ht="30" hidden="1" x14ac:dyDescent="0.25">
      <c r="A3589" s="60" t="str">
        <f t="shared" si="214"/>
        <v>45512,03</v>
      </c>
      <c r="B3589" s="60">
        <f>COUNTIF($J$7:J3589,J3589)</f>
        <v>45</v>
      </c>
      <c r="C3589" s="60" t="str">
        <f t="shared" si="215"/>
        <v>0</v>
      </c>
      <c r="D3589" s="60">
        <f>COUNTIF($K$7:K3589,K3589)</f>
        <v>0</v>
      </c>
      <c r="E3589" s="61"/>
      <c r="F3589" s="232">
        <v>44630</v>
      </c>
      <c r="G3589" s="232"/>
      <c r="H3589" s="61" t="s">
        <v>796</v>
      </c>
      <c r="I3589" s="230" t="s">
        <v>1984</v>
      </c>
      <c r="J3589" s="238">
        <v>512.03</v>
      </c>
      <c r="K3589" s="65"/>
      <c r="L3589" s="305">
        <v>200000</v>
      </c>
      <c r="M3589" s="306"/>
      <c r="N3589" s="306"/>
      <c r="O3589" s="61"/>
      <c r="P3589" s="69" t="str">
        <f t="shared" si="216"/>
        <v>Beban Gasoline Marketing (Bensin, Parkir, Tol)</v>
      </c>
      <c r="Q3589" s="61"/>
    </row>
    <row r="3590" spans="1:17" hidden="1" x14ac:dyDescent="0.25">
      <c r="A3590" s="60" t="str">
        <f t="shared" si="214"/>
        <v>30512,04</v>
      </c>
      <c r="B3590" s="60">
        <f>COUNTIF($J$7:J3590,J3590)</f>
        <v>30</v>
      </c>
      <c r="C3590" s="60" t="str">
        <f t="shared" si="215"/>
        <v>0</v>
      </c>
      <c r="D3590" s="60">
        <f>COUNTIF($K$7:K3590,K3590)</f>
        <v>0</v>
      </c>
      <c r="E3590" s="61"/>
      <c r="F3590" s="232">
        <v>44630</v>
      </c>
      <c r="G3590" s="232"/>
      <c r="H3590" s="61" t="s">
        <v>796</v>
      </c>
      <c r="I3590" s="230" t="s">
        <v>1985</v>
      </c>
      <c r="J3590" s="238">
        <v>512.04</v>
      </c>
      <c r="K3590" s="65"/>
      <c r="L3590" s="252">
        <v>48200</v>
      </c>
      <c r="M3590" s="306"/>
      <c r="N3590" s="306"/>
      <c r="O3590" s="61"/>
      <c r="P3590" s="69" t="str">
        <f t="shared" si="216"/>
        <v>Beban Akomodasi</v>
      </c>
      <c r="Q3590" s="61"/>
    </row>
    <row r="3591" spans="1:17" hidden="1" x14ac:dyDescent="0.25">
      <c r="A3591" s="60" t="str">
        <f t="shared" ref="A3591:A3654" si="217">B3591&amp;J3591</f>
        <v>46512,03</v>
      </c>
      <c r="B3591" s="60">
        <f>COUNTIF($J$7:J3591,J3591)</f>
        <v>46</v>
      </c>
      <c r="C3591" s="60" t="str">
        <f t="shared" ref="C3591:C3654" si="218">D3591&amp;K3591</f>
        <v>0</v>
      </c>
      <c r="D3591" s="60">
        <f>COUNTIF($K$7:K3591,K3591)</f>
        <v>0</v>
      </c>
      <c r="E3591" s="61"/>
      <c r="F3591" s="232">
        <v>44630</v>
      </c>
      <c r="G3591" s="232"/>
      <c r="H3591" s="61" t="s">
        <v>796</v>
      </c>
      <c r="I3591" s="230" t="s">
        <v>1983</v>
      </c>
      <c r="J3591" s="238">
        <v>512.03</v>
      </c>
      <c r="K3591" s="65"/>
      <c r="L3591" s="305">
        <v>250000</v>
      </c>
      <c r="M3591" s="306"/>
      <c r="N3591" s="306"/>
      <c r="O3591" s="61"/>
      <c r="P3591" s="69" t="str">
        <f t="shared" ref="P3591:P3654" si="219">IF(J3591=0,"-",+VLOOKUP(J3591,DAF_AKUN,2,FALSE))</f>
        <v>Beban Gasoline Marketing (Bensin, Parkir, Tol)</v>
      </c>
      <c r="Q3591" s="61"/>
    </row>
    <row r="3592" spans="1:17" hidden="1" x14ac:dyDescent="0.25">
      <c r="A3592" s="60" t="str">
        <f t="shared" si="217"/>
        <v>31512,04</v>
      </c>
      <c r="B3592" s="60">
        <f>COUNTIF($J$7:J3592,J3592)</f>
        <v>31</v>
      </c>
      <c r="C3592" s="60" t="str">
        <f t="shared" si="218"/>
        <v>0</v>
      </c>
      <c r="D3592" s="60">
        <f>COUNTIF($K$7:K3592,K3592)</f>
        <v>0</v>
      </c>
      <c r="E3592" s="61"/>
      <c r="F3592" s="232">
        <v>44630</v>
      </c>
      <c r="G3592" s="232"/>
      <c r="H3592" s="61" t="s">
        <v>796</v>
      </c>
      <c r="I3592" s="230" t="s">
        <v>1986</v>
      </c>
      <c r="J3592" s="238">
        <v>512.04</v>
      </c>
      <c r="K3592" s="65"/>
      <c r="L3592" s="252">
        <v>179900</v>
      </c>
      <c r="M3592" s="306"/>
      <c r="N3592" s="306"/>
      <c r="O3592" s="61"/>
      <c r="P3592" s="69" t="str">
        <f t="shared" si="219"/>
        <v>Beban Akomodasi</v>
      </c>
      <c r="Q3592" s="61"/>
    </row>
    <row r="3593" spans="1:17" hidden="1" x14ac:dyDescent="0.25">
      <c r="A3593" s="60" t="str">
        <f t="shared" si="217"/>
        <v>32512,04</v>
      </c>
      <c r="B3593" s="60">
        <f>COUNTIF($J$7:J3593,J3593)</f>
        <v>32</v>
      </c>
      <c r="C3593" s="60" t="str">
        <f t="shared" si="218"/>
        <v>0</v>
      </c>
      <c r="D3593" s="60">
        <f>COUNTIF($K$7:K3593,K3593)</f>
        <v>0</v>
      </c>
      <c r="E3593" s="61"/>
      <c r="F3593" s="232">
        <v>44630</v>
      </c>
      <c r="G3593" s="232"/>
      <c r="H3593" s="61" t="s">
        <v>796</v>
      </c>
      <c r="I3593" s="230" t="s">
        <v>1987</v>
      </c>
      <c r="J3593" s="238">
        <v>512.04</v>
      </c>
      <c r="K3593" s="65"/>
      <c r="L3593" s="252">
        <v>81000</v>
      </c>
      <c r="M3593" s="306"/>
      <c r="N3593" s="306"/>
      <c r="O3593" s="61"/>
      <c r="P3593" s="69" t="str">
        <f t="shared" si="219"/>
        <v>Beban Akomodasi</v>
      </c>
      <c r="Q3593" s="61"/>
    </row>
    <row r="3594" spans="1:17" hidden="1" x14ac:dyDescent="0.25">
      <c r="A3594" s="60" t="str">
        <f t="shared" si="217"/>
        <v>47512,03</v>
      </c>
      <c r="B3594" s="60">
        <f>COUNTIF($J$7:J3594,J3594)</f>
        <v>47</v>
      </c>
      <c r="C3594" s="60" t="str">
        <f t="shared" si="218"/>
        <v>0</v>
      </c>
      <c r="D3594" s="60">
        <f>COUNTIF($K$7:K3594,K3594)</f>
        <v>0</v>
      </c>
      <c r="E3594" s="61"/>
      <c r="F3594" s="232">
        <v>44630</v>
      </c>
      <c r="G3594" s="232"/>
      <c r="H3594" s="61" t="s">
        <v>796</v>
      </c>
      <c r="I3594" s="230" t="s">
        <v>1983</v>
      </c>
      <c r="J3594" s="238">
        <v>512.03</v>
      </c>
      <c r="K3594" s="65"/>
      <c r="L3594" s="305">
        <v>300000</v>
      </c>
      <c r="M3594" s="306"/>
      <c r="N3594" s="306"/>
      <c r="O3594" s="61"/>
      <c r="P3594" s="69" t="str">
        <f t="shared" si="219"/>
        <v>Beban Gasoline Marketing (Bensin, Parkir, Tol)</v>
      </c>
      <c r="Q3594" s="61"/>
    </row>
    <row r="3595" spans="1:17" ht="30" hidden="1" x14ac:dyDescent="0.25">
      <c r="A3595" s="60" t="str">
        <f t="shared" si="217"/>
        <v>33512,04</v>
      </c>
      <c r="B3595" s="60">
        <f>COUNTIF($J$7:J3595,J3595)</f>
        <v>33</v>
      </c>
      <c r="C3595" s="60" t="str">
        <f t="shared" si="218"/>
        <v>0</v>
      </c>
      <c r="D3595" s="60">
        <f>COUNTIF($K$7:K3595,K3595)</f>
        <v>0</v>
      </c>
      <c r="E3595" s="61"/>
      <c r="F3595" s="232">
        <v>44630</v>
      </c>
      <c r="G3595" s="232"/>
      <c r="H3595" s="61" t="s">
        <v>796</v>
      </c>
      <c r="I3595" s="230" t="s">
        <v>1988</v>
      </c>
      <c r="J3595" s="238">
        <v>512.04</v>
      </c>
      <c r="K3595" s="65"/>
      <c r="L3595" s="252">
        <v>317147</v>
      </c>
      <c r="M3595" s="306"/>
      <c r="N3595" s="306"/>
      <c r="O3595" s="61"/>
      <c r="P3595" s="69" t="str">
        <f t="shared" si="219"/>
        <v>Beban Akomodasi</v>
      </c>
      <c r="Q3595" s="61"/>
    </row>
    <row r="3596" spans="1:17" hidden="1" x14ac:dyDescent="0.25">
      <c r="A3596" s="60" t="str">
        <f t="shared" si="217"/>
        <v>34512,04</v>
      </c>
      <c r="B3596" s="60">
        <f>COUNTIF($J$7:J3596,J3596)</f>
        <v>34</v>
      </c>
      <c r="C3596" s="60" t="str">
        <f t="shared" si="218"/>
        <v>0</v>
      </c>
      <c r="D3596" s="60">
        <f>COUNTIF($K$7:K3596,K3596)</f>
        <v>0</v>
      </c>
      <c r="E3596" s="61"/>
      <c r="F3596" s="232">
        <v>44630</v>
      </c>
      <c r="G3596" s="232"/>
      <c r="H3596" s="61" t="s">
        <v>796</v>
      </c>
      <c r="I3596" s="230" t="s">
        <v>1989</v>
      </c>
      <c r="J3596" s="238">
        <v>512.04</v>
      </c>
      <c r="K3596" s="65"/>
      <c r="L3596" s="252">
        <v>2400000</v>
      </c>
      <c r="M3596" s="306"/>
      <c r="N3596" s="306"/>
      <c r="O3596" s="61"/>
      <c r="P3596" s="69" t="str">
        <f t="shared" si="219"/>
        <v>Beban Akomodasi</v>
      </c>
      <c r="Q3596" s="61"/>
    </row>
    <row r="3597" spans="1:17" hidden="1" x14ac:dyDescent="0.25">
      <c r="A3597" s="60" t="str">
        <f t="shared" si="217"/>
        <v>88220,03</v>
      </c>
      <c r="B3597" s="60">
        <f>COUNTIF($J$7:J3597,J3597)</f>
        <v>88</v>
      </c>
      <c r="C3597" s="60" t="str">
        <f t="shared" si="218"/>
        <v>0</v>
      </c>
      <c r="D3597" s="60">
        <f>COUNTIF($K$7:K3597,K3597)</f>
        <v>0</v>
      </c>
      <c r="E3597" s="61"/>
      <c r="F3597" s="232">
        <v>44630</v>
      </c>
      <c r="G3597" s="232"/>
      <c r="H3597" s="61" t="s">
        <v>796</v>
      </c>
      <c r="I3597" s="63" t="s">
        <v>1990</v>
      </c>
      <c r="J3597" s="64">
        <v>220.03</v>
      </c>
      <c r="K3597" s="65"/>
      <c r="L3597" s="61"/>
      <c r="M3597" s="223">
        <v>303988</v>
      </c>
      <c r="N3597" s="223"/>
      <c r="O3597" s="61"/>
      <c r="P3597" s="69" t="str">
        <f t="shared" si="219"/>
        <v>Hutang BIaya</v>
      </c>
      <c r="Q3597" s="61"/>
    </row>
    <row r="3598" spans="1:17" hidden="1" x14ac:dyDescent="0.25">
      <c r="A3598" s="60" t="str">
        <f t="shared" si="217"/>
        <v>48512,03</v>
      </c>
      <c r="B3598" s="60">
        <f>COUNTIF($J$7:J3598,J3598)</f>
        <v>48</v>
      </c>
      <c r="C3598" s="60" t="str">
        <f t="shared" si="218"/>
        <v>0</v>
      </c>
      <c r="D3598" s="60">
        <f>COUNTIF($K$7:K3598,K3598)</f>
        <v>0</v>
      </c>
      <c r="E3598" s="61"/>
      <c r="F3598" s="232">
        <v>44634</v>
      </c>
      <c r="G3598" s="232"/>
      <c r="H3598" s="61" t="s">
        <v>1991</v>
      </c>
      <c r="I3598" s="63" t="s">
        <v>1992</v>
      </c>
      <c r="J3598" s="241">
        <v>512.03</v>
      </c>
      <c r="K3598" s="65"/>
      <c r="L3598" s="223">
        <f>237000+8000+200000+4000+200000+9000+200000</f>
        <v>858000</v>
      </c>
      <c r="M3598" s="223"/>
      <c r="N3598" s="223"/>
      <c r="O3598" s="61"/>
      <c r="P3598" s="69" t="str">
        <f t="shared" si="219"/>
        <v>Beban Gasoline Marketing (Bensin, Parkir, Tol)</v>
      </c>
      <c r="Q3598" s="61"/>
    </row>
    <row r="3599" spans="1:17" hidden="1" x14ac:dyDescent="0.25">
      <c r="A3599" s="60" t="str">
        <f t="shared" si="217"/>
        <v>35512,04</v>
      </c>
      <c r="B3599" s="60">
        <f>COUNTIF($J$7:J3599,J3599)</f>
        <v>35</v>
      </c>
      <c r="C3599" s="60" t="str">
        <f t="shared" si="218"/>
        <v>0</v>
      </c>
      <c r="D3599" s="60">
        <f>COUNTIF($K$7:K3599,K3599)</f>
        <v>0</v>
      </c>
      <c r="E3599" s="61"/>
      <c r="F3599" s="232">
        <v>44634</v>
      </c>
      <c r="G3599" s="232"/>
      <c r="H3599" s="61" t="s">
        <v>1991</v>
      </c>
      <c r="I3599" s="63" t="s">
        <v>1993</v>
      </c>
      <c r="J3599" s="241">
        <v>512.04</v>
      </c>
      <c r="K3599" s="65"/>
      <c r="L3599" s="223">
        <f>2283500-L3598</f>
        <v>1425500</v>
      </c>
      <c r="M3599" s="223"/>
      <c r="N3599" s="223"/>
      <c r="O3599" s="61"/>
      <c r="P3599" s="69" t="str">
        <f t="shared" si="219"/>
        <v>Beban Akomodasi</v>
      </c>
      <c r="Q3599" s="61"/>
    </row>
    <row r="3600" spans="1:17" hidden="1" x14ac:dyDescent="0.25">
      <c r="A3600" s="60" t="str">
        <f t="shared" si="217"/>
        <v>89220,03</v>
      </c>
      <c r="B3600" s="60">
        <f>COUNTIF($J$7:J3600,J3600)</f>
        <v>89</v>
      </c>
      <c r="C3600" s="60" t="str">
        <f t="shared" si="218"/>
        <v>0</v>
      </c>
      <c r="D3600" s="60">
        <f>COUNTIF($K$7:K3600,K3600)</f>
        <v>0</v>
      </c>
      <c r="E3600" s="61"/>
      <c r="F3600" s="232">
        <v>44634</v>
      </c>
      <c r="G3600" s="232"/>
      <c r="H3600" s="61" t="s">
        <v>1991</v>
      </c>
      <c r="I3600" s="63" t="s">
        <v>1994</v>
      </c>
      <c r="J3600" s="64">
        <v>220.03</v>
      </c>
      <c r="K3600" s="65"/>
      <c r="L3600" s="223"/>
      <c r="M3600" s="223">
        <v>183500</v>
      </c>
      <c r="N3600" s="223"/>
      <c r="O3600" s="61"/>
      <c r="P3600" s="69" t="str">
        <f t="shared" si="219"/>
        <v>Hutang BIaya</v>
      </c>
      <c r="Q3600" s="61"/>
    </row>
    <row r="3601" spans="1:17" hidden="1" x14ac:dyDescent="0.25">
      <c r="A3601" s="60" t="str">
        <f t="shared" si="217"/>
        <v>89119</v>
      </c>
      <c r="B3601" s="60">
        <f>COUNTIF($J$7:J3601,J3601)</f>
        <v>89</v>
      </c>
      <c r="C3601" s="60" t="str">
        <f t="shared" si="218"/>
        <v>6119,07</v>
      </c>
      <c r="D3601" s="60">
        <f>COUNTIF($K$7:K3601,K3601)</f>
        <v>6</v>
      </c>
      <c r="E3601" s="61"/>
      <c r="F3601" s="232">
        <v>44634</v>
      </c>
      <c r="G3601" s="232"/>
      <c r="H3601" s="61" t="s">
        <v>1991</v>
      </c>
      <c r="I3601" s="63" t="s">
        <v>1995</v>
      </c>
      <c r="J3601" s="64">
        <v>119</v>
      </c>
      <c r="K3601" s="80">
        <v>119.07</v>
      </c>
      <c r="L3601" s="223"/>
      <c r="M3601" s="223">
        <v>2100000</v>
      </c>
      <c r="N3601" s="223"/>
      <c r="O3601" s="61"/>
      <c r="P3601" s="69" t="str">
        <f t="shared" si="219"/>
        <v>Uang Muka Biaya Pengiriman dan Perjalanan Dinas Marketing</v>
      </c>
      <c r="Q3601" s="61"/>
    </row>
    <row r="3602" spans="1:17" hidden="1" x14ac:dyDescent="0.25">
      <c r="A3602" s="60" t="str">
        <f t="shared" si="217"/>
        <v>90119</v>
      </c>
      <c r="B3602" s="60">
        <f>COUNTIF($J$7:J3602,J3602)</f>
        <v>90</v>
      </c>
      <c r="C3602" s="60" t="str">
        <f t="shared" si="218"/>
        <v>4119,03</v>
      </c>
      <c r="D3602" s="60">
        <f>COUNTIF($K$7:K3602,K3602)</f>
        <v>4</v>
      </c>
      <c r="E3602" s="61"/>
      <c r="F3602" s="232">
        <v>44651</v>
      </c>
      <c r="G3602" s="232"/>
      <c r="H3602" s="61" t="s">
        <v>764</v>
      </c>
      <c r="I3602" s="63" t="s">
        <v>1996</v>
      </c>
      <c r="J3602" s="64">
        <v>119</v>
      </c>
      <c r="K3602" s="80">
        <v>119.03</v>
      </c>
      <c r="L3602" s="223"/>
      <c r="M3602" s="223">
        <v>1000000</v>
      </c>
      <c r="N3602" s="223"/>
      <c r="O3602" s="61"/>
      <c r="P3602" s="69" t="str">
        <f t="shared" si="219"/>
        <v>Uang Muka Biaya Pengiriman dan Perjalanan Dinas Marketing</v>
      </c>
      <c r="Q3602" s="61"/>
    </row>
    <row r="3603" spans="1:17" hidden="1" x14ac:dyDescent="0.25">
      <c r="A3603" s="60" t="str">
        <f t="shared" si="217"/>
        <v>217511,05</v>
      </c>
      <c r="B3603" s="60">
        <f>COUNTIF($J$7:J3603,J3603)</f>
        <v>217</v>
      </c>
      <c r="C3603" s="60" t="str">
        <f t="shared" si="218"/>
        <v>0</v>
      </c>
      <c r="D3603" s="60">
        <f>COUNTIF($K$7:K3603,K3603)</f>
        <v>0</v>
      </c>
      <c r="E3603" s="61"/>
      <c r="F3603" s="239">
        <v>44628</v>
      </c>
      <c r="G3603" s="232"/>
      <c r="H3603" s="61" t="s">
        <v>764</v>
      </c>
      <c r="I3603" s="243" t="s">
        <v>1997</v>
      </c>
      <c r="J3603" s="61">
        <v>511.05</v>
      </c>
      <c r="K3603" s="80"/>
      <c r="L3603" s="257">
        <v>20000</v>
      </c>
      <c r="M3603" s="223"/>
      <c r="N3603" s="223"/>
      <c r="O3603" s="61"/>
      <c r="P3603" s="69" t="str">
        <f t="shared" si="219"/>
        <v>Biaya Transport Pengiriman Bensin, Parkir, Tol</v>
      </c>
      <c r="Q3603" s="61"/>
    </row>
    <row r="3604" spans="1:17" hidden="1" x14ac:dyDescent="0.25">
      <c r="A3604" s="60" t="str">
        <f t="shared" si="217"/>
        <v>218511,05</v>
      </c>
      <c r="B3604" s="60">
        <f>COUNTIF($J$7:J3604,J3604)</f>
        <v>218</v>
      </c>
      <c r="C3604" s="60" t="str">
        <f t="shared" si="218"/>
        <v>0</v>
      </c>
      <c r="D3604" s="60">
        <f>COUNTIF($K$7:K3604,K3604)</f>
        <v>0</v>
      </c>
      <c r="E3604" s="61"/>
      <c r="F3604" s="239">
        <v>44627</v>
      </c>
      <c r="G3604" s="232"/>
      <c r="H3604" s="61" t="s">
        <v>764</v>
      </c>
      <c r="I3604" s="243" t="s">
        <v>1998</v>
      </c>
      <c r="J3604" s="61">
        <v>511.05</v>
      </c>
      <c r="K3604" s="80"/>
      <c r="L3604" s="257">
        <v>20000</v>
      </c>
      <c r="M3604" s="223"/>
      <c r="N3604" s="223"/>
      <c r="O3604" s="61"/>
      <c r="P3604" s="69" t="str">
        <f t="shared" si="219"/>
        <v>Biaya Transport Pengiriman Bensin, Parkir, Tol</v>
      </c>
      <c r="Q3604" s="61"/>
    </row>
    <row r="3605" spans="1:17" hidden="1" x14ac:dyDescent="0.25">
      <c r="A3605" s="60" t="str">
        <f t="shared" si="217"/>
        <v>219511,05</v>
      </c>
      <c r="B3605" s="60">
        <f>COUNTIF($J$7:J3605,J3605)</f>
        <v>219</v>
      </c>
      <c r="C3605" s="60" t="str">
        <f t="shared" si="218"/>
        <v>0</v>
      </c>
      <c r="D3605" s="60">
        <f>COUNTIF($K$7:K3605,K3605)</f>
        <v>0</v>
      </c>
      <c r="E3605" s="61"/>
      <c r="F3605" s="239">
        <v>44622</v>
      </c>
      <c r="G3605" s="232"/>
      <c r="H3605" s="61" t="s">
        <v>764</v>
      </c>
      <c r="I3605" s="243" t="s">
        <v>1999</v>
      </c>
      <c r="J3605" s="61">
        <v>511.05</v>
      </c>
      <c r="K3605" s="80"/>
      <c r="L3605" s="257">
        <v>200000</v>
      </c>
      <c r="M3605" s="223"/>
      <c r="N3605" s="223"/>
      <c r="O3605" s="61"/>
      <c r="P3605" s="69" t="str">
        <f t="shared" si="219"/>
        <v>Biaya Transport Pengiriman Bensin, Parkir, Tol</v>
      </c>
      <c r="Q3605" s="61"/>
    </row>
    <row r="3606" spans="1:17" hidden="1" x14ac:dyDescent="0.25">
      <c r="A3606" s="60" t="str">
        <f t="shared" si="217"/>
        <v>220511,05</v>
      </c>
      <c r="B3606" s="60">
        <f>COUNTIF($J$7:J3606,J3606)</f>
        <v>220</v>
      </c>
      <c r="C3606" s="60" t="str">
        <f t="shared" si="218"/>
        <v>0</v>
      </c>
      <c r="D3606" s="60">
        <f>COUNTIF($K$7:K3606,K3606)</f>
        <v>0</v>
      </c>
      <c r="E3606" s="61"/>
      <c r="F3606" s="239">
        <v>44635</v>
      </c>
      <c r="G3606" s="232"/>
      <c r="H3606" s="61" t="s">
        <v>764</v>
      </c>
      <c r="I3606" s="243" t="s">
        <v>2000</v>
      </c>
      <c r="J3606" s="61">
        <v>511.05</v>
      </c>
      <c r="K3606" s="80"/>
      <c r="L3606" s="257">
        <v>20000</v>
      </c>
      <c r="M3606" s="223"/>
      <c r="N3606" s="223"/>
      <c r="O3606" s="61"/>
      <c r="P3606" s="69" t="str">
        <f t="shared" si="219"/>
        <v>Biaya Transport Pengiriman Bensin, Parkir, Tol</v>
      </c>
      <c r="Q3606" s="61"/>
    </row>
    <row r="3607" spans="1:17" hidden="1" x14ac:dyDescent="0.25">
      <c r="A3607" s="60" t="str">
        <f t="shared" si="217"/>
        <v>221511,05</v>
      </c>
      <c r="B3607" s="60">
        <f>COUNTIF($J$7:J3607,J3607)</f>
        <v>221</v>
      </c>
      <c r="C3607" s="60" t="str">
        <f t="shared" si="218"/>
        <v>0</v>
      </c>
      <c r="D3607" s="60">
        <f>COUNTIF($K$7:K3607,K3607)</f>
        <v>0</v>
      </c>
      <c r="E3607" s="61"/>
      <c r="F3607" s="239">
        <v>44629</v>
      </c>
      <c r="G3607" s="232"/>
      <c r="H3607" s="61" t="s">
        <v>764</v>
      </c>
      <c r="I3607" s="243" t="s">
        <v>2001</v>
      </c>
      <c r="J3607" s="61">
        <v>511.05</v>
      </c>
      <c r="K3607" s="80"/>
      <c r="L3607" s="257">
        <v>200000</v>
      </c>
      <c r="M3607" s="223"/>
      <c r="N3607" s="223"/>
      <c r="O3607" s="61"/>
      <c r="P3607" s="69" t="str">
        <f t="shared" si="219"/>
        <v>Biaya Transport Pengiriman Bensin, Parkir, Tol</v>
      </c>
      <c r="Q3607" s="61"/>
    </row>
    <row r="3608" spans="1:17" hidden="1" x14ac:dyDescent="0.25">
      <c r="A3608" s="60" t="str">
        <f t="shared" si="217"/>
        <v>222511,05</v>
      </c>
      <c r="B3608" s="60">
        <f>COUNTIF($J$7:J3608,J3608)</f>
        <v>222</v>
      </c>
      <c r="C3608" s="60" t="str">
        <f t="shared" si="218"/>
        <v>0</v>
      </c>
      <c r="D3608" s="60">
        <f>COUNTIF($K$7:K3608,K3608)</f>
        <v>0</v>
      </c>
      <c r="E3608" s="61"/>
      <c r="F3608" s="239">
        <v>44624</v>
      </c>
      <c r="G3608" s="232"/>
      <c r="H3608" s="61" t="s">
        <v>764</v>
      </c>
      <c r="I3608" s="243" t="s">
        <v>2002</v>
      </c>
      <c r="J3608" s="61">
        <v>511.05</v>
      </c>
      <c r="K3608" s="80"/>
      <c r="L3608" s="257">
        <v>20000</v>
      </c>
      <c r="M3608" s="223"/>
      <c r="N3608" s="223"/>
      <c r="O3608" s="61"/>
      <c r="P3608" s="69" t="str">
        <f t="shared" si="219"/>
        <v>Biaya Transport Pengiriman Bensin, Parkir, Tol</v>
      </c>
      <c r="Q3608" s="61"/>
    </row>
    <row r="3609" spans="1:17" hidden="1" x14ac:dyDescent="0.25">
      <c r="A3609" s="60" t="str">
        <f t="shared" si="217"/>
        <v>223511,05</v>
      </c>
      <c r="B3609" s="60">
        <f>COUNTIF($J$7:J3609,J3609)</f>
        <v>223</v>
      </c>
      <c r="C3609" s="60" t="str">
        <f t="shared" si="218"/>
        <v>0</v>
      </c>
      <c r="D3609" s="60">
        <f>COUNTIF($K$7:K3609,K3609)</f>
        <v>0</v>
      </c>
      <c r="E3609" s="61"/>
      <c r="F3609" s="239">
        <v>44638</v>
      </c>
      <c r="G3609" s="232"/>
      <c r="H3609" s="61" t="s">
        <v>764</v>
      </c>
      <c r="I3609" s="243" t="s">
        <v>2003</v>
      </c>
      <c r="J3609" s="61">
        <v>511.05</v>
      </c>
      <c r="K3609" s="80"/>
      <c r="L3609" s="257">
        <v>20000</v>
      </c>
      <c r="M3609" s="223"/>
      <c r="N3609" s="223"/>
      <c r="O3609" s="61"/>
      <c r="P3609" s="69" t="str">
        <f t="shared" si="219"/>
        <v>Biaya Transport Pengiriman Bensin, Parkir, Tol</v>
      </c>
      <c r="Q3609" s="61"/>
    </row>
    <row r="3610" spans="1:17" hidden="1" x14ac:dyDescent="0.25">
      <c r="A3610" s="60" t="str">
        <f t="shared" si="217"/>
        <v>2610,14</v>
      </c>
      <c r="B3610" s="60">
        <f>COUNTIF($J$7:J3610,J3610)</f>
        <v>2</v>
      </c>
      <c r="C3610" s="60" t="str">
        <f t="shared" si="218"/>
        <v>0</v>
      </c>
      <c r="D3610" s="60">
        <f>COUNTIF($K$7:K3610,K3610)</f>
        <v>0</v>
      </c>
      <c r="E3610" s="61"/>
      <c r="F3610" s="239">
        <v>44629</v>
      </c>
      <c r="G3610" s="232"/>
      <c r="H3610" s="61" t="s">
        <v>764</v>
      </c>
      <c r="I3610" s="243" t="s">
        <v>2004</v>
      </c>
      <c r="J3610" s="301">
        <v>610.14</v>
      </c>
      <c r="K3610" s="80"/>
      <c r="L3610" s="257">
        <v>16000</v>
      </c>
      <c r="M3610" s="223"/>
      <c r="N3610" s="223"/>
      <c r="O3610" s="61"/>
      <c r="P3610" s="69" t="str">
        <f t="shared" si="219"/>
        <v>Biaya Pemeliharaan Kendaraan</v>
      </c>
      <c r="Q3610" s="61"/>
    </row>
    <row r="3611" spans="1:17" hidden="1" x14ac:dyDescent="0.25">
      <c r="A3611" s="60" t="str">
        <f t="shared" si="217"/>
        <v>224511,05</v>
      </c>
      <c r="B3611" s="60">
        <f>COUNTIF($J$7:J3611,J3611)</f>
        <v>224</v>
      </c>
      <c r="C3611" s="60" t="str">
        <f t="shared" si="218"/>
        <v>0</v>
      </c>
      <c r="D3611" s="60">
        <f>COUNTIF($K$7:K3611,K3611)</f>
        <v>0</v>
      </c>
      <c r="E3611" s="61"/>
      <c r="F3611" s="239">
        <v>44622</v>
      </c>
      <c r="G3611" s="232"/>
      <c r="H3611" s="61" t="s">
        <v>764</v>
      </c>
      <c r="I3611" s="243" t="s">
        <v>2005</v>
      </c>
      <c r="J3611" s="61">
        <v>511.05</v>
      </c>
      <c r="K3611" s="80"/>
      <c r="L3611" s="257">
        <v>5000</v>
      </c>
      <c r="M3611" s="223"/>
      <c r="N3611" s="223"/>
      <c r="O3611" s="61"/>
      <c r="P3611" s="69" t="str">
        <f t="shared" si="219"/>
        <v>Biaya Transport Pengiriman Bensin, Parkir, Tol</v>
      </c>
      <c r="Q3611" s="61"/>
    </row>
    <row r="3612" spans="1:17" hidden="1" x14ac:dyDescent="0.25">
      <c r="A3612" s="60" t="str">
        <f t="shared" si="217"/>
        <v>225511,05</v>
      </c>
      <c r="B3612" s="60">
        <f>COUNTIF($J$7:J3612,J3612)</f>
        <v>225</v>
      </c>
      <c r="C3612" s="60" t="str">
        <f t="shared" si="218"/>
        <v>0</v>
      </c>
      <c r="D3612" s="60">
        <f>COUNTIF($K$7:K3612,K3612)</f>
        <v>0</v>
      </c>
      <c r="E3612" s="61"/>
      <c r="F3612" s="239">
        <v>44637</v>
      </c>
      <c r="G3612" s="232"/>
      <c r="H3612" s="61" t="s">
        <v>764</v>
      </c>
      <c r="I3612" s="243" t="s">
        <v>2006</v>
      </c>
      <c r="J3612" s="61">
        <v>511.05</v>
      </c>
      <c r="K3612" s="80"/>
      <c r="L3612" s="257">
        <v>5000</v>
      </c>
      <c r="M3612" s="223"/>
      <c r="N3612" s="223"/>
      <c r="O3612" s="61"/>
      <c r="P3612" s="69" t="str">
        <f t="shared" si="219"/>
        <v>Biaya Transport Pengiriman Bensin, Parkir, Tol</v>
      </c>
      <c r="Q3612" s="61"/>
    </row>
    <row r="3613" spans="1:17" hidden="1" x14ac:dyDescent="0.25">
      <c r="A3613" s="60" t="str">
        <f t="shared" si="217"/>
        <v>91511,03</v>
      </c>
      <c r="B3613" s="60">
        <f>COUNTIF($J$7:J3613,J3613)</f>
        <v>91</v>
      </c>
      <c r="C3613" s="60" t="str">
        <f t="shared" si="218"/>
        <v>0</v>
      </c>
      <c r="D3613" s="60">
        <f>COUNTIF($K$7:K3613,K3613)</f>
        <v>0</v>
      </c>
      <c r="E3613" s="61"/>
      <c r="F3613" s="220">
        <v>44643</v>
      </c>
      <c r="G3613" s="232"/>
      <c r="H3613" s="61" t="s">
        <v>764</v>
      </c>
      <c r="I3613" s="81" t="s">
        <v>2007</v>
      </c>
      <c r="J3613" s="64">
        <v>511.03</v>
      </c>
      <c r="K3613" s="80"/>
      <c r="L3613" s="308">
        <v>90000</v>
      </c>
      <c r="M3613" s="223"/>
      <c r="N3613" s="223"/>
      <c r="O3613" s="61"/>
      <c r="P3613" s="69" t="str">
        <f t="shared" si="219"/>
        <v>Biaya Pengiriman Barang Ekspedisi</v>
      </c>
      <c r="Q3613" s="61"/>
    </row>
    <row r="3614" spans="1:17" hidden="1" x14ac:dyDescent="0.25">
      <c r="A3614" s="60" t="str">
        <f t="shared" si="217"/>
        <v>92511,03</v>
      </c>
      <c r="B3614" s="60">
        <f>COUNTIF($J$7:J3614,J3614)</f>
        <v>92</v>
      </c>
      <c r="C3614" s="60" t="str">
        <f t="shared" si="218"/>
        <v>0</v>
      </c>
      <c r="D3614" s="60">
        <f>COUNTIF($K$7:K3614,K3614)</f>
        <v>0</v>
      </c>
      <c r="E3614" s="61"/>
      <c r="F3614" s="239">
        <v>44634</v>
      </c>
      <c r="G3614" s="232"/>
      <c r="H3614" s="61" t="s">
        <v>764</v>
      </c>
      <c r="I3614" s="243" t="s">
        <v>2008</v>
      </c>
      <c r="J3614" s="64">
        <v>511.03</v>
      </c>
      <c r="K3614" s="80"/>
      <c r="L3614" s="257">
        <v>78000</v>
      </c>
      <c r="M3614" s="223"/>
      <c r="N3614" s="223"/>
      <c r="O3614" s="61"/>
      <c r="P3614" s="69" t="str">
        <f t="shared" si="219"/>
        <v>Biaya Pengiriman Barang Ekspedisi</v>
      </c>
      <c r="Q3614" s="61"/>
    </row>
    <row r="3615" spans="1:17" hidden="1" x14ac:dyDescent="0.25">
      <c r="A3615" s="60" t="str">
        <f t="shared" si="217"/>
        <v>93511,03</v>
      </c>
      <c r="B3615" s="60">
        <f>COUNTIF($J$7:J3615,J3615)</f>
        <v>93</v>
      </c>
      <c r="C3615" s="60" t="str">
        <f t="shared" si="218"/>
        <v>0</v>
      </c>
      <c r="D3615" s="60">
        <f>COUNTIF($K$7:K3615,K3615)</f>
        <v>0</v>
      </c>
      <c r="E3615" s="61"/>
      <c r="F3615" s="239">
        <v>44628</v>
      </c>
      <c r="G3615" s="232"/>
      <c r="H3615" s="61" t="s">
        <v>764</v>
      </c>
      <c r="I3615" s="243" t="s">
        <v>2009</v>
      </c>
      <c r="J3615" s="64">
        <v>511.03</v>
      </c>
      <c r="K3615" s="80"/>
      <c r="L3615" s="257">
        <v>120000</v>
      </c>
      <c r="M3615" s="223"/>
      <c r="N3615" s="223"/>
      <c r="O3615" s="61"/>
      <c r="P3615" s="69" t="str">
        <f t="shared" si="219"/>
        <v>Biaya Pengiriman Barang Ekspedisi</v>
      </c>
      <c r="Q3615" s="61"/>
    </row>
    <row r="3616" spans="1:17" hidden="1" x14ac:dyDescent="0.25">
      <c r="A3616" s="60" t="str">
        <f t="shared" si="217"/>
        <v>94511,03</v>
      </c>
      <c r="B3616" s="60">
        <f>COUNTIF($J$7:J3616,J3616)</f>
        <v>94</v>
      </c>
      <c r="C3616" s="60" t="str">
        <f t="shared" si="218"/>
        <v>0</v>
      </c>
      <c r="D3616" s="60">
        <f>COUNTIF($K$7:K3616,K3616)</f>
        <v>0</v>
      </c>
      <c r="E3616" s="61"/>
      <c r="F3616" s="239">
        <v>44622</v>
      </c>
      <c r="G3616" s="232"/>
      <c r="H3616" s="61" t="s">
        <v>764</v>
      </c>
      <c r="I3616" s="243" t="s">
        <v>2010</v>
      </c>
      <c r="J3616" s="64">
        <v>511.03</v>
      </c>
      <c r="K3616" s="80"/>
      <c r="L3616" s="257">
        <v>155100</v>
      </c>
      <c r="M3616" s="223"/>
      <c r="N3616" s="223"/>
      <c r="O3616" s="61"/>
      <c r="P3616" s="69" t="str">
        <f t="shared" si="219"/>
        <v>Biaya Pengiriman Barang Ekspedisi</v>
      </c>
      <c r="Q3616" s="61"/>
    </row>
    <row r="3617" spans="1:17" hidden="1" x14ac:dyDescent="0.25">
      <c r="A3617" s="60" t="str">
        <f t="shared" si="217"/>
        <v>91119</v>
      </c>
      <c r="B3617" s="60">
        <f>COUNTIF($J$7:J3617,J3617)</f>
        <v>91</v>
      </c>
      <c r="C3617" s="60" t="str">
        <f t="shared" si="218"/>
        <v>5119,03</v>
      </c>
      <c r="D3617" s="60">
        <f>COUNTIF($K$7:K3617,K3617)</f>
        <v>5</v>
      </c>
      <c r="E3617" s="61"/>
      <c r="F3617" s="232">
        <v>44651</v>
      </c>
      <c r="G3617" s="232"/>
      <c r="H3617" s="61" t="s">
        <v>764</v>
      </c>
      <c r="I3617" s="63" t="s">
        <v>2011</v>
      </c>
      <c r="J3617" s="64">
        <v>119</v>
      </c>
      <c r="K3617" s="80">
        <v>119.03</v>
      </c>
      <c r="L3617" s="223">
        <v>30900</v>
      </c>
      <c r="M3617" s="223"/>
      <c r="N3617" s="223"/>
      <c r="O3617" s="61"/>
      <c r="P3617" s="69" t="str">
        <f t="shared" si="219"/>
        <v>Uang Muka Biaya Pengiriman dan Perjalanan Dinas Marketing</v>
      </c>
      <c r="Q3617" s="61"/>
    </row>
    <row r="3618" spans="1:17" hidden="1" x14ac:dyDescent="0.25">
      <c r="A3618" s="60" t="str">
        <f t="shared" si="217"/>
        <v>113511,04</v>
      </c>
      <c r="B3618" s="60">
        <f>COUNTIF($J$7:J3618,J3618)</f>
        <v>113</v>
      </c>
      <c r="C3618" s="60" t="str">
        <f t="shared" si="218"/>
        <v>0</v>
      </c>
      <c r="D3618" s="60">
        <f>COUNTIF($K$7:K3618,K3618)</f>
        <v>0</v>
      </c>
      <c r="E3618" s="61"/>
      <c r="F3618" s="239">
        <v>44643</v>
      </c>
      <c r="G3618" s="232"/>
      <c r="H3618" s="61" t="s">
        <v>645</v>
      </c>
      <c r="I3618" s="240" t="s">
        <v>2012</v>
      </c>
      <c r="J3618" s="61">
        <v>511.04</v>
      </c>
      <c r="K3618" s="80"/>
      <c r="L3618" s="309">
        <v>245000</v>
      </c>
      <c r="M3618" s="223"/>
      <c r="N3618" s="223"/>
      <c r="O3618" s="61"/>
      <c r="P3618" s="69" t="str">
        <f t="shared" si="219"/>
        <v>Biaya pengiriman Via Online (Gojek,Grab), Kuli</v>
      </c>
      <c r="Q3618" s="61"/>
    </row>
    <row r="3619" spans="1:17" hidden="1" x14ac:dyDescent="0.25">
      <c r="A3619" s="60" t="str">
        <f t="shared" si="217"/>
        <v>226511,05</v>
      </c>
      <c r="B3619" s="60">
        <f>COUNTIF($J$7:J3619,J3619)</f>
        <v>226</v>
      </c>
      <c r="C3619" s="60" t="str">
        <f t="shared" si="218"/>
        <v>0</v>
      </c>
      <c r="D3619" s="60">
        <f>COUNTIF($K$7:K3619,K3619)</f>
        <v>0</v>
      </c>
      <c r="E3619" s="61"/>
      <c r="F3619" s="239">
        <v>44643</v>
      </c>
      <c r="G3619" s="232"/>
      <c r="H3619" s="61" t="s">
        <v>645</v>
      </c>
      <c r="I3619" s="240" t="s">
        <v>2013</v>
      </c>
      <c r="J3619" s="61">
        <v>511.05</v>
      </c>
      <c r="K3619" s="80"/>
      <c r="L3619" s="309">
        <v>24000</v>
      </c>
      <c r="M3619" s="223"/>
      <c r="N3619" s="223"/>
      <c r="O3619" s="61"/>
      <c r="P3619" s="69" t="str">
        <f t="shared" si="219"/>
        <v>Biaya Transport Pengiriman Bensin, Parkir, Tol</v>
      </c>
      <c r="Q3619" s="61"/>
    </row>
    <row r="3620" spans="1:17" hidden="1" x14ac:dyDescent="0.25">
      <c r="A3620" s="60" t="str">
        <f t="shared" si="217"/>
        <v>227511,05</v>
      </c>
      <c r="B3620" s="60">
        <f>COUNTIF($J$7:J3620,J3620)</f>
        <v>227</v>
      </c>
      <c r="C3620" s="60" t="str">
        <f t="shared" si="218"/>
        <v>0</v>
      </c>
      <c r="D3620" s="60">
        <f>COUNTIF($K$7:K3620,K3620)</f>
        <v>0</v>
      </c>
      <c r="E3620" s="61"/>
      <c r="F3620" s="239">
        <v>44643</v>
      </c>
      <c r="G3620" s="232"/>
      <c r="H3620" s="61" t="s">
        <v>645</v>
      </c>
      <c r="I3620" s="240" t="s">
        <v>2014</v>
      </c>
      <c r="J3620" s="61">
        <v>511.05</v>
      </c>
      <c r="K3620" s="80"/>
      <c r="L3620" s="309">
        <v>10500</v>
      </c>
      <c r="M3620" s="223"/>
      <c r="N3620" s="223"/>
      <c r="O3620" s="61"/>
      <c r="P3620" s="69" t="str">
        <f t="shared" si="219"/>
        <v>Biaya Transport Pengiriman Bensin, Parkir, Tol</v>
      </c>
      <c r="Q3620" s="61"/>
    </row>
    <row r="3621" spans="1:17" hidden="1" x14ac:dyDescent="0.25">
      <c r="A3621" s="60" t="str">
        <f t="shared" si="217"/>
        <v>228511,05</v>
      </c>
      <c r="B3621" s="60">
        <f>COUNTIF($J$7:J3621,J3621)</f>
        <v>228</v>
      </c>
      <c r="C3621" s="60" t="str">
        <f t="shared" si="218"/>
        <v>0</v>
      </c>
      <c r="D3621" s="60">
        <f>COUNTIF($K$7:K3621,K3621)</f>
        <v>0</v>
      </c>
      <c r="E3621" s="61"/>
      <c r="F3621" s="239">
        <v>44643</v>
      </c>
      <c r="G3621" s="232"/>
      <c r="H3621" s="61" t="s">
        <v>645</v>
      </c>
      <c r="I3621" s="240" t="s">
        <v>2015</v>
      </c>
      <c r="J3621" s="61">
        <v>511.05</v>
      </c>
      <c r="K3621" s="80"/>
      <c r="L3621" s="309">
        <v>8000</v>
      </c>
      <c r="M3621" s="223"/>
      <c r="N3621" s="223"/>
      <c r="O3621" s="61"/>
      <c r="P3621" s="69" t="str">
        <f t="shared" si="219"/>
        <v>Biaya Transport Pengiriman Bensin, Parkir, Tol</v>
      </c>
      <c r="Q3621" s="61"/>
    </row>
    <row r="3622" spans="1:17" hidden="1" x14ac:dyDescent="0.25">
      <c r="A3622" s="60" t="str">
        <f t="shared" si="217"/>
        <v>229511,05</v>
      </c>
      <c r="B3622" s="60">
        <f>COUNTIF($J$7:J3622,J3622)</f>
        <v>229</v>
      </c>
      <c r="C3622" s="60" t="str">
        <f t="shared" si="218"/>
        <v>0</v>
      </c>
      <c r="D3622" s="60">
        <f>COUNTIF($K$7:K3622,K3622)</f>
        <v>0</v>
      </c>
      <c r="E3622" s="61"/>
      <c r="F3622" s="239">
        <v>44643</v>
      </c>
      <c r="G3622" s="232"/>
      <c r="H3622" s="61" t="s">
        <v>645</v>
      </c>
      <c r="I3622" s="240" t="s">
        <v>2016</v>
      </c>
      <c r="J3622" s="61">
        <v>511.05</v>
      </c>
      <c r="K3622" s="80"/>
      <c r="L3622" s="309">
        <v>5000</v>
      </c>
      <c r="M3622" s="223"/>
      <c r="N3622" s="223"/>
      <c r="O3622" s="61"/>
      <c r="P3622" s="69" t="str">
        <f t="shared" si="219"/>
        <v>Biaya Transport Pengiriman Bensin, Parkir, Tol</v>
      </c>
      <c r="Q3622" s="61"/>
    </row>
    <row r="3623" spans="1:17" hidden="1" x14ac:dyDescent="0.25">
      <c r="A3623" s="60" t="str">
        <f t="shared" si="217"/>
        <v>114511,04</v>
      </c>
      <c r="B3623" s="60">
        <f>COUNTIF($J$7:J3623,J3623)</f>
        <v>114</v>
      </c>
      <c r="C3623" s="60" t="str">
        <f t="shared" si="218"/>
        <v>0</v>
      </c>
      <c r="D3623" s="60">
        <f>COUNTIF($K$7:K3623,K3623)</f>
        <v>0</v>
      </c>
      <c r="E3623" s="61"/>
      <c r="F3623" s="239">
        <v>44643</v>
      </c>
      <c r="G3623" s="232"/>
      <c r="H3623" s="61" t="s">
        <v>645</v>
      </c>
      <c r="I3623" s="240" t="s">
        <v>2017</v>
      </c>
      <c r="J3623" s="61">
        <v>511.04</v>
      </c>
      <c r="K3623" s="80"/>
      <c r="L3623" s="309">
        <v>20000</v>
      </c>
      <c r="M3623" s="223"/>
      <c r="N3623" s="223"/>
      <c r="O3623" s="61"/>
      <c r="P3623" s="69" t="str">
        <f t="shared" si="219"/>
        <v>Biaya pengiriman Via Online (Gojek,Grab), Kuli</v>
      </c>
      <c r="Q3623" s="61"/>
    </row>
    <row r="3624" spans="1:17" hidden="1" x14ac:dyDescent="0.25">
      <c r="A3624" s="60" t="str">
        <f t="shared" si="217"/>
        <v>115511,04</v>
      </c>
      <c r="B3624" s="60">
        <f>COUNTIF($J$7:J3624,J3624)</f>
        <v>115</v>
      </c>
      <c r="C3624" s="60" t="str">
        <f t="shared" si="218"/>
        <v>0</v>
      </c>
      <c r="D3624" s="60">
        <f>COUNTIF($K$7:K3624,K3624)</f>
        <v>0</v>
      </c>
      <c r="E3624" s="61"/>
      <c r="F3624" s="239">
        <v>44644</v>
      </c>
      <c r="G3624" s="232"/>
      <c r="H3624" s="61" t="s">
        <v>645</v>
      </c>
      <c r="I3624" s="240" t="s">
        <v>2018</v>
      </c>
      <c r="J3624" s="61">
        <v>511.04</v>
      </c>
      <c r="K3624" s="80"/>
      <c r="L3624" s="309">
        <v>312000</v>
      </c>
      <c r="M3624" s="223"/>
      <c r="N3624" s="223"/>
      <c r="O3624" s="61"/>
      <c r="P3624" s="69" t="str">
        <f t="shared" si="219"/>
        <v>Biaya pengiriman Via Online (Gojek,Grab), Kuli</v>
      </c>
      <c r="Q3624" s="61"/>
    </row>
    <row r="3625" spans="1:17" hidden="1" x14ac:dyDescent="0.25">
      <c r="A3625" s="60" t="str">
        <f t="shared" si="217"/>
        <v>230511,05</v>
      </c>
      <c r="B3625" s="60">
        <f>COUNTIF($J$7:J3625,J3625)</f>
        <v>230</v>
      </c>
      <c r="C3625" s="60" t="str">
        <f t="shared" si="218"/>
        <v>0</v>
      </c>
      <c r="D3625" s="60">
        <f>COUNTIF($K$7:K3625,K3625)</f>
        <v>0</v>
      </c>
      <c r="E3625" s="61"/>
      <c r="F3625" s="239">
        <v>44644</v>
      </c>
      <c r="G3625" s="232"/>
      <c r="H3625" s="61" t="s">
        <v>645</v>
      </c>
      <c r="I3625" s="240" t="s">
        <v>2019</v>
      </c>
      <c r="J3625" s="61">
        <v>511.05</v>
      </c>
      <c r="K3625" s="80"/>
      <c r="L3625" s="309">
        <v>8000</v>
      </c>
      <c r="M3625" s="223"/>
      <c r="N3625" s="223"/>
      <c r="O3625" s="61"/>
      <c r="P3625" s="69" t="str">
        <f t="shared" si="219"/>
        <v>Biaya Transport Pengiriman Bensin, Parkir, Tol</v>
      </c>
      <c r="Q3625" s="61"/>
    </row>
    <row r="3626" spans="1:17" hidden="1" x14ac:dyDescent="0.25">
      <c r="A3626" s="60" t="str">
        <f t="shared" si="217"/>
        <v>231511,05</v>
      </c>
      <c r="B3626" s="60">
        <f>COUNTIF($J$7:J3626,J3626)</f>
        <v>231</v>
      </c>
      <c r="C3626" s="60" t="str">
        <f t="shared" si="218"/>
        <v>0</v>
      </c>
      <c r="D3626" s="60">
        <f>COUNTIF($K$7:K3626,K3626)</f>
        <v>0</v>
      </c>
      <c r="E3626" s="61"/>
      <c r="F3626" s="239">
        <v>44644</v>
      </c>
      <c r="G3626" s="232"/>
      <c r="H3626" s="61" t="s">
        <v>645</v>
      </c>
      <c r="I3626" s="240" t="s">
        <v>2020</v>
      </c>
      <c r="J3626" s="61">
        <v>511.05</v>
      </c>
      <c r="K3626" s="80"/>
      <c r="L3626" s="309">
        <v>31000</v>
      </c>
      <c r="M3626" s="223"/>
      <c r="N3626" s="223"/>
      <c r="O3626" s="61"/>
      <c r="P3626" s="69" t="str">
        <f t="shared" si="219"/>
        <v>Biaya Transport Pengiriman Bensin, Parkir, Tol</v>
      </c>
      <c r="Q3626" s="61"/>
    </row>
    <row r="3627" spans="1:17" hidden="1" x14ac:dyDescent="0.25">
      <c r="A3627" s="60" t="str">
        <f t="shared" si="217"/>
        <v>232511,05</v>
      </c>
      <c r="B3627" s="60">
        <f>COUNTIF($J$7:J3627,J3627)</f>
        <v>232</v>
      </c>
      <c r="C3627" s="60" t="str">
        <f t="shared" si="218"/>
        <v>0</v>
      </c>
      <c r="D3627" s="60">
        <f>COUNTIF($K$7:K3627,K3627)</f>
        <v>0</v>
      </c>
      <c r="E3627" s="61"/>
      <c r="F3627" s="239">
        <v>44644</v>
      </c>
      <c r="G3627" s="232"/>
      <c r="H3627" s="61" t="s">
        <v>645</v>
      </c>
      <c r="I3627" s="240" t="s">
        <v>2021</v>
      </c>
      <c r="J3627" s="61">
        <v>511.05</v>
      </c>
      <c r="K3627" s="80"/>
      <c r="L3627" s="309">
        <v>31000</v>
      </c>
      <c r="M3627" s="223"/>
      <c r="N3627" s="223"/>
      <c r="O3627" s="61"/>
      <c r="P3627" s="69" t="str">
        <f t="shared" si="219"/>
        <v>Biaya Transport Pengiriman Bensin, Parkir, Tol</v>
      </c>
      <c r="Q3627" s="61"/>
    </row>
    <row r="3628" spans="1:17" hidden="1" x14ac:dyDescent="0.25">
      <c r="A3628" s="60" t="str">
        <f t="shared" si="217"/>
        <v>233511,05</v>
      </c>
      <c r="B3628" s="60">
        <f>COUNTIF($J$7:J3628,J3628)</f>
        <v>233</v>
      </c>
      <c r="C3628" s="60" t="str">
        <f t="shared" si="218"/>
        <v>0</v>
      </c>
      <c r="D3628" s="60">
        <f>COUNTIF($K$7:K3628,K3628)</f>
        <v>0</v>
      </c>
      <c r="E3628" s="61"/>
      <c r="F3628" s="239">
        <v>44644</v>
      </c>
      <c r="G3628" s="232"/>
      <c r="H3628" s="61" t="s">
        <v>645</v>
      </c>
      <c r="I3628" s="240" t="s">
        <v>2022</v>
      </c>
      <c r="J3628" s="61">
        <v>511.05</v>
      </c>
      <c r="K3628" s="80"/>
      <c r="L3628" s="309">
        <v>8000</v>
      </c>
      <c r="M3628" s="223"/>
      <c r="N3628" s="223"/>
      <c r="O3628" s="61"/>
      <c r="P3628" s="69" t="str">
        <f t="shared" si="219"/>
        <v>Biaya Transport Pengiriman Bensin, Parkir, Tol</v>
      </c>
      <c r="Q3628" s="61"/>
    </row>
    <row r="3629" spans="1:17" hidden="1" x14ac:dyDescent="0.25">
      <c r="A3629" s="60" t="str">
        <f t="shared" si="217"/>
        <v>234511,05</v>
      </c>
      <c r="B3629" s="60">
        <f>COUNTIF($J$7:J3629,J3629)</f>
        <v>234</v>
      </c>
      <c r="C3629" s="60" t="str">
        <f t="shared" si="218"/>
        <v>0</v>
      </c>
      <c r="D3629" s="60">
        <f>COUNTIF($K$7:K3629,K3629)</f>
        <v>0</v>
      </c>
      <c r="E3629" s="61"/>
      <c r="F3629" s="239">
        <v>44644</v>
      </c>
      <c r="G3629" s="232"/>
      <c r="H3629" s="61" t="s">
        <v>645</v>
      </c>
      <c r="I3629" s="240" t="s">
        <v>2023</v>
      </c>
      <c r="J3629" s="61">
        <v>511.05</v>
      </c>
      <c r="K3629" s="80"/>
      <c r="L3629" s="309">
        <v>20000</v>
      </c>
      <c r="M3629" s="223"/>
      <c r="N3629" s="223"/>
      <c r="O3629" s="61"/>
      <c r="P3629" s="69" t="str">
        <f t="shared" si="219"/>
        <v>Biaya Transport Pengiriman Bensin, Parkir, Tol</v>
      </c>
      <c r="Q3629" s="61"/>
    </row>
    <row r="3630" spans="1:17" hidden="1" x14ac:dyDescent="0.25">
      <c r="A3630" s="60" t="str">
        <f t="shared" si="217"/>
        <v>95511,03</v>
      </c>
      <c r="B3630" s="60">
        <f>COUNTIF($J$7:J3630,J3630)</f>
        <v>95</v>
      </c>
      <c r="C3630" s="60" t="str">
        <f t="shared" si="218"/>
        <v>0</v>
      </c>
      <c r="D3630" s="60">
        <f>COUNTIF($K$7:K3630,K3630)</f>
        <v>0</v>
      </c>
      <c r="E3630" s="61"/>
      <c r="F3630" s="239">
        <v>44645</v>
      </c>
      <c r="G3630" s="232"/>
      <c r="H3630" s="61" t="s">
        <v>645</v>
      </c>
      <c r="I3630" s="240" t="s">
        <v>2024</v>
      </c>
      <c r="J3630" s="64">
        <v>511.03</v>
      </c>
      <c r="K3630" s="80"/>
      <c r="L3630" s="309">
        <v>637000</v>
      </c>
      <c r="M3630" s="223"/>
      <c r="N3630" s="223"/>
      <c r="O3630" s="61"/>
      <c r="P3630" s="69" t="str">
        <f t="shared" si="219"/>
        <v>Biaya Pengiriman Barang Ekspedisi</v>
      </c>
      <c r="Q3630" s="61"/>
    </row>
    <row r="3631" spans="1:17" hidden="1" x14ac:dyDescent="0.25">
      <c r="A3631" s="60" t="str">
        <f t="shared" si="217"/>
        <v>116511,04</v>
      </c>
      <c r="B3631" s="60">
        <f>COUNTIF($J$7:J3631,J3631)</f>
        <v>116</v>
      </c>
      <c r="C3631" s="60" t="str">
        <f t="shared" si="218"/>
        <v>0</v>
      </c>
      <c r="D3631" s="60">
        <f>COUNTIF($K$7:K3631,K3631)</f>
        <v>0</v>
      </c>
      <c r="E3631" s="61"/>
      <c r="F3631" s="239">
        <v>44645</v>
      </c>
      <c r="G3631" s="232"/>
      <c r="H3631" s="61" t="s">
        <v>645</v>
      </c>
      <c r="I3631" s="240" t="s">
        <v>2025</v>
      </c>
      <c r="J3631" s="61">
        <v>511.04</v>
      </c>
      <c r="K3631" s="80"/>
      <c r="L3631" s="309">
        <v>210000</v>
      </c>
      <c r="M3631" s="223"/>
      <c r="N3631" s="223"/>
      <c r="O3631" s="61"/>
      <c r="P3631" s="69" t="str">
        <f t="shared" si="219"/>
        <v>Biaya pengiriman Via Online (Gojek,Grab), Kuli</v>
      </c>
      <c r="Q3631" s="61"/>
    </row>
    <row r="3632" spans="1:17" hidden="1" x14ac:dyDescent="0.25">
      <c r="A3632" s="60" t="str">
        <f t="shared" si="217"/>
        <v>235511,05</v>
      </c>
      <c r="B3632" s="60">
        <f>COUNTIF($J$7:J3632,J3632)</f>
        <v>235</v>
      </c>
      <c r="C3632" s="60" t="str">
        <f t="shared" si="218"/>
        <v>0</v>
      </c>
      <c r="D3632" s="60">
        <f>COUNTIF($K$7:K3632,K3632)</f>
        <v>0</v>
      </c>
      <c r="E3632" s="61"/>
      <c r="F3632" s="239">
        <v>44645</v>
      </c>
      <c r="G3632" s="232"/>
      <c r="H3632" s="61" t="s">
        <v>645</v>
      </c>
      <c r="I3632" s="240" t="s">
        <v>2026</v>
      </c>
      <c r="J3632" s="61">
        <v>511.05</v>
      </c>
      <c r="K3632" s="80"/>
      <c r="L3632" s="309">
        <v>8000</v>
      </c>
      <c r="M3632" s="223"/>
      <c r="N3632" s="223"/>
      <c r="O3632" s="61"/>
      <c r="P3632" s="69" t="str">
        <f t="shared" si="219"/>
        <v>Biaya Transport Pengiriman Bensin, Parkir, Tol</v>
      </c>
      <c r="Q3632" s="61"/>
    </row>
    <row r="3633" spans="1:17" hidden="1" x14ac:dyDescent="0.25">
      <c r="A3633" s="60" t="str">
        <f t="shared" si="217"/>
        <v>236511,05</v>
      </c>
      <c r="B3633" s="60">
        <f>COUNTIF($J$7:J3633,J3633)</f>
        <v>236</v>
      </c>
      <c r="C3633" s="60" t="str">
        <f t="shared" si="218"/>
        <v>0</v>
      </c>
      <c r="D3633" s="60">
        <f>COUNTIF($K$7:K3633,K3633)</f>
        <v>0</v>
      </c>
      <c r="E3633" s="61"/>
      <c r="F3633" s="239">
        <v>44645</v>
      </c>
      <c r="G3633" s="232"/>
      <c r="H3633" s="61" t="s">
        <v>645</v>
      </c>
      <c r="I3633" s="240" t="s">
        <v>2027</v>
      </c>
      <c r="J3633" s="61">
        <v>511.05</v>
      </c>
      <c r="K3633" s="80"/>
      <c r="L3633" s="309">
        <v>8000</v>
      </c>
      <c r="M3633" s="223"/>
      <c r="N3633" s="223"/>
      <c r="O3633" s="61"/>
      <c r="P3633" s="69" t="str">
        <f t="shared" si="219"/>
        <v>Biaya Transport Pengiriman Bensin, Parkir, Tol</v>
      </c>
      <c r="Q3633" s="61"/>
    </row>
    <row r="3634" spans="1:17" hidden="1" x14ac:dyDescent="0.25">
      <c r="A3634" s="60" t="str">
        <f t="shared" si="217"/>
        <v>237511,05</v>
      </c>
      <c r="B3634" s="60">
        <f>COUNTIF($J$7:J3634,J3634)</f>
        <v>237</v>
      </c>
      <c r="C3634" s="60" t="str">
        <f t="shared" si="218"/>
        <v>0</v>
      </c>
      <c r="D3634" s="60">
        <f>COUNTIF($K$7:K3634,K3634)</f>
        <v>0</v>
      </c>
      <c r="E3634" s="61"/>
      <c r="F3634" s="239">
        <v>44645</v>
      </c>
      <c r="G3634" s="232"/>
      <c r="H3634" s="61" t="s">
        <v>645</v>
      </c>
      <c r="I3634" s="240" t="s">
        <v>2028</v>
      </c>
      <c r="J3634" s="61">
        <v>511.05</v>
      </c>
      <c r="K3634" s="80"/>
      <c r="L3634" s="309">
        <v>4000</v>
      </c>
      <c r="M3634" s="223"/>
      <c r="N3634" s="223"/>
      <c r="O3634" s="61"/>
      <c r="P3634" s="69" t="str">
        <f t="shared" si="219"/>
        <v>Biaya Transport Pengiriman Bensin, Parkir, Tol</v>
      </c>
      <c r="Q3634" s="61"/>
    </row>
    <row r="3635" spans="1:17" hidden="1" x14ac:dyDescent="0.25">
      <c r="A3635" s="60" t="str">
        <f t="shared" si="217"/>
        <v>117511,04</v>
      </c>
      <c r="B3635" s="60">
        <f>COUNTIF($J$7:J3635,J3635)</f>
        <v>117</v>
      </c>
      <c r="C3635" s="60" t="str">
        <f t="shared" si="218"/>
        <v>0</v>
      </c>
      <c r="D3635" s="60">
        <f>COUNTIF($K$7:K3635,K3635)</f>
        <v>0</v>
      </c>
      <c r="E3635" s="61"/>
      <c r="F3635" s="239">
        <v>44648</v>
      </c>
      <c r="G3635" s="232"/>
      <c r="H3635" s="61" t="s">
        <v>645</v>
      </c>
      <c r="I3635" s="240" t="s">
        <v>2029</v>
      </c>
      <c r="J3635" s="61">
        <v>511.04</v>
      </c>
      <c r="K3635" s="80"/>
      <c r="L3635" s="309">
        <v>210000</v>
      </c>
      <c r="M3635" s="223"/>
      <c r="N3635" s="223"/>
      <c r="O3635" s="61"/>
      <c r="P3635" s="69" t="str">
        <f t="shared" si="219"/>
        <v>Biaya pengiriman Via Online (Gojek,Grab), Kuli</v>
      </c>
      <c r="Q3635" s="61"/>
    </row>
    <row r="3636" spans="1:17" hidden="1" x14ac:dyDescent="0.25">
      <c r="A3636" s="60" t="str">
        <f t="shared" si="217"/>
        <v>238511,05</v>
      </c>
      <c r="B3636" s="60">
        <f>COUNTIF($J$7:J3636,J3636)</f>
        <v>238</v>
      </c>
      <c r="C3636" s="60" t="str">
        <f t="shared" si="218"/>
        <v>0</v>
      </c>
      <c r="D3636" s="60">
        <f>COUNTIF($K$7:K3636,K3636)</f>
        <v>0</v>
      </c>
      <c r="E3636" s="61"/>
      <c r="F3636" s="239">
        <v>44648</v>
      </c>
      <c r="G3636" s="232"/>
      <c r="H3636" s="61" t="s">
        <v>645</v>
      </c>
      <c r="I3636" s="240" t="s">
        <v>2030</v>
      </c>
      <c r="J3636" s="61">
        <v>511.05</v>
      </c>
      <c r="K3636" s="80"/>
      <c r="L3636" s="309">
        <v>8000</v>
      </c>
      <c r="M3636" s="223"/>
      <c r="N3636" s="223"/>
      <c r="O3636" s="61"/>
      <c r="P3636" s="69" t="str">
        <f t="shared" si="219"/>
        <v>Biaya Transport Pengiriman Bensin, Parkir, Tol</v>
      </c>
      <c r="Q3636" s="61"/>
    </row>
    <row r="3637" spans="1:17" hidden="1" x14ac:dyDescent="0.25">
      <c r="A3637" s="60" t="str">
        <f t="shared" si="217"/>
        <v>239511,05</v>
      </c>
      <c r="B3637" s="60">
        <f>COUNTIF($J$7:J3637,J3637)</f>
        <v>239</v>
      </c>
      <c r="C3637" s="60" t="str">
        <f t="shared" si="218"/>
        <v>0</v>
      </c>
      <c r="D3637" s="60">
        <f>COUNTIF($K$7:K3637,K3637)</f>
        <v>0</v>
      </c>
      <c r="E3637" s="61"/>
      <c r="F3637" s="239">
        <v>44648</v>
      </c>
      <c r="G3637" s="232"/>
      <c r="H3637" s="61" t="s">
        <v>645</v>
      </c>
      <c r="I3637" s="240" t="s">
        <v>2031</v>
      </c>
      <c r="J3637" s="61">
        <v>511.05</v>
      </c>
      <c r="K3637" s="80"/>
      <c r="L3637" s="309">
        <v>8000</v>
      </c>
      <c r="M3637" s="223"/>
      <c r="N3637" s="223"/>
      <c r="O3637" s="61"/>
      <c r="P3637" s="69" t="str">
        <f t="shared" si="219"/>
        <v>Biaya Transport Pengiriman Bensin, Parkir, Tol</v>
      </c>
      <c r="Q3637" s="61"/>
    </row>
    <row r="3638" spans="1:17" hidden="1" x14ac:dyDescent="0.25">
      <c r="A3638" s="60" t="str">
        <f t="shared" si="217"/>
        <v>240511,05</v>
      </c>
      <c r="B3638" s="60">
        <f>COUNTIF($J$7:J3638,J3638)</f>
        <v>240</v>
      </c>
      <c r="C3638" s="60" t="str">
        <f t="shared" si="218"/>
        <v>0</v>
      </c>
      <c r="D3638" s="60">
        <f>COUNTIF($K$7:K3638,K3638)</f>
        <v>0</v>
      </c>
      <c r="E3638" s="61"/>
      <c r="F3638" s="239">
        <v>44648</v>
      </c>
      <c r="G3638" s="232"/>
      <c r="H3638" s="61" t="s">
        <v>645</v>
      </c>
      <c r="I3638" s="240" t="s">
        <v>2032</v>
      </c>
      <c r="J3638" s="61">
        <v>511.05</v>
      </c>
      <c r="K3638" s="80"/>
      <c r="L3638" s="309">
        <v>4000</v>
      </c>
      <c r="M3638" s="223"/>
      <c r="N3638" s="223"/>
      <c r="O3638" s="61"/>
      <c r="P3638" s="69" t="str">
        <f t="shared" si="219"/>
        <v>Biaya Transport Pengiriman Bensin, Parkir, Tol</v>
      </c>
      <c r="Q3638" s="61"/>
    </row>
    <row r="3639" spans="1:17" hidden="1" x14ac:dyDescent="0.25">
      <c r="A3639" s="60" t="str">
        <f t="shared" si="217"/>
        <v>96511,03</v>
      </c>
      <c r="B3639" s="60">
        <f>COUNTIF($J$7:J3639,J3639)</f>
        <v>96</v>
      </c>
      <c r="C3639" s="60" t="str">
        <f t="shared" si="218"/>
        <v>0</v>
      </c>
      <c r="D3639" s="60">
        <f>COUNTIF($K$7:K3639,K3639)</f>
        <v>0</v>
      </c>
      <c r="E3639" s="61"/>
      <c r="F3639" s="239">
        <v>44648</v>
      </c>
      <c r="G3639" s="232"/>
      <c r="H3639" s="61" t="s">
        <v>645</v>
      </c>
      <c r="I3639" s="240" t="s">
        <v>2033</v>
      </c>
      <c r="J3639" s="64">
        <v>511.03</v>
      </c>
      <c r="K3639" s="80"/>
      <c r="L3639" s="309">
        <v>188000</v>
      </c>
      <c r="M3639" s="223"/>
      <c r="N3639" s="223"/>
      <c r="O3639" s="61"/>
      <c r="P3639" s="69" t="str">
        <f t="shared" si="219"/>
        <v>Biaya Pengiriman Barang Ekspedisi</v>
      </c>
      <c r="Q3639" s="61"/>
    </row>
    <row r="3640" spans="1:17" hidden="1" x14ac:dyDescent="0.25">
      <c r="A3640" s="60" t="str">
        <f t="shared" si="217"/>
        <v>92119</v>
      </c>
      <c r="B3640" s="60">
        <f>COUNTIF($J$7:J3640,J3640)</f>
        <v>92</v>
      </c>
      <c r="C3640" s="60" t="str">
        <f t="shared" si="218"/>
        <v>37119,02</v>
      </c>
      <c r="D3640" s="60">
        <f>COUNTIF($K$7:K3640,K3640)</f>
        <v>37</v>
      </c>
      <c r="E3640" s="61"/>
      <c r="F3640" s="239">
        <v>44648</v>
      </c>
      <c r="G3640" s="232"/>
      <c r="H3640" s="61" t="s">
        <v>645</v>
      </c>
      <c r="I3640" s="63" t="s">
        <v>2034</v>
      </c>
      <c r="J3640" s="64">
        <v>119</v>
      </c>
      <c r="K3640" s="80">
        <v>119.02</v>
      </c>
      <c r="L3640" s="223"/>
      <c r="M3640" s="223">
        <v>2000000</v>
      </c>
      <c r="N3640" s="223"/>
      <c r="O3640" s="61"/>
      <c r="P3640" s="69" t="str">
        <f t="shared" si="219"/>
        <v>Uang Muka Biaya Pengiriman dan Perjalanan Dinas Marketing</v>
      </c>
      <c r="Q3640" s="61"/>
    </row>
    <row r="3641" spans="1:17" hidden="1" x14ac:dyDescent="0.25">
      <c r="A3641" s="60" t="str">
        <f t="shared" si="217"/>
        <v>90220,03</v>
      </c>
      <c r="B3641" s="60">
        <f>COUNTIF($J$7:J3641,J3641)</f>
        <v>90</v>
      </c>
      <c r="C3641" s="60" t="str">
        <f t="shared" si="218"/>
        <v>0</v>
      </c>
      <c r="D3641" s="60">
        <f>COUNTIF($K$7:K3641,K3641)</f>
        <v>0</v>
      </c>
      <c r="E3641" s="61"/>
      <c r="F3641" s="239">
        <v>44648</v>
      </c>
      <c r="G3641" s="232"/>
      <c r="H3641" s="61" t="s">
        <v>645</v>
      </c>
      <c r="I3641" s="63" t="s">
        <v>2035</v>
      </c>
      <c r="J3641" s="67">
        <v>220.03</v>
      </c>
      <c r="K3641" s="80"/>
      <c r="L3641" s="223"/>
      <c r="M3641" s="223">
        <v>7500</v>
      </c>
      <c r="N3641" s="223"/>
      <c r="O3641" s="61"/>
      <c r="P3641" s="69" t="str">
        <f t="shared" si="219"/>
        <v>Hutang BIaya</v>
      </c>
      <c r="Q3641" s="61"/>
    </row>
    <row r="3642" spans="1:17" hidden="1" x14ac:dyDescent="0.25">
      <c r="A3642" s="60" t="str">
        <f t="shared" si="217"/>
        <v>37511,02</v>
      </c>
      <c r="B3642" s="60">
        <f>COUNTIF($J$7:J3642,J3642)</f>
        <v>37</v>
      </c>
      <c r="C3642" s="60" t="str">
        <f t="shared" si="218"/>
        <v>0</v>
      </c>
      <c r="D3642" s="60">
        <f>COUNTIF($K$7:K3642,K3642)</f>
        <v>0</v>
      </c>
      <c r="E3642" s="61"/>
      <c r="F3642" s="239">
        <v>44648</v>
      </c>
      <c r="G3642" s="232"/>
      <c r="H3642" s="61" t="s">
        <v>619</v>
      </c>
      <c r="I3642" s="243" t="s">
        <v>620</v>
      </c>
      <c r="J3642" s="61">
        <v>511.02</v>
      </c>
      <c r="K3642" s="80"/>
      <c r="L3642" s="257">
        <v>200000</v>
      </c>
      <c r="M3642" s="223"/>
      <c r="N3642" s="223"/>
      <c r="O3642" s="61"/>
      <c r="P3642" s="69" t="str">
        <f t="shared" si="219"/>
        <v>Biaya Loading UnLoading</v>
      </c>
      <c r="Q3642" s="61"/>
    </row>
    <row r="3643" spans="1:17" hidden="1" x14ac:dyDescent="0.25">
      <c r="A3643" s="60" t="str">
        <f t="shared" si="217"/>
        <v>38511,02</v>
      </c>
      <c r="B3643" s="60">
        <f>COUNTIF($J$7:J3643,J3643)</f>
        <v>38</v>
      </c>
      <c r="C3643" s="60" t="str">
        <f t="shared" si="218"/>
        <v>0</v>
      </c>
      <c r="D3643" s="60">
        <f>COUNTIF($K$7:K3643,K3643)</f>
        <v>0</v>
      </c>
      <c r="E3643" s="61"/>
      <c r="F3643" s="239">
        <v>44648</v>
      </c>
      <c r="G3643" s="232"/>
      <c r="H3643" s="61" t="s">
        <v>619</v>
      </c>
      <c r="I3643" s="243" t="s">
        <v>1307</v>
      </c>
      <c r="J3643" s="61">
        <v>511.02</v>
      </c>
      <c r="K3643" s="80"/>
      <c r="L3643" s="257">
        <v>600000</v>
      </c>
      <c r="M3643" s="223"/>
      <c r="N3643" s="223"/>
      <c r="O3643" s="61"/>
      <c r="P3643" s="69" t="str">
        <f t="shared" si="219"/>
        <v>Biaya Loading UnLoading</v>
      </c>
      <c r="Q3643" s="61"/>
    </row>
    <row r="3644" spans="1:17" hidden="1" x14ac:dyDescent="0.25">
      <c r="A3644" s="60" t="str">
        <f t="shared" si="217"/>
        <v>39511,02</v>
      </c>
      <c r="B3644" s="60">
        <f>COUNTIF($J$7:J3644,J3644)</f>
        <v>39</v>
      </c>
      <c r="C3644" s="60" t="str">
        <f t="shared" si="218"/>
        <v>0</v>
      </c>
      <c r="D3644" s="60">
        <f>COUNTIF($K$7:K3644,K3644)</f>
        <v>0</v>
      </c>
      <c r="E3644" s="61"/>
      <c r="F3644" s="239">
        <v>44648</v>
      </c>
      <c r="G3644" s="232"/>
      <c r="H3644" s="61" t="s">
        <v>619</v>
      </c>
      <c r="I3644" s="243" t="s">
        <v>2036</v>
      </c>
      <c r="J3644" s="61">
        <v>511.02</v>
      </c>
      <c r="K3644" s="80"/>
      <c r="L3644" s="257">
        <v>50000</v>
      </c>
      <c r="M3644" s="223"/>
      <c r="N3644" s="223"/>
      <c r="O3644" s="61"/>
      <c r="P3644" s="69" t="str">
        <f t="shared" si="219"/>
        <v>Biaya Loading UnLoading</v>
      </c>
      <c r="Q3644" s="61"/>
    </row>
    <row r="3645" spans="1:17" hidden="1" x14ac:dyDescent="0.25">
      <c r="A3645" s="60" t="str">
        <f t="shared" si="217"/>
        <v>40511,02</v>
      </c>
      <c r="B3645" s="60">
        <f>COUNTIF($J$7:J3645,J3645)</f>
        <v>40</v>
      </c>
      <c r="C3645" s="60" t="str">
        <f t="shared" si="218"/>
        <v>0</v>
      </c>
      <c r="D3645" s="60">
        <f>COUNTIF($K$7:K3645,K3645)</f>
        <v>0</v>
      </c>
      <c r="E3645" s="61"/>
      <c r="F3645" s="239">
        <v>44648</v>
      </c>
      <c r="G3645" s="232"/>
      <c r="H3645" s="61" t="s">
        <v>619</v>
      </c>
      <c r="I3645" s="243" t="s">
        <v>628</v>
      </c>
      <c r="J3645" s="61">
        <v>511.02</v>
      </c>
      <c r="K3645" s="80"/>
      <c r="L3645" s="257">
        <v>50000</v>
      </c>
      <c r="M3645" s="223"/>
      <c r="N3645" s="223"/>
      <c r="O3645" s="61"/>
      <c r="P3645" s="69" t="str">
        <f t="shared" si="219"/>
        <v>Biaya Loading UnLoading</v>
      </c>
      <c r="Q3645" s="61"/>
    </row>
    <row r="3646" spans="1:17" hidden="1" x14ac:dyDescent="0.25">
      <c r="A3646" s="60" t="str">
        <f t="shared" si="217"/>
        <v>41511,02</v>
      </c>
      <c r="B3646" s="60">
        <f>COUNTIF($J$7:J3646,J3646)</f>
        <v>41</v>
      </c>
      <c r="C3646" s="60" t="str">
        <f t="shared" si="218"/>
        <v>0</v>
      </c>
      <c r="D3646" s="60">
        <f>COUNTIF($K$7:K3646,K3646)</f>
        <v>0</v>
      </c>
      <c r="E3646" s="61"/>
      <c r="F3646" s="239">
        <v>44648</v>
      </c>
      <c r="G3646" s="232"/>
      <c r="H3646" s="61" t="s">
        <v>619</v>
      </c>
      <c r="I3646" s="243" t="s">
        <v>2037</v>
      </c>
      <c r="J3646" s="61">
        <v>511.02</v>
      </c>
      <c r="K3646" s="80"/>
      <c r="L3646" s="257">
        <v>135000</v>
      </c>
      <c r="M3646" s="223"/>
      <c r="N3646" s="223"/>
      <c r="O3646" s="61"/>
      <c r="P3646" s="69" t="str">
        <f t="shared" si="219"/>
        <v>Biaya Loading UnLoading</v>
      </c>
      <c r="Q3646" s="61"/>
    </row>
    <row r="3647" spans="1:17" hidden="1" x14ac:dyDescent="0.25">
      <c r="A3647" s="60" t="str">
        <f t="shared" si="217"/>
        <v>241511,05</v>
      </c>
      <c r="B3647" s="60">
        <f>COUNTIF($J$7:J3647,J3647)</f>
        <v>241</v>
      </c>
      <c r="C3647" s="60" t="str">
        <f t="shared" si="218"/>
        <v>0</v>
      </c>
      <c r="D3647" s="60">
        <f>COUNTIF($K$7:K3647,K3647)</f>
        <v>0</v>
      </c>
      <c r="E3647" s="61"/>
      <c r="F3647" s="239">
        <v>44648</v>
      </c>
      <c r="G3647" s="232"/>
      <c r="H3647" s="61" t="s">
        <v>619</v>
      </c>
      <c r="I3647" s="243" t="s">
        <v>2038</v>
      </c>
      <c r="J3647" s="61">
        <v>511.05</v>
      </c>
      <c r="K3647" s="80"/>
      <c r="L3647" s="257">
        <v>45000</v>
      </c>
      <c r="M3647" s="223"/>
      <c r="N3647" s="223"/>
      <c r="O3647" s="61"/>
      <c r="P3647" s="69" t="str">
        <f t="shared" si="219"/>
        <v>Biaya Transport Pengiriman Bensin, Parkir, Tol</v>
      </c>
      <c r="Q3647" s="61"/>
    </row>
    <row r="3648" spans="1:17" hidden="1" x14ac:dyDescent="0.25">
      <c r="A3648" s="60" t="str">
        <f t="shared" si="217"/>
        <v>42511,02</v>
      </c>
      <c r="B3648" s="60">
        <f>COUNTIF($J$7:J3648,J3648)</f>
        <v>42</v>
      </c>
      <c r="C3648" s="60" t="str">
        <f t="shared" si="218"/>
        <v>0</v>
      </c>
      <c r="D3648" s="60">
        <f>COUNTIF($K$7:K3648,K3648)</f>
        <v>0</v>
      </c>
      <c r="E3648" s="61"/>
      <c r="F3648" s="239">
        <v>44648</v>
      </c>
      <c r="G3648" s="232"/>
      <c r="H3648" s="61" t="s">
        <v>619</v>
      </c>
      <c r="I3648" s="243" t="s">
        <v>1309</v>
      </c>
      <c r="J3648" s="61">
        <v>511.02</v>
      </c>
      <c r="K3648" s="80"/>
      <c r="L3648" s="257">
        <v>900000</v>
      </c>
      <c r="M3648" s="223"/>
      <c r="N3648" s="223"/>
      <c r="O3648" s="61"/>
      <c r="P3648" s="69" t="str">
        <f t="shared" si="219"/>
        <v>Biaya Loading UnLoading</v>
      </c>
      <c r="Q3648" s="61"/>
    </row>
    <row r="3649" spans="1:17" hidden="1" x14ac:dyDescent="0.25">
      <c r="A3649" s="60" t="str">
        <f t="shared" si="217"/>
        <v>93119</v>
      </c>
      <c r="B3649" s="60">
        <f>COUNTIF($J$7:J3649,J3649)</f>
        <v>93</v>
      </c>
      <c r="C3649" s="60" t="str">
        <f t="shared" si="218"/>
        <v>35119,01</v>
      </c>
      <c r="D3649" s="60">
        <f>COUNTIF($K$7:K3649,K3649)</f>
        <v>35</v>
      </c>
      <c r="E3649" s="61"/>
      <c r="F3649" s="239">
        <v>44649</v>
      </c>
      <c r="G3649" s="232"/>
      <c r="H3649" s="61" t="s">
        <v>619</v>
      </c>
      <c r="I3649" s="243" t="s">
        <v>2039</v>
      </c>
      <c r="J3649" s="64">
        <v>119</v>
      </c>
      <c r="K3649" s="80">
        <v>119.01</v>
      </c>
      <c r="L3649" s="223"/>
      <c r="M3649" s="223">
        <v>2300000</v>
      </c>
      <c r="N3649" s="223"/>
      <c r="O3649" s="61"/>
      <c r="P3649" s="69" t="str">
        <f t="shared" si="219"/>
        <v>Uang Muka Biaya Pengiriman dan Perjalanan Dinas Marketing</v>
      </c>
      <c r="Q3649" s="61"/>
    </row>
    <row r="3650" spans="1:17" hidden="1" x14ac:dyDescent="0.25">
      <c r="A3650" s="60" t="str">
        <f t="shared" si="217"/>
        <v>94119</v>
      </c>
      <c r="B3650" s="60">
        <f>COUNTIF($J$7:J3650,J3650)</f>
        <v>94</v>
      </c>
      <c r="C3650" s="60" t="str">
        <f t="shared" si="218"/>
        <v>36119,01</v>
      </c>
      <c r="D3650" s="60">
        <f>COUNTIF($K$7:K3650,K3650)</f>
        <v>36</v>
      </c>
      <c r="E3650" s="61"/>
      <c r="F3650" s="239">
        <v>44649</v>
      </c>
      <c r="G3650" s="232"/>
      <c r="H3650" s="61" t="s">
        <v>619</v>
      </c>
      <c r="I3650" s="63" t="s">
        <v>2040</v>
      </c>
      <c r="J3650" s="64">
        <v>119</v>
      </c>
      <c r="K3650" s="80">
        <v>119.01</v>
      </c>
      <c r="L3650" s="223">
        <v>320000</v>
      </c>
      <c r="M3650" s="223"/>
      <c r="N3650" s="223"/>
      <c r="O3650" s="61"/>
      <c r="P3650" s="69" t="str">
        <f t="shared" si="219"/>
        <v>Uang Muka Biaya Pengiriman dan Perjalanan Dinas Marketing</v>
      </c>
      <c r="Q3650" s="61"/>
    </row>
    <row r="3651" spans="1:17" hidden="1" x14ac:dyDescent="0.25">
      <c r="A3651" s="60" t="str">
        <f t="shared" si="217"/>
        <v>493211,01</v>
      </c>
      <c r="B3651" s="60">
        <f>COUNTIF($J$7:J3651,J3651)</f>
        <v>493</v>
      </c>
      <c r="C3651" s="60" t="str">
        <f t="shared" si="218"/>
        <v>0</v>
      </c>
      <c r="D3651" s="60">
        <f>COUNTIF($K$7:K3651,K3651)</f>
        <v>0</v>
      </c>
      <c r="E3651" s="61"/>
      <c r="F3651" s="232">
        <v>44651</v>
      </c>
      <c r="G3651" s="232"/>
      <c r="H3651" s="61" t="s">
        <v>800</v>
      </c>
      <c r="I3651" s="63" t="s">
        <v>2041</v>
      </c>
      <c r="J3651" s="67">
        <v>211.01</v>
      </c>
      <c r="K3651" s="65"/>
      <c r="L3651" s="223">
        <f>M3652</f>
        <v>216272537</v>
      </c>
      <c r="M3651" s="223"/>
      <c r="N3651" s="223"/>
      <c r="O3651" s="61"/>
      <c r="P3651" s="69" t="str">
        <f t="shared" si="219"/>
        <v>Hutang Pajak PPN</v>
      </c>
      <c r="Q3651" s="61"/>
    </row>
    <row r="3652" spans="1:17" hidden="1" x14ac:dyDescent="0.25">
      <c r="A3652" s="60" t="str">
        <f t="shared" si="217"/>
        <v>29117,01</v>
      </c>
      <c r="B3652" s="60">
        <f>COUNTIF($J$7:J3652,J3652)</f>
        <v>29</v>
      </c>
      <c r="C3652" s="60" t="str">
        <f t="shared" si="218"/>
        <v>0</v>
      </c>
      <c r="D3652" s="60">
        <f>COUNTIF($K$7:K3652,K3652)</f>
        <v>0</v>
      </c>
      <c r="E3652" s="61"/>
      <c r="F3652" s="232">
        <v>44651</v>
      </c>
      <c r="G3652" s="232"/>
      <c r="H3652" s="61" t="s">
        <v>800</v>
      </c>
      <c r="I3652" s="63" t="s">
        <v>2041</v>
      </c>
      <c r="J3652" s="67">
        <v>117.01</v>
      </c>
      <c r="K3652" s="65"/>
      <c r="L3652" s="223"/>
      <c r="M3652" s="223">
        <f>L2885+L2894+L2902+L2911+L2914+L2923+L1129+L2935+L2932+L2926+L3440</f>
        <v>216272537</v>
      </c>
      <c r="N3652" s="223"/>
      <c r="O3652" s="61" t="s">
        <v>816</v>
      </c>
      <c r="P3652" s="69" t="str">
        <f t="shared" si="219"/>
        <v>Pajak Dibayar Di Muka - PPN Masukan</v>
      </c>
      <c r="Q3652" s="61"/>
    </row>
    <row r="3653" spans="1:17" hidden="1" x14ac:dyDescent="0.25">
      <c r="A3653" s="60" t="str">
        <f t="shared" si="217"/>
        <v>18210,01</v>
      </c>
      <c r="B3653" s="60">
        <f>COUNTIF($J$7:J3653,J3653)</f>
        <v>18</v>
      </c>
      <c r="C3653" s="60" t="str">
        <f t="shared" si="218"/>
        <v>0</v>
      </c>
      <c r="D3653" s="60">
        <f>COUNTIF($K$7:K3653,K3653)</f>
        <v>0</v>
      </c>
      <c r="E3653" s="61"/>
      <c r="F3653" s="232">
        <v>44628</v>
      </c>
      <c r="G3653" s="232"/>
      <c r="H3653" s="61" t="s">
        <v>800</v>
      </c>
      <c r="I3653" s="63" t="s">
        <v>2042</v>
      </c>
      <c r="J3653" s="64">
        <v>210.01</v>
      </c>
      <c r="K3653" s="65"/>
      <c r="L3653" s="234">
        <v>23595000</v>
      </c>
      <c r="M3653" s="223"/>
      <c r="N3653" s="223"/>
      <c r="O3653" s="61"/>
      <c r="P3653" s="69" t="str">
        <f t="shared" si="219"/>
        <v>Hutang Usaha</v>
      </c>
      <c r="Q3653" s="61"/>
    </row>
    <row r="3654" spans="1:17" hidden="1" x14ac:dyDescent="0.25">
      <c r="A3654" s="60" t="str">
        <f t="shared" si="217"/>
        <v>694112</v>
      </c>
      <c r="B3654" s="60">
        <f>COUNTIF($J$7:J3654,J3654)</f>
        <v>694</v>
      </c>
      <c r="C3654" s="60" t="str">
        <f t="shared" si="218"/>
        <v>6112,03</v>
      </c>
      <c r="D3654" s="60">
        <f>COUNTIF($K$7:K3654,K3654)</f>
        <v>6</v>
      </c>
      <c r="E3654" s="61"/>
      <c r="F3654" s="232">
        <v>44628</v>
      </c>
      <c r="G3654" s="232" t="s">
        <v>149</v>
      </c>
      <c r="H3654" s="61" t="s">
        <v>800</v>
      </c>
      <c r="I3654" s="63" t="s">
        <v>2042</v>
      </c>
      <c r="J3654" s="64">
        <v>112</v>
      </c>
      <c r="K3654" s="80">
        <v>112.03</v>
      </c>
      <c r="L3654" s="223"/>
      <c r="M3654" s="223">
        <f>L3653</f>
        <v>23595000</v>
      </c>
      <c r="N3654" s="223"/>
      <c r="O3654" s="61"/>
      <c r="P3654" s="69" t="str">
        <f t="shared" si="219"/>
        <v>Piutang Usaha</v>
      </c>
      <c r="Q3654" s="61"/>
    </row>
    <row r="3655" spans="1:17" hidden="1" x14ac:dyDescent="0.25">
      <c r="A3655" s="60" t="str">
        <f t="shared" ref="A3655:A3718" si="220">B3655&amp;J3655</f>
        <v>3610,11</v>
      </c>
      <c r="B3655" s="60">
        <f>COUNTIF($J$7:J3655,J3655)</f>
        <v>3</v>
      </c>
      <c r="C3655" s="60" t="str">
        <f t="shared" ref="C3655:C3718" si="221">D3655&amp;K3655</f>
        <v>0</v>
      </c>
      <c r="D3655" s="60">
        <f>COUNTIF($K$7:K3655,K3655)</f>
        <v>0</v>
      </c>
      <c r="E3655" s="61"/>
      <c r="F3655" s="232">
        <v>44651</v>
      </c>
      <c r="G3655" s="232"/>
      <c r="H3655" s="61" t="s">
        <v>800</v>
      </c>
      <c r="I3655" s="63" t="s">
        <v>2043</v>
      </c>
      <c r="J3655" s="221">
        <v>610.11</v>
      </c>
      <c r="K3655" s="65"/>
      <c r="L3655" s="224">
        <f>'[1]Sewa &amp; Asuransi'!CE33</f>
        <v>24444444.458333332</v>
      </c>
      <c r="M3655" s="223"/>
      <c r="N3655" s="223"/>
      <c r="O3655" s="61"/>
      <c r="P3655" s="69" t="str">
        <f t="shared" ref="P3655:P3676" si="222">IF(J3655=0,"-",+VLOOKUP(J3655,DAF_AKUN,2,FALSE))</f>
        <v xml:space="preserve">Biaya Sewa Gedung </v>
      </c>
      <c r="Q3655" s="61"/>
    </row>
    <row r="3656" spans="1:17" hidden="1" x14ac:dyDescent="0.25">
      <c r="A3656" s="60" t="str">
        <f t="shared" si="220"/>
        <v>3118,01</v>
      </c>
      <c r="B3656" s="60">
        <f>COUNTIF($J$7:J3656,J3656)</f>
        <v>3</v>
      </c>
      <c r="C3656" s="60" t="str">
        <f t="shared" si="221"/>
        <v>0</v>
      </c>
      <c r="D3656" s="60">
        <f>COUNTIF($K$7:K3656,K3656)</f>
        <v>0</v>
      </c>
      <c r="E3656" s="61"/>
      <c r="F3656" s="232">
        <v>44651</v>
      </c>
      <c r="G3656" s="232"/>
      <c r="H3656" s="61" t="s">
        <v>800</v>
      </c>
      <c r="I3656" s="63" t="s">
        <v>2044</v>
      </c>
      <c r="J3656" s="67">
        <v>118.01</v>
      </c>
      <c r="K3656" s="65"/>
      <c r="L3656" s="224"/>
      <c r="M3656" s="223">
        <f>L3655</f>
        <v>24444444.458333332</v>
      </c>
      <c r="N3656" s="223"/>
      <c r="O3656" s="61"/>
      <c r="P3656" s="69" t="str">
        <f t="shared" si="222"/>
        <v>Sewa Dibayar Dimuka</v>
      </c>
      <c r="Q3656" s="61"/>
    </row>
    <row r="3657" spans="1:17" hidden="1" x14ac:dyDescent="0.25">
      <c r="A3657" s="60" t="str">
        <f t="shared" si="220"/>
        <v>3610,19</v>
      </c>
      <c r="B3657" s="60">
        <f>COUNTIF($J$7:J3657,J3657)</f>
        <v>3</v>
      </c>
      <c r="C3657" s="60" t="str">
        <f t="shared" si="221"/>
        <v>0</v>
      </c>
      <c r="D3657" s="60">
        <f>COUNTIF($K$7:K3657,K3657)</f>
        <v>0</v>
      </c>
      <c r="E3657" s="61"/>
      <c r="F3657" s="232">
        <v>44651</v>
      </c>
      <c r="G3657" s="232"/>
      <c r="H3657" s="61" t="s">
        <v>800</v>
      </c>
      <c r="I3657" s="61" t="s">
        <v>2045</v>
      </c>
      <c r="J3657" s="221">
        <v>610.19000000000005</v>
      </c>
      <c r="K3657" s="65"/>
      <c r="L3657" s="247">
        <f>'[1]Sewa &amp; Asuransi'!C96</f>
        <v>393005.55555555556</v>
      </c>
      <c r="M3657" s="247"/>
      <c r="N3657" s="247"/>
      <c r="O3657" s="61"/>
      <c r="P3657" s="69" t="str">
        <f t="shared" si="222"/>
        <v>Biaya Asuransi</v>
      </c>
      <c r="Q3657" s="61"/>
    </row>
    <row r="3658" spans="1:17" hidden="1" x14ac:dyDescent="0.25">
      <c r="A3658" s="60" t="str">
        <f t="shared" si="220"/>
        <v>3118,02</v>
      </c>
      <c r="B3658" s="60">
        <f>COUNTIF($J$7:J3658,J3658)</f>
        <v>3</v>
      </c>
      <c r="C3658" s="60" t="str">
        <f t="shared" si="221"/>
        <v>0</v>
      </c>
      <c r="D3658" s="60">
        <f>COUNTIF($K$7:K3658,K3658)</f>
        <v>0</v>
      </c>
      <c r="E3658" s="61"/>
      <c r="F3658" s="232">
        <v>44651</v>
      </c>
      <c r="G3658" s="232"/>
      <c r="H3658" s="61" t="s">
        <v>800</v>
      </c>
      <c r="I3658" s="61" t="s">
        <v>2045</v>
      </c>
      <c r="J3658" s="67">
        <v>118.02</v>
      </c>
      <c r="K3658" s="65"/>
      <c r="L3658" s="247"/>
      <c r="M3658" s="247">
        <f>L3657</f>
        <v>393005.55555555556</v>
      </c>
      <c r="N3658" s="247"/>
      <c r="O3658" s="61"/>
      <c r="P3658" s="69" t="str">
        <f t="shared" si="222"/>
        <v>Asuransi Dibayar Dimuka</v>
      </c>
      <c r="Q3658" s="61"/>
    </row>
    <row r="3659" spans="1:17" hidden="1" x14ac:dyDescent="0.25">
      <c r="A3659" s="60" t="str">
        <f t="shared" si="220"/>
        <v>3610,27</v>
      </c>
      <c r="B3659" s="60">
        <f>COUNTIF($J$7:J3659,J3659)</f>
        <v>3</v>
      </c>
      <c r="C3659" s="60" t="str">
        <f t="shared" si="221"/>
        <v>0</v>
      </c>
      <c r="D3659" s="60">
        <f>COUNTIF($K$7:K3659,K3659)</f>
        <v>0</v>
      </c>
      <c r="E3659" s="61"/>
      <c r="F3659" s="232">
        <v>44651</v>
      </c>
      <c r="G3659" s="232"/>
      <c r="H3659" s="61" t="s">
        <v>800</v>
      </c>
      <c r="I3659" s="61" t="s">
        <v>2046</v>
      </c>
      <c r="J3659" s="221">
        <v>610.27</v>
      </c>
      <c r="K3659" s="65"/>
      <c r="L3659" s="247">
        <f>[1]DAFSET!BR109</f>
        <v>6303330.020833334</v>
      </c>
      <c r="M3659" s="247"/>
      <c r="N3659" s="247"/>
      <c r="O3659" s="61"/>
      <c r="P3659" s="69" t="str">
        <f t="shared" si="222"/>
        <v>Biaya Penyusutan Kendaraan</v>
      </c>
      <c r="Q3659" s="61"/>
    </row>
    <row r="3660" spans="1:17" hidden="1" x14ac:dyDescent="0.25">
      <c r="A3660" s="60" t="str">
        <f t="shared" si="220"/>
        <v>3122,04</v>
      </c>
      <c r="B3660" s="60">
        <f>COUNTIF($J$7:J3660,J3660)</f>
        <v>3</v>
      </c>
      <c r="C3660" s="60" t="str">
        <f t="shared" si="221"/>
        <v>0</v>
      </c>
      <c r="D3660" s="60">
        <f>COUNTIF($K$7:K3660,K3660)</f>
        <v>0</v>
      </c>
      <c r="E3660" s="61"/>
      <c r="F3660" s="232">
        <v>44651</v>
      </c>
      <c r="G3660" s="232"/>
      <c r="H3660" s="61" t="s">
        <v>800</v>
      </c>
      <c r="I3660" s="61" t="s">
        <v>2046</v>
      </c>
      <c r="J3660" s="67">
        <v>122.04</v>
      </c>
      <c r="K3660" s="65"/>
      <c r="L3660" s="247"/>
      <c r="M3660" s="247">
        <f>L3659</f>
        <v>6303330.020833334</v>
      </c>
      <c r="N3660" s="247"/>
      <c r="O3660" s="61"/>
      <c r="P3660" s="69" t="str">
        <f t="shared" si="222"/>
        <v>Akumulasi Peny Kendaraan</v>
      </c>
      <c r="Q3660" s="61"/>
    </row>
    <row r="3661" spans="1:17" hidden="1" x14ac:dyDescent="0.25">
      <c r="A3661" s="60" t="str">
        <f t="shared" si="220"/>
        <v>3610,28</v>
      </c>
      <c r="B3661" s="60">
        <f>COUNTIF($J$7:J3661,J3661)</f>
        <v>3</v>
      </c>
      <c r="C3661" s="60" t="str">
        <f t="shared" si="221"/>
        <v>0</v>
      </c>
      <c r="D3661" s="60">
        <f>COUNTIF($K$7:K3661,K3661)</f>
        <v>0</v>
      </c>
      <c r="E3661" s="61"/>
      <c r="F3661" s="232">
        <v>44651</v>
      </c>
      <c r="G3661" s="232"/>
      <c r="H3661" s="61" t="s">
        <v>800</v>
      </c>
      <c r="I3661" s="61" t="s">
        <v>2047</v>
      </c>
      <c r="J3661" s="221">
        <v>610.28</v>
      </c>
      <c r="K3661" s="65"/>
      <c r="L3661" s="247">
        <f>[1]DAFSET!BR102</f>
        <v>6385165.1250000019</v>
      </c>
      <c r="M3661" s="247"/>
      <c r="N3661" s="247"/>
      <c r="O3661" s="61"/>
      <c r="P3661" s="69" t="str">
        <f t="shared" si="222"/>
        <v>Biaya Penyusutan Inventaris Kantor</v>
      </c>
      <c r="Q3661" s="61"/>
    </row>
    <row r="3662" spans="1:17" hidden="1" x14ac:dyDescent="0.25">
      <c r="A3662" s="60" t="str">
        <f t="shared" si="220"/>
        <v>3122,05</v>
      </c>
      <c r="B3662" s="60">
        <f>COUNTIF($J$7:J3662,J3662)</f>
        <v>3</v>
      </c>
      <c r="C3662" s="60" t="str">
        <f t="shared" si="221"/>
        <v>0</v>
      </c>
      <c r="D3662" s="60">
        <f>COUNTIF($K$7:K3662,K3662)</f>
        <v>0</v>
      </c>
      <c r="E3662" s="61"/>
      <c r="F3662" s="232">
        <v>44651</v>
      </c>
      <c r="G3662" s="232"/>
      <c r="H3662" s="61" t="s">
        <v>800</v>
      </c>
      <c r="I3662" s="61" t="s">
        <v>2047</v>
      </c>
      <c r="J3662" s="67">
        <v>122.05</v>
      </c>
      <c r="K3662" s="65"/>
      <c r="L3662" s="247"/>
      <c r="M3662" s="247">
        <f>L3661</f>
        <v>6385165.1250000019</v>
      </c>
      <c r="N3662" s="247"/>
      <c r="O3662" s="61"/>
      <c r="P3662" s="69" t="str">
        <f t="shared" si="222"/>
        <v>Akumulasi Peny Inventaris Kantor</v>
      </c>
      <c r="Q3662" s="61"/>
    </row>
    <row r="3663" spans="1:17" hidden="1" x14ac:dyDescent="0.25">
      <c r="A3663" s="60" t="str">
        <f t="shared" si="220"/>
        <v>3510,01</v>
      </c>
      <c r="B3663" s="60">
        <f>COUNTIF($J$7:J3663,J3663)</f>
        <v>3</v>
      </c>
      <c r="C3663" s="60" t="str">
        <f t="shared" si="221"/>
        <v>0</v>
      </c>
      <c r="D3663" s="60">
        <f>COUNTIF($K$7:K3663,K3663)</f>
        <v>0</v>
      </c>
      <c r="E3663" s="61"/>
      <c r="F3663" s="232">
        <v>44651</v>
      </c>
      <c r="G3663" s="232"/>
      <c r="H3663" s="61" t="s">
        <v>800</v>
      </c>
      <c r="I3663" s="63" t="s">
        <v>2048</v>
      </c>
      <c r="J3663" s="221">
        <v>510.01</v>
      </c>
      <c r="K3663" s="65"/>
      <c r="L3663" s="223">
        <f>[2]Mar!$C$130</f>
        <v>709375249.7018503</v>
      </c>
      <c r="M3663" s="223"/>
      <c r="N3663" s="223"/>
      <c r="O3663" s="61"/>
      <c r="P3663" s="69" t="str">
        <f t="shared" si="222"/>
        <v>Harga Pokok Penjualan Intouch</v>
      </c>
      <c r="Q3663" s="61"/>
    </row>
    <row r="3664" spans="1:17" hidden="1" x14ac:dyDescent="0.25">
      <c r="A3664" s="60" t="str">
        <f t="shared" si="220"/>
        <v>12116,01</v>
      </c>
      <c r="B3664" s="60">
        <f>COUNTIF($J$7:J3664,J3664)</f>
        <v>12</v>
      </c>
      <c r="C3664" s="60" t="str">
        <f t="shared" si="221"/>
        <v>0</v>
      </c>
      <c r="D3664" s="60">
        <f>COUNTIF($K$7:K3664,K3664)</f>
        <v>0</v>
      </c>
      <c r="E3664" s="61"/>
      <c r="F3664" s="232">
        <v>44651</v>
      </c>
      <c r="G3664" s="232"/>
      <c r="H3664" s="61" t="s">
        <v>800</v>
      </c>
      <c r="I3664" s="63" t="s">
        <v>2048</v>
      </c>
      <c r="J3664" s="67">
        <v>116.01</v>
      </c>
      <c r="K3664" s="65"/>
      <c r="L3664" s="223"/>
      <c r="M3664" s="223">
        <f>L3663</f>
        <v>709375249.7018503</v>
      </c>
      <c r="N3664" s="223"/>
      <c r="O3664" s="61"/>
      <c r="P3664" s="69" t="str">
        <f t="shared" si="222"/>
        <v>Persediaan Intouch</v>
      </c>
      <c r="Q3664" s="61"/>
    </row>
    <row r="3665" spans="1:17" hidden="1" x14ac:dyDescent="0.25">
      <c r="A3665" s="60" t="str">
        <f t="shared" si="220"/>
        <v>3510,03</v>
      </c>
      <c r="B3665" s="60">
        <f>COUNTIF($J$7:J3665,J3665)</f>
        <v>3</v>
      </c>
      <c r="C3665" s="60" t="str">
        <f t="shared" si="221"/>
        <v>0</v>
      </c>
      <c r="D3665" s="60">
        <f>COUNTIF($K$7:K3665,K3665)</f>
        <v>0</v>
      </c>
      <c r="E3665" s="61"/>
      <c r="F3665" s="232">
        <v>44651</v>
      </c>
      <c r="G3665" s="232"/>
      <c r="H3665" s="61" t="s">
        <v>800</v>
      </c>
      <c r="I3665" s="63" t="s">
        <v>2049</v>
      </c>
      <c r="J3665" s="221">
        <v>510.03</v>
      </c>
      <c r="K3665" s="65"/>
      <c r="L3665" s="223">
        <f>[2]Mar!$C$132</f>
        <v>253656568.15722713</v>
      </c>
      <c r="M3665" s="223"/>
      <c r="N3665" s="223"/>
      <c r="O3665" s="61"/>
      <c r="P3665" s="69" t="str">
        <f t="shared" si="222"/>
        <v>Harga Pokok Penjualan Exam</v>
      </c>
      <c r="Q3665" s="61"/>
    </row>
    <row r="3666" spans="1:17" hidden="1" x14ac:dyDescent="0.25">
      <c r="A3666" s="60" t="str">
        <f t="shared" si="220"/>
        <v>6116,02</v>
      </c>
      <c r="B3666" s="60">
        <f>COUNTIF($J$7:J3666,J3666)</f>
        <v>6</v>
      </c>
      <c r="C3666" s="60" t="str">
        <f t="shared" si="221"/>
        <v>0</v>
      </c>
      <c r="D3666" s="60">
        <f>COUNTIF($K$7:K3666,K3666)</f>
        <v>0</v>
      </c>
      <c r="E3666" s="61"/>
      <c r="F3666" s="232">
        <v>44651</v>
      </c>
      <c r="G3666" s="232"/>
      <c r="H3666" s="61" t="s">
        <v>800</v>
      </c>
      <c r="I3666" s="63" t="s">
        <v>2049</v>
      </c>
      <c r="J3666" s="67">
        <v>116.02</v>
      </c>
      <c r="K3666" s="65"/>
      <c r="L3666" s="223"/>
      <c r="M3666" s="223">
        <f>L3665</f>
        <v>253656568.15722713</v>
      </c>
      <c r="N3666" s="223"/>
      <c r="O3666" s="61"/>
      <c r="P3666" s="69" t="str">
        <f t="shared" si="222"/>
        <v>Persediaan Exam</v>
      </c>
      <c r="Q3666" s="61"/>
    </row>
    <row r="3667" spans="1:17" hidden="1" x14ac:dyDescent="0.25">
      <c r="A3667" s="60" t="str">
        <f t="shared" si="220"/>
        <v>3510,02</v>
      </c>
      <c r="B3667" s="60">
        <f>COUNTIF($J$7:J3667,J3667)</f>
        <v>3</v>
      </c>
      <c r="C3667" s="60" t="str">
        <f t="shared" si="221"/>
        <v>0</v>
      </c>
      <c r="D3667" s="60">
        <f>COUNTIF($K$7:K3667,K3667)</f>
        <v>0</v>
      </c>
      <c r="E3667" s="61"/>
      <c r="F3667" s="232">
        <v>44651</v>
      </c>
      <c r="G3667" s="232"/>
      <c r="H3667" s="61" t="s">
        <v>800</v>
      </c>
      <c r="I3667" s="63" t="s">
        <v>2050</v>
      </c>
      <c r="J3667" s="221">
        <v>510.02</v>
      </c>
      <c r="K3667" s="65"/>
      <c r="L3667" s="223">
        <f>[2]Mar!$C$131</f>
        <v>175669876.41703492</v>
      </c>
      <c r="M3667" s="223"/>
      <c r="N3667" s="223"/>
      <c r="O3667" s="61"/>
      <c r="P3667" s="69" t="str">
        <f t="shared" si="222"/>
        <v>Harga Pokok Penjualan  Condom</v>
      </c>
      <c r="Q3667" s="61"/>
    </row>
    <row r="3668" spans="1:17" hidden="1" x14ac:dyDescent="0.25">
      <c r="A3668" s="60" t="str">
        <f t="shared" si="220"/>
        <v>3116,03</v>
      </c>
      <c r="B3668" s="60">
        <f>COUNTIF($J$7:J3668,J3668)</f>
        <v>3</v>
      </c>
      <c r="C3668" s="60" t="str">
        <f t="shared" si="221"/>
        <v>0</v>
      </c>
      <c r="D3668" s="60">
        <f>COUNTIF($K$7:K3668,K3668)</f>
        <v>0</v>
      </c>
      <c r="E3668" s="61"/>
      <c r="F3668" s="232">
        <v>44651</v>
      </c>
      <c r="G3668" s="232"/>
      <c r="H3668" s="61" t="s">
        <v>800</v>
      </c>
      <c r="I3668" s="63" t="s">
        <v>2050</v>
      </c>
      <c r="J3668" s="67">
        <v>116.03</v>
      </c>
      <c r="K3668" s="65"/>
      <c r="L3668" s="223"/>
      <c r="M3668" s="223">
        <f>L3667</f>
        <v>175669876.41703492</v>
      </c>
      <c r="N3668" s="223"/>
      <c r="O3668" s="61"/>
      <c r="P3668" s="69" t="str">
        <f t="shared" si="222"/>
        <v>Persediaan Condom</v>
      </c>
      <c r="Q3668" s="61"/>
    </row>
    <row r="3669" spans="1:17" hidden="1" x14ac:dyDescent="0.25">
      <c r="A3669" s="60" t="str">
        <f t="shared" si="220"/>
        <v>2512,01</v>
      </c>
      <c r="B3669" s="60">
        <f>COUNTIF($J$7:J3669,J3669)</f>
        <v>2</v>
      </c>
      <c r="C3669" s="60" t="str">
        <f t="shared" si="221"/>
        <v>0</v>
      </c>
      <c r="D3669" s="60">
        <f>COUNTIF($K$7:K3669,K3669)</f>
        <v>0</v>
      </c>
      <c r="E3669" s="61"/>
      <c r="F3669" s="232">
        <v>44651</v>
      </c>
      <c r="G3669" s="232"/>
      <c r="H3669" s="61" t="s">
        <v>800</v>
      </c>
      <c r="I3669" s="63" t="s">
        <v>2051</v>
      </c>
      <c r="J3669" s="241">
        <v>512.01</v>
      </c>
      <c r="K3669" s="65"/>
      <c r="L3669" s="223">
        <f>[2]Mar!$C$137</f>
        <v>5679420.7324357405</v>
      </c>
      <c r="M3669" s="223"/>
      <c r="N3669" s="223"/>
      <c r="O3669" s="61"/>
      <c r="P3669" s="69" t="str">
        <f t="shared" si="222"/>
        <v>Beban Iklan dan Promosi</v>
      </c>
      <c r="Q3669" s="61"/>
    </row>
    <row r="3670" spans="1:17" hidden="1" x14ac:dyDescent="0.25">
      <c r="A3670" s="60" t="str">
        <f t="shared" si="220"/>
        <v>7116,02</v>
      </c>
      <c r="B3670" s="60">
        <f>COUNTIF($J$7:J3670,J3670)</f>
        <v>7</v>
      </c>
      <c r="C3670" s="60" t="str">
        <f t="shared" si="221"/>
        <v>0</v>
      </c>
      <c r="D3670" s="60">
        <f>COUNTIF($K$7:K3670,K3670)</f>
        <v>0</v>
      </c>
      <c r="E3670" s="61"/>
      <c r="F3670" s="232">
        <v>44651</v>
      </c>
      <c r="G3670" s="232"/>
      <c r="H3670" s="61" t="s">
        <v>800</v>
      </c>
      <c r="I3670" s="63" t="s">
        <v>2051</v>
      </c>
      <c r="J3670" s="67">
        <v>116.02</v>
      </c>
      <c r="K3670" s="65"/>
      <c r="L3670" s="223"/>
      <c r="M3670" s="223">
        <f>L3669</f>
        <v>5679420.7324357405</v>
      </c>
      <c r="N3670" s="223"/>
      <c r="O3670" s="61"/>
      <c r="P3670" s="69" t="str">
        <f t="shared" si="222"/>
        <v>Persediaan Exam</v>
      </c>
      <c r="Q3670" s="61"/>
    </row>
    <row r="3671" spans="1:17" hidden="1" x14ac:dyDescent="0.25">
      <c r="A3671" s="60" t="str">
        <f t="shared" si="220"/>
        <v>3610,23</v>
      </c>
      <c r="B3671" s="60">
        <f>COUNTIF($J$7:J3671,J3671)</f>
        <v>3</v>
      </c>
      <c r="C3671" s="60" t="str">
        <f t="shared" si="221"/>
        <v>0</v>
      </c>
      <c r="D3671" s="60">
        <f>COUNTIF($K$7:K3671,K3671)</f>
        <v>0</v>
      </c>
      <c r="E3671" s="61"/>
      <c r="F3671" s="232">
        <v>44651</v>
      </c>
      <c r="G3671" s="266"/>
      <c r="H3671" s="61" t="s">
        <v>800</v>
      </c>
      <c r="I3671" s="310" t="s">
        <v>2052</v>
      </c>
      <c r="J3671" s="301">
        <v>610.23</v>
      </c>
      <c r="K3671" s="266"/>
      <c r="L3671" s="311">
        <v>1090652</v>
      </c>
      <c r="M3671" s="223"/>
      <c r="N3671" s="223"/>
      <c r="O3671" s="61"/>
      <c r="P3671" s="69" t="str">
        <f t="shared" si="222"/>
        <v>Biaya Pajak PPH 21</v>
      </c>
      <c r="Q3671" s="61"/>
    </row>
    <row r="3672" spans="1:17" hidden="1" x14ac:dyDescent="0.25">
      <c r="A3672" s="60" t="str">
        <f t="shared" si="220"/>
        <v>25211,02</v>
      </c>
      <c r="B3672" s="60">
        <f>COUNTIF($J$7:J3672,J3672)</f>
        <v>25</v>
      </c>
      <c r="C3672" s="60" t="str">
        <f t="shared" si="221"/>
        <v>0</v>
      </c>
      <c r="D3672" s="60">
        <f>COUNTIF($K$7:K3672,K3672)</f>
        <v>0</v>
      </c>
      <c r="E3672" s="61"/>
      <c r="F3672" s="232">
        <v>44651</v>
      </c>
      <c r="G3672" s="266"/>
      <c r="H3672" s="61" t="s">
        <v>800</v>
      </c>
      <c r="I3672" s="310" t="s">
        <v>2052</v>
      </c>
      <c r="J3672" s="300">
        <v>211.02</v>
      </c>
      <c r="K3672" s="266"/>
      <c r="L3672" s="311"/>
      <c r="M3672" s="311">
        <v>1090652</v>
      </c>
      <c r="N3672" s="311"/>
      <c r="O3672" s="61"/>
      <c r="P3672" s="69" t="str">
        <f t="shared" si="222"/>
        <v>Hutang PPh 21</v>
      </c>
      <c r="Q3672" s="61"/>
    </row>
    <row r="3673" spans="1:17" ht="30" hidden="1" x14ac:dyDescent="0.25">
      <c r="A3673" s="60" t="str">
        <f t="shared" si="220"/>
        <v>494211,01</v>
      </c>
      <c r="B3673" s="60">
        <f>COUNTIF($J$7:J3673,J3673)</f>
        <v>494</v>
      </c>
      <c r="C3673" s="60" t="str">
        <f t="shared" si="221"/>
        <v>0</v>
      </c>
      <c r="D3673" s="60">
        <f>COUNTIF($K$7:K3673,K3673)</f>
        <v>0</v>
      </c>
      <c r="E3673" s="61"/>
      <c r="F3673" s="232">
        <v>44651</v>
      </c>
      <c r="G3673" s="232"/>
      <c r="H3673" s="61" t="s">
        <v>800</v>
      </c>
      <c r="I3673" s="73" t="s">
        <v>1529</v>
      </c>
      <c r="J3673" s="67">
        <v>211.01</v>
      </c>
      <c r="K3673" s="65"/>
      <c r="L3673" s="276">
        <v>186932</v>
      </c>
      <c r="M3673" s="276"/>
      <c r="N3673" s="276"/>
      <c r="O3673" s="63" t="s">
        <v>2053</v>
      </c>
      <c r="P3673" s="69" t="str">
        <f t="shared" si="222"/>
        <v>Hutang Pajak PPN</v>
      </c>
      <c r="Q3673" s="61"/>
    </row>
    <row r="3674" spans="1:17" ht="30" hidden="1" x14ac:dyDescent="0.25">
      <c r="A3674" s="60" t="str">
        <f t="shared" si="220"/>
        <v>695112</v>
      </c>
      <c r="B3674" s="60">
        <f>COUNTIF($J$7:J3674,J3674)</f>
        <v>695</v>
      </c>
      <c r="C3674" s="60" t="str">
        <f t="shared" si="221"/>
        <v>2112,74</v>
      </c>
      <c r="D3674" s="60">
        <f>COUNTIF($K$7:K3674,K3674)</f>
        <v>2</v>
      </c>
      <c r="E3674" s="61"/>
      <c r="F3674" s="232">
        <v>44651</v>
      </c>
      <c r="G3674" s="232"/>
      <c r="H3674" s="61" t="s">
        <v>800</v>
      </c>
      <c r="I3674" s="73" t="s">
        <v>1529</v>
      </c>
      <c r="J3674" s="64">
        <v>112</v>
      </c>
      <c r="K3674" s="312">
        <v>112.74</v>
      </c>
      <c r="L3674" s="223"/>
      <c r="M3674" s="276">
        <v>186932</v>
      </c>
      <c r="N3674" s="276"/>
      <c r="O3674" s="63" t="s">
        <v>2053</v>
      </c>
      <c r="P3674" s="69" t="str">
        <f t="shared" si="222"/>
        <v>Piutang Usaha</v>
      </c>
      <c r="Q3674" s="61"/>
    </row>
    <row r="3675" spans="1:17" ht="45" hidden="1" x14ac:dyDescent="0.25">
      <c r="A3675" s="60" t="str">
        <f t="shared" si="220"/>
        <v>495211,01</v>
      </c>
      <c r="B3675" s="60">
        <f>COUNTIF($J$7:J3675,J3675)</f>
        <v>495</v>
      </c>
      <c r="C3675" s="60" t="str">
        <f t="shared" si="221"/>
        <v>0</v>
      </c>
      <c r="D3675" s="60">
        <f>COUNTIF($K$7:K3675,K3675)</f>
        <v>0</v>
      </c>
      <c r="E3675" s="61"/>
      <c r="F3675" s="232">
        <v>44651</v>
      </c>
      <c r="G3675" s="232"/>
      <c r="H3675" s="61" t="s">
        <v>800</v>
      </c>
      <c r="I3675" s="313" t="s">
        <v>2054</v>
      </c>
      <c r="J3675" s="67">
        <v>211.01</v>
      </c>
      <c r="K3675" s="312"/>
      <c r="L3675" s="223">
        <v>3866996</v>
      </c>
      <c r="M3675" s="276"/>
      <c r="N3675" s="276"/>
      <c r="O3675" s="61" t="s">
        <v>2055</v>
      </c>
      <c r="P3675" s="69" t="str">
        <f t="shared" si="222"/>
        <v>Hutang Pajak PPN</v>
      </c>
      <c r="Q3675" s="61"/>
    </row>
    <row r="3676" spans="1:17" ht="45" hidden="1" x14ac:dyDescent="0.25">
      <c r="A3676" s="60" t="str">
        <f t="shared" si="220"/>
        <v>696112</v>
      </c>
      <c r="B3676" s="60">
        <f>COUNTIF($J$7:J3676,J3676)</f>
        <v>696</v>
      </c>
      <c r="C3676" s="60" t="str">
        <f t="shared" si="221"/>
        <v>42112,45</v>
      </c>
      <c r="D3676" s="60">
        <f>COUNTIF($K$7:K3676,K3676)</f>
        <v>42</v>
      </c>
      <c r="E3676" s="314"/>
      <c r="F3676" s="315">
        <v>44651</v>
      </c>
      <c r="G3676" s="315"/>
      <c r="H3676" s="314" t="s">
        <v>800</v>
      </c>
      <c r="I3676" s="313" t="s">
        <v>2054</v>
      </c>
      <c r="J3676" s="316">
        <v>112</v>
      </c>
      <c r="K3676" s="317">
        <v>112.45</v>
      </c>
      <c r="L3676" s="318"/>
      <c r="M3676" s="318">
        <v>3866996</v>
      </c>
      <c r="N3676" s="318"/>
      <c r="O3676" s="314" t="s">
        <v>2055</v>
      </c>
      <c r="P3676" s="319" t="str">
        <f t="shared" si="222"/>
        <v>Piutang Usaha</v>
      </c>
      <c r="Q3676" s="314"/>
    </row>
    <row r="3677" spans="1:17" hidden="1" x14ac:dyDescent="0.25">
      <c r="A3677" s="60" t="str">
        <f t="shared" si="220"/>
        <v>0</v>
      </c>
      <c r="B3677" s="60">
        <f>COUNTIF($J$7:J3677,J3677)</f>
        <v>0</v>
      </c>
      <c r="C3677" s="60" t="str">
        <f t="shared" si="221"/>
        <v>0</v>
      </c>
      <c r="D3677" s="60">
        <f>COUNTIF($K$7:K3677,K3677)</f>
        <v>0</v>
      </c>
      <c r="E3677" s="301"/>
      <c r="F3677" s="320"/>
      <c r="G3677" s="320"/>
      <c r="H3677" s="301"/>
      <c r="I3677" s="321"/>
      <c r="J3677" s="322"/>
      <c r="K3677" s="323"/>
      <c r="L3677" s="324"/>
      <c r="M3677" s="325"/>
      <c r="N3677" s="325"/>
      <c r="O3677" s="301"/>
      <c r="P3677" s="326"/>
      <c r="Q3677" s="301"/>
    </row>
    <row r="3678" spans="1:17" hidden="1" x14ac:dyDescent="0.25">
      <c r="A3678" s="60" t="str">
        <f t="shared" si="220"/>
        <v>0</v>
      </c>
      <c r="B3678" s="60">
        <f>COUNTIF($J$7:J3678,J3678)</f>
        <v>0</v>
      </c>
      <c r="C3678" s="60" t="str">
        <f t="shared" si="221"/>
        <v>0</v>
      </c>
      <c r="D3678" s="60">
        <f>COUNTIF($K$7:K3678,K3678)</f>
        <v>0</v>
      </c>
      <c r="E3678" s="301"/>
      <c r="F3678" s="320"/>
      <c r="G3678" s="320"/>
      <c r="H3678" s="301"/>
      <c r="I3678" s="321"/>
      <c r="J3678" s="322"/>
      <c r="K3678" s="323"/>
      <c r="L3678" s="324"/>
      <c r="M3678" s="325"/>
      <c r="N3678" s="325"/>
      <c r="O3678" s="301"/>
      <c r="P3678" s="326"/>
      <c r="Q3678" s="301"/>
    </row>
    <row r="3679" spans="1:17" hidden="1" x14ac:dyDescent="0.25">
      <c r="A3679" s="60" t="str">
        <f t="shared" si="220"/>
        <v>0</v>
      </c>
      <c r="B3679" s="60">
        <f>COUNTIF($J$7:J3679,J3679)</f>
        <v>0</v>
      </c>
      <c r="C3679" s="60" t="str">
        <f t="shared" si="221"/>
        <v>0</v>
      </c>
      <c r="D3679" s="60">
        <f>COUNTIF($K$7:K3679,K3679)</f>
        <v>0</v>
      </c>
      <c r="E3679" s="301"/>
      <c r="F3679" s="320"/>
      <c r="G3679" s="320"/>
      <c r="H3679" s="301"/>
      <c r="I3679" s="321"/>
      <c r="J3679" s="322"/>
      <c r="K3679" s="323"/>
      <c r="L3679" s="324"/>
      <c r="M3679" s="325"/>
      <c r="N3679" s="325"/>
      <c r="O3679" s="301"/>
      <c r="P3679" s="326"/>
      <c r="Q3679" s="301"/>
    </row>
    <row r="3680" spans="1:17" hidden="1" x14ac:dyDescent="0.25">
      <c r="A3680" s="60" t="str">
        <f t="shared" si="220"/>
        <v>0</v>
      </c>
      <c r="B3680" s="60">
        <f>COUNTIF($J$7:J3680,J3680)</f>
        <v>0</v>
      </c>
      <c r="C3680" s="60" t="str">
        <f t="shared" si="221"/>
        <v>0</v>
      </c>
      <c r="D3680" s="60">
        <f>COUNTIF($K$7:K3680,K3680)</f>
        <v>0</v>
      </c>
      <c r="E3680" s="301"/>
      <c r="F3680" s="320"/>
      <c r="G3680" s="320"/>
      <c r="H3680" s="301"/>
      <c r="I3680" s="321"/>
      <c r="J3680" s="322"/>
      <c r="K3680" s="323"/>
      <c r="L3680" s="324"/>
      <c r="M3680" s="325"/>
      <c r="N3680" s="325"/>
      <c r="O3680" s="301"/>
      <c r="P3680" s="326"/>
      <c r="Q3680" s="301"/>
    </row>
    <row r="3681" spans="1:17" hidden="1" x14ac:dyDescent="0.25">
      <c r="A3681" s="60" t="str">
        <f t="shared" si="220"/>
        <v>0</v>
      </c>
      <c r="B3681" s="60">
        <f>COUNTIF($J$7:J3681,J3681)</f>
        <v>0</v>
      </c>
      <c r="C3681" s="60" t="str">
        <f t="shared" si="221"/>
        <v>0</v>
      </c>
      <c r="D3681" s="60">
        <f>COUNTIF($K$7:K3681,K3681)</f>
        <v>0</v>
      </c>
      <c r="E3681" s="301"/>
      <c r="F3681" s="320"/>
      <c r="G3681" s="320"/>
      <c r="H3681" s="301"/>
      <c r="I3681" s="321"/>
      <c r="J3681" s="322"/>
      <c r="K3681" s="323"/>
      <c r="L3681" s="324"/>
      <c r="M3681" s="325"/>
      <c r="N3681" s="325"/>
      <c r="O3681" s="301"/>
      <c r="P3681" s="326"/>
      <c r="Q3681" s="301"/>
    </row>
    <row r="3682" spans="1:17" hidden="1" x14ac:dyDescent="0.25">
      <c r="A3682" s="60" t="str">
        <f t="shared" si="220"/>
        <v>0</v>
      </c>
      <c r="B3682" s="60">
        <f>COUNTIF($J$7:J3682,J3682)</f>
        <v>0</v>
      </c>
      <c r="C3682" s="60" t="str">
        <f t="shared" si="221"/>
        <v>0</v>
      </c>
      <c r="D3682" s="60">
        <f>COUNTIF($K$7:K3682,K3682)</f>
        <v>0</v>
      </c>
      <c r="E3682" s="301"/>
      <c r="F3682" s="320"/>
      <c r="G3682" s="320"/>
      <c r="H3682" s="301"/>
      <c r="I3682" s="321"/>
      <c r="J3682" s="322"/>
      <c r="K3682" s="323"/>
      <c r="L3682" s="324"/>
      <c r="M3682" s="325"/>
      <c r="N3682" s="325"/>
      <c r="O3682" s="301"/>
      <c r="P3682" s="326"/>
      <c r="Q3682" s="301"/>
    </row>
    <row r="3683" spans="1:17" hidden="1" x14ac:dyDescent="0.25">
      <c r="A3683" s="60" t="str">
        <f t="shared" si="220"/>
        <v>0</v>
      </c>
      <c r="B3683" s="60">
        <f>COUNTIF($J$7:J3683,J3683)</f>
        <v>0</v>
      </c>
      <c r="C3683" s="60" t="str">
        <f t="shared" si="221"/>
        <v>0</v>
      </c>
      <c r="D3683" s="60">
        <f>COUNTIF($K$7:K3683,K3683)</f>
        <v>0</v>
      </c>
      <c r="E3683" s="301"/>
      <c r="F3683" s="320"/>
      <c r="G3683" s="327" t="str">
        <f t="shared" ref="G3683" si="223">IF(ISERROR(VLOOKUP(C3683&amp;F$5,JU_AKUN,9,FALSE))=TRUE,"",VLOOKUP(C3683&amp;F$5,JU_AKUN,9,FALSE))</f>
        <v/>
      </c>
      <c r="H3683" s="301"/>
      <c r="I3683" s="321"/>
      <c r="J3683" s="322"/>
      <c r="K3683" s="323"/>
      <c r="L3683" s="324"/>
      <c r="M3683" s="325"/>
      <c r="N3683" s="325"/>
      <c r="O3683" s="301"/>
      <c r="P3683" s="326"/>
      <c r="Q3683" s="301"/>
    </row>
    <row r="3684" spans="1:17" hidden="1" x14ac:dyDescent="0.25">
      <c r="A3684" s="60" t="str">
        <f t="shared" si="220"/>
        <v>0</v>
      </c>
      <c r="B3684" s="60">
        <f>COUNTIF($J$7:J3684,J3684)</f>
        <v>0</v>
      </c>
      <c r="C3684" s="60" t="str">
        <f t="shared" si="221"/>
        <v>0</v>
      </c>
      <c r="D3684" s="60">
        <f>COUNTIF($K$7:K3684,K3684)</f>
        <v>0</v>
      </c>
      <c r="E3684" s="301"/>
      <c r="F3684" s="320"/>
      <c r="G3684" s="320"/>
      <c r="H3684" s="301"/>
      <c r="I3684" s="321"/>
      <c r="J3684" s="322"/>
      <c r="K3684" s="323"/>
      <c r="L3684" s="324"/>
      <c r="M3684" s="325"/>
      <c r="N3684" s="325"/>
      <c r="O3684" s="301"/>
      <c r="P3684" s="326"/>
      <c r="Q3684" s="301"/>
    </row>
    <row r="3685" spans="1:17" hidden="1" x14ac:dyDescent="0.25">
      <c r="A3685" s="60" t="str">
        <f t="shared" si="220"/>
        <v>0</v>
      </c>
      <c r="B3685" s="60">
        <f>COUNTIF($J$7:J3685,J3685)</f>
        <v>0</v>
      </c>
      <c r="C3685" s="60" t="str">
        <f t="shared" si="221"/>
        <v>0</v>
      </c>
      <c r="D3685" s="60">
        <f>COUNTIF($K$7:K3685,K3685)</f>
        <v>0</v>
      </c>
      <c r="E3685" s="301"/>
      <c r="F3685" s="320"/>
      <c r="G3685" s="320"/>
      <c r="H3685" s="301"/>
      <c r="I3685" s="321"/>
      <c r="J3685" s="322"/>
      <c r="K3685" s="323"/>
      <c r="L3685" s="324"/>
      <c r="M3685" s="325"/>
      <c r="N3685" s="325"/>
      <c r="O3685" s="301"/>
      <c r="P3685" s="326"/>
      <c r="Q3685" s="301"/>
    </row>
    <row r="3686" spans="1:17" hidden="1" x14ac:dyDescent="0.25">
      <c r="A3686" s="60" t="str">
        <f t="shared" si="220"/>
        <v>0</v>
      </c>
      <c r="B3686" s="60">
        <f>COUNTIF($J$7:J3686,J3686)</f>
        <v>0</v>
      </c>
      <c r="C3686" s="60" t="str">
        <f t="shared" si="221"/>
        <v>0</v>
      </c>
      <c r="D3686" s="60">
        <f>COUNTIF($K$7:K3686,K3686)</f>
        <v>0</v>
      </c>
      <c r="E3686" s="301"/>
      <c r="F3686" s="320"/>
      <c r="G3686" s="320"/>
      <c r="H3686" s="301"/>
      <c r="I3686" s="321"/>
      <c r="J3686" s="322"/>
      <c r="K3686" s="323"/>
      <c r="L3686" s="324"/>
      <c r="M3686" s="325"/>
      <c r="N3686" s="325"/>
      <c r="O3686" s="301"/>
      <c r="P3686" s="326"/>
      <c r="Q3686" s="301"/>
    </row>
    <row r="3687" spans="1:17" hidden="1" x14ac:dyDescent="0.25">
      <c r="A3687" s="60" t="str">
        <f t="shared" si="220"/>
        <v>0</v>
      </c>
      <c r="B3687" s="60">
        <f>COUNTIF($J$7:J3687,J3687)</f>
        <v>0</v>
      </c>
      <c r="C3687" s="60" t="str">
        <f t="shared" si="221"/>
        <v>0</v>
      </c>
      <c r="D3687" s="60">
        <f>COUNTIF($K$7:K3687,K3687)</f>
        <v>0</v>
      </c>
      <c r="E3687" s="301"/>
      <c r="F3687" s="320"/>
      <c r="G3687" s="320"/>
      <c r="H3687" s="301"/>
      <c r="I3687" s="321"/>
      <c r="J3687" s="322"/>
      <c r="K3687" s="323"/>
      <c r="L3687" s="324"/>
      <c r="M3687" s="325"/>
      <c r="N3687" s="325"/>
      <c r="O3687" s="301"/>
      <c r="P3687" s="326"/>
      <c r="Q3687" s="301"/>
    </row>
    <row r="3688" spans="1:17" x14ac:dyDescent="0.25">
      <c r="A3688" s="301"/>
      <c r="B3688" s="301"/>
      <c r="C3688" s="301"/>
      <c r="D3688" s="301"/>
      <c r="E3688" s="301"/>
      <c r="F3688" s="320"/>
      <c r="G3688" s="320"/>
      <c r="H3688" s="301"/>
      <c r="I3688" s="321"/>
      <c r="J3688" s="322"/>
      <c r="K3688" s="323"/>
      <c r="L3688" s="324"/>
      <c r="M3688" s="325"/>
      <c r="N3688" s="169"/>
      <c r="O3688" s="301"/>
      <c r="P3688" s="326"/>
      <c r="Q3688" s="301"/>
    </row>
    <row r="3689" spans="1:17" x14ac:dyDescent="0.25">
      <c r="A3689" s="301"/>
      <c r="B3689" s="301"/>
      <c r="C3689" s="301"/>
      <c r="D3689" s="301"/>
      <c r="E3689" s="301"/>
      <c r="F3689" s="320"/>
      <c r="G3689" s="320"/>
      <c r="H3689" s="301"/>
      <c r="I3689" s="321"/>
      <c r="J3689" s="322"/>
      <c r="K3689" s="323"/>
      <c r="L3689" s="324"/>
      <c r="M3689" s="325"/>
      <c r="N3689" s="169"/>
      <c r="O3689" s="301"/>
      <c r="P3689" s="326"/>
      <c r="Q3689" s="301"/>
    </row>
    <row r="3690" spans="1:17" x14ac:dyDescent="0.25">
      <c r="A3690" s="301"/>
      <c r="B3690" s="301"/>
      <c r="C3690" s="301"/>
      <c r="D3690" s="301"/>
      <c r="E3690" s="301"/>
      <c r="F3690" s="320"/>
      <c r="G3690" s="320"/>
      <c r="H3690" s="301"/>
      <c r="I3690" s="321"/>
      <c r="J3690" s="322"/>
      <c r="K3690" s="323"/>
      <c r="L3690" s="324"/>
      <c r="M3690" s="325"/>
      <c r="N3690" s="169"/>
      <c r="O3690" s="301"/>
      <c r="P3690" s="326"/>
      <c r="Q3690" s="301"/>
    </row>
    <row r="3691" spans="1:17" x14ac:dyDescent="0.25">
      <c r="A3691" s="301"/>
      <c r="B3691" s="301"/>
      <c r="C3691" s="301"/>
      <c r="D3691" s="301"/>
      <c r="E3691" s="301"/>
      <c r="F3691" s="320"/>
      <c r="G3691" s="320"/>
      <c r="H3691" s="301"/>
      <c r="I3691" s="321"/>
      <c r="J3691" s="322"/>
      <c r="K3691" s="323"/>
      <c r="L3691" s="324"/>
      <c r="M3691" s="325"/>
      <c r="N3691" s="169"/>
      <c r="O3691" s="301"/>
      <c r="P3691" s="326"/>
      <c r="Q3691" s="301"/>
    </row>
    <row r="3692" spans="1:17" x14ac:dyDescent="0.25">
      <c r="A3692" s="301"/>
      <c r="B3692" s="301"/>
      <c r="C3692" s="301"/>
      <c r="D3692" s="301"/>
      <c r="E3692" s="301"/>
      <c r="F3692" s="320"/>
      <c r="G3692" s="320"/>
      <c r="H3692" s="301"/>
      <c r="I3692" s="321"/>
      <c r="J3692" s="322"/>
      <c r="K3692" s="323"/>
      <c r="L3692" s="324"/>
      <c r="M3692" s="325"/>
      <c r="N3692" s="169"/>
      <c r="O3692" s="301"/>
      <c r="P3692" s="326"/>
      <c r="Q3692" s="301"/>
    </row>
    <row r="3693" spans="1:17" x14ac:dyDescent="0.25">
      <c r="A3693" s="301"/>
      <c r="B3693" s="301"/>
      <c r="C3693" s="301"/>
      <c r="D3693" s="301"/>
      <c r="E3693" s="301"/>
      <c r="F3693" s="320"/>
      <c r="G3693" s="320"/>
      <c r="H3693" s="301"/>
      <c r="I3693" s="321"/>
      <c r="J3693" s="322"/>
      <c r="K3693" s="323"/>
      <c r="L3693" s="324"/>
      <c r="M3693" s="325"/>
      <c r="N3693" s="169"/>
      <c r="O3693" s="301"/>
      <c r="P3693" s="326"/>
      <c r="Q3693" s="301"/>
    </row>
    <row r="3694" spans="1:17" x14ac:dyDescent="0.25">
      <c r="A3694" s="301"/>
      <c r="B3694" s="301"/>
      <c r="C3694" s="301"/>
      <c r="D3694" s="301"/>
      <c r="E3694" s="301"/>
      <c r="F3694" s="320"/>
      <c r="G3694" s="320"/>
      <c r="H3694" s="301"/>
      <c r="I3694" s="321"/>
      <c r="J3694" s="322"/>
      <c r="K3694" s="323"/>
      <c r="L3694" s="324"/>
      <c r="M3694" s="325"/>
      <c r="N3694" s="169"/>
      <c r="O3694" s="301"/>
      <c r="P3694" s="326"/>
      <c r="Q3694" s="301"/>
    </row>
    <row r="3695" spans="1:17" x14ac:dyDescent="0.25">
      <c r="A3695" s="301"/>
      <c r="B3695" s="301"/>
      <c r="C3695" s="301"/>
      <c r="D3695" s="301"/>
      <c r="E3695" s="301"/>
      <c r="F3695" s="320"/>
      <c r="G3695" s="320"/>
      <c r="H3695" s="301"/>
      <c r="I3695" s="321"/>
      <c r="J3695" s="322"/>
      <c r="K3695" s="323"/>
      <c r="L3695" s="324"/>
      <c r="M3695" s="325"/>
      <c r="N3695" s="169"/>
      <c r="O3695" s="301"/>
      <c r="P3695" s="326"/>
      <c r="Q3695" s="301"/>
    </row>
    <row r="3696" spans="1:17" x14ac:dyDescent="0.25">
      <c r="A3696" s="301"/>
      <c r="B3696" s="301"/>
      <c r="C3696" s="301"/>
      <c r="D3696" s="301"/>
      <c r="E3696" s="301"/>
      <c r="F3696" s="320"/>
      <c r="G3696" s="320"/>
      <c r="H3696" s="301"/>
      <c r="I3696" s="321"/>
      <c r="J3696" s="322"/>
      <c r="K3696" s="323"/>
      <c r="L3696" s="324"/>
      <c r="M3696" s="325"/>
      <c r="N3696" s="169"/>
      <c r="O3696" s="301"/>
      <c r="P3696" s="326"/>
      <c r="Q3696" s="301"/>
    </row>
    <row r="3697" spans="1:17" x14ac:dyDescent="0.25">
      <c r="A3697" s="301"/>
      <c r="B3697" s="301"/>
      <c r="C3697" s="301"/>
      <c r="D3697" s="301"/>
      <c r="E3697" s="301"/>
      <c r="F3697" s="320"/>
      <c r="G3697" s="320"/>
      <c r="H3697" s="301"/>
      <c r="I3697" s="321"/>
      <c r="J3697" s="322"/>
      <c r="K3697" s="323"/>
      <c r="L3697" s="324"/>
      <c r="M3697" s="325"/>
      <c r="N3697" s="169"/>
      <c r="O3697" s="301"/>
      <c r="P3697" s="326"/>
      <c r="Q3697" s="301"/>
    </row>
    <row r="3698" spans="1:17" x14ac:dyDescent="0.25">
      <c r="A3698" s="301"/>
      <c r="B3698" s="301"/>
      <c r="C3698" s="301"/>
      <c r="D3698" s="301"/>
      <c r="E3698" s="301"/>
      <c r="F3698" s="320"/>
      <c r="G3698" s="320"/>
      <c r="H3698" s="301"/>
      <c r="I3698" s="321"/>
      <c r="J3698" s="322"/>
      <c r="K3698" s="323"/>
      <c r="L3698" s="324"/>
      <c r="M3698" s="325"/>
      <c r="N3698" s="169"/>
      <c r="O3698" s="301"/>
      <c r="P3698" s="326"/>
      <c r="Q3698" s="301"/>
    </row>
    <row r="3699" spans="1:17" x14ac:dyDescent="0.25">
      <c r="A3699" s="301"/>
      <c r="B3699" s="301"/>
      <c r="C3699" s="301"/>
      <c r="D3699" s="301"/>
      <c r="E3699" s="301"/>
      <c r="F3699" s="320"/>
      <c r="G3699" s="320"/>
      <c r="H3699" s="301"/>
      <c r="I3699" s="321"/>
      <c r="J3699" s="322"/>
      <c r="K3699" s="323"/>
      <c r="L3699" s="324"/>
      <c r="M3699" s="325"/>
      <c r="N3699" s="169"/>
      <c r="O3699" s="301"/>
      <c r="P3699" s="326"/>
      <c r="Q3699" s="301"/>
    </row>
    <row r="3700" spans="1:17" x14ac:dyDescent="0.25">
      <c r="A3700" s="301"/>
      <c r="B3700" s="301"/>
      <c r="C3700" s="301"/>
      <c r="D3700" s="301"/>
      <c r="E3700" s="301"/>
      <c r="F3700" s="320"/>
      <c r="G3700" s="320"/>
      <c r="H3700" s="301"/>
      <c r="I3700" s="321"/>
      <c r="J3700" s="322"/>
      <c r="K3700" s="323"/>
      <c r="L3700" s="324"/>
      <c r="M3700" s="325"/>
      <c r="N3700" s="169"/>
      <c r="O3700" s="301"/>
      <c r="P3700" s="326"/>
      <c r="Q3700" s="301"/>
    </row>
    <row r="3701" spans="1:17" x14ac:dyDescent="0.25">
      <c r="A3701" s="301"/>
      <c r="B3701" s="301"/>
      <c r="C3701" s="301"/>
      <c r="D3701" s="301"/>
      <c r="E3701" s="301"/>
      <c r="F3701" s="320"/>
      <c r="G3701" s="320"/>
      <c r="H3701" s="301"/>
      <c r="I3701" s="321"/>
      <c r="J3701" s="322"/>
      <c r="K3701" s="323"/>
      <c r="L3701" s="324"/>
      <c r="M3701" s="325"/>
      <c r="N3701" s="169"/>
      <c r="O3701" s="301"/>
      <c r="P3701" s="326"/>
      <c r="Q3701" s="301"/>
    </row>
    <row r="3702" spans="1:17" x14ac:dyDescent="0.25">
      <c r="A3702" s="301"/>
      <c r="B3702" s="301"/>
      <c r="C3702" s="301"/>
      <c r="D3702" s="301"/>
      <c r="E3702" s="301"/>
      <c r="F3702" s="320"/>
      <c r="G3702" s="320"/>
      <c r="H3702" s="301"/>
      <c r="I3702" s="321"/>
      <c r="J3702" s="322"/>
      <c r="K3702" s="323"/>
      <c r="L3702" s="324"/>
      <c r="M3702" s="325"/>
      <c r="N3702" s="169"/>
      <c r="O3702" s="301"/>
      <c r="P3702" s="326"/>
      <c r="Q3702" s="301"/>
    </row>
    <row r="3703" spans="1:17" x14ac:dyDescent="0.25">
      <c r="A3703" s="301"/>
      <c r="B3703" s="301"/>
      <c r="C3703" s="301"/>
      <c r="D3703" s="301"/>
      <c r="E3703" s="301"/>
      <c r="F3703" s="320"/>
      <c r="G3703" s="320"/>
      <c r="H3703" s="301"/>
      <c r="I3703" s="321"/>
      <c r="J3703" s="322"/>
      <c r="K3703" s="323"/>
      <c r="L3703" s="324"/>
      <c r="M3703" s="325"/>
      <c r="N3703" s="169"/>
      <c r="O3703" s="301"/>
      <c r="P3703" s="326"/>
      <c r="Q3703" s="301"/>
    </row>
    <row r="3704" spans="1:17" x14ac:dyDescent="0.25">
      <c r="A3704" s="301"/>
      <c r="B3704" s="301"/>
      <c r="C3704" s="301"/>
      <c r="D3704" s="301"/>
      <c r="E3704" s="301"/>
      <c r="F3704" s="320"/>
      <c r="G3704" s="320"/>
      <c r="H3704" s="301"/>
      <c r="I3704" s="321"/>
      <c r="J3704" s="322"/>
      <c r="K3704" s="323"/>
      <c r="L3704" s="324"/>
      <c r="M3704" s="325"/>
      <c r="N3704" s="169"/>
      <c r="O3704" s="301"/>
      <c r="P3704" s="326"/>
      <c r="Q3704" s="301"/>
    </row>
    <row r="3705" spans="1:17" x14ac:dyDescent="0.25">
      <c r="A3705" s="301"/>
      <c r="B3705" s="301"/>
      <c r="C3705" s="301"/>
      <c r="D3705" s="301"/>
      <c r="E3705" s="301"/>
      <c r="F3705" s="320"/>
      <c r="G3705" s="320"/>
      <c r="H3705" s="301"/>
      <c r="I3705" s="321"/>
      <c r="J3705" s="322"/>
      <c r="K3705" s="323"/>
      <c r="L3705" s="324"/>
      <c r="M3705" s="325"/>
      <c r="N3705" s="169"/>
      <c r="O3705" s="301"/>
      <c r="P3705" s="326"/>
      <c r="Q3705" s="301"/>
    </row>
    <row r="3706" spans="1:17" x14ac:dyDescent="0.25">
      <c r="A3706" s="301"/>
      <c r="B3706" s="301"/>
      <c r="C3706" s="301"/>
      <c r="D3706" s="301"/>
      <c r="E3706" s="301"/>
      <c r="F3706" s="320"/>
      <c r="G3706" s="320"/>
      <c r="H3706" s="301"/>
      <c r="I3706" s="321"/>
      <c r="J3706" s="322"/>
      <c r="K3706" s="323"/>
      <c r="L3706" s="324"/>
      <c r="M3706" s="325"/>
      <c r="N3706" s="169"/>
      <c r="O3706" s="301"/>
      <c r="P3706" s="326"/>
      <c r="Q3706" s="301"/>
    </row>
    <row r="3707" spans="1:17" x14ac:dyDescent="0.25">
      <c r="A3707" s="301"/>
      <c r="B3707" s="301"/>
      <c r="C3707" s="301"/>
      <c r="D3707" s="301"/>
      <c r="E3707" s="301"/>
      <c r="F3707" s="320"/>
      <c r="G3707" s="320"/>
      <c r="H3707" s="301"/>
      <c r="I3707" s="321"/>
      <c r="J3707" s="322"/>
      <c r="K3707" s="323"/>
      <c r="L3707" s="324"/>
      <c r="M3707" s="325"/>
      <c r="N3707" s="169"/>
      <c r="O3707" s="301"/>
      <c r="P3707" s="326"/>
      <c r="Q3707" s="301"/>
    </row>
    <row r="3708" spans="1:17" x14ac:dyDescent="0.25">
      <c r="A3708" s="301"/>
      <c r="B3708" s="301"/>
      <c r="C3708" s="301"/>
      <c r="D3708" s="301"/>
      <c r="E3708" s="301"/>
      <c r="F3708" s="320"/>
      <c r="G3708" s="320"/>
      <c r="H3708" s="301"/>
      <c r="I3708" s="321"/>
      <c r="J3708" s="322"/>
      <c r="K3708" s="323"/>
      <c r="L3708" s="324"/>
      <c r="M3708" s="325"/>
      <c r="N3708" s="169"/>
      <c r="O3708" s="301"/>
      <c r="P3708" s="326"/>
      <c r="Q3708" s="301"/>
    </row>
    <row r="3709" spans="1:17" x14ac:dyDescent="0.25">
      <c r="A3709" s="301"/>
      <c r="B3709" s="301"/>
      <c r="C3709" s="301"/>
      <c r="D3709" s="301"/>
      <c r="E3709" s="301"/>
      <c r="F3709" s="320"/>
      <c r="G3709" s="320"/>
      <c r="H3709" s="301"/>
      <c r="I3709" s="321"/>
      <c r="J3709" s="322"/>
      <c r="K3709" s="323"/>
      <c r="L3709" s="324"/>
      <c r="M3709" s="325"/>
      <c r="N3709" s="169"/>
      <c r="O3709" s="301"/>
      <c r="P3709" s="326"/>
      <c r="Q3709" s="301"/>
    </row>
    <row r="3710" spans="1:17" x14ac:dyDescent="0.25">
      <c r="A3710" s="301"/>
      <c r="B3710" s="301"/>
      <c r="C3710" s="301"/>
      <c r="D3710" s="301"/>
      <c r="E3710" s="301"/>
      <c r="F3710" s="320"/>
      <c r="G3710" s="320"/>
      <c r="H3710" s="301"/>
      <c r="I3710" s="321"/>
      <c r="J3710" s="322"/>
      <c r="K3710" s="323"/>
      <c r="L3710" s="324"/>
      <c r="M3710" s="325"/>
      <c r="N3710" s="169"/>
      <c r="O3710" s="301"/>
      <c r="P3710" s="326"/>
      <c r="Q3710" s="301"/>
    </row>
    <row r="3711" spans="1:17" x14ac:dyDescent="0.25">
      <c r="A3711" s="301"/>
      <c r="B3711" s="301"/>
      <c r="C3711" s="301"/>
      <c r="D3711" s="301"/>
      <c r="E3711" s="301"/>
      <c r="F3711" s="320"/>
      <c r="G3711" s="320"/>
      <c r="H3711" s="301"/>
      <c r="I3711" s="321"/>
      <c r="J3711" s="322"/>
      <c r="K3711" s="323"/>
      <c r="L3711" s="324"/>
      <c r="M3711" s="325"/>
      <c r="N3711" s="169"/>
      <c r="O3711" s="301"/>
      <c r="P3711" s="326"/>
      <c r="Q3711" s="301"/>
    </row>
    <row r="3712" spans="1:17" x14ac:dyDescent="0.25">
      <c r="A3712" s="301"/>
      <c r="B3712" s="301"/>
      <c r="C3712" s="301"/>
      <c r="D3712" s="301"/>
      <c r="E3712" s="301"/>
      <c r="F3712" s="320"/>
      <c r="G3712" s="320"/>
      <c r="H3712" s="301"/>
      <c r="I3712" s="321"/>
      <c r="J3712" s="322"/>
      <c r="K3712" s="323"/>
      <c r="L3712" s="324"/>
      <c r="M3712" s="325"/>
      <c r="N3712" s="169"/>
      <c r="O3712" s="301"/>
      <c r="P3712" s="326"/>
      <c r="Q3712" s="301"/>
    </row>
    <row r="3713" spans="1:17" x14ac:dyDescent="0.25">
      <c r="A3713" s="301"/>
      <c r="B3713" s="301"/>
      <c r="C3713" s="301"/>
      <c r="D3713" s="301"/>
      <c r="E3713" s="301"/>
      <c r="F3713" s="320"/>
      <c r="G3713" s="320"/>
      <c r="H3713" s="301"/>
      <c r="I3713" s="321"/>
      <c r="J3713" s="322"/>
      <c r="K3713" s="323"/>
      <c r="L3713" s="324"/>
      <c r="M3713" s="325"/>
      <c r="N3713" s="169"/>
      <c r="O3713" s="301"/>
      <c r="P3713" s="326"/>
      <c r="Q3713" s="301"/>
    </row>
    <row r="3714" spans="1:17" x14ac:dyDescent="0.25">
      <c r="A3714" s="301"/>
      <c r="B3714" s="301"/>
      <c r="C3714" s="301"/>
      <c r="D3714" s="301"/>
      <c r="E3714" s="301"/>
      <c r="F3714" s="320"/>
      <c r="G3714" s="320"/>
      <c r="H3714" s="301"/>
      <c r="I3714" s="321"/>
      <c r="J3714" s="322"/>
      <c r="K3714" s="323"/>
      <c r="L3714" s="324"/>
      <c r="M3714" s="325"/>
      <c r="N3714" s="169"/>
      <c r="O3714" s="301"/>
      <c r="P3714" s="326"/>
      <c r="Q3714" s="301"/>
    </row>
    <row r="3715" spans="1:17" x14ac:dyDescent="0.25">
      <c r="A3715" s="301"/>
      <c r="B3715" s="301"/>
      <c r="C3715" s="301"/>
      <c r="D3715" s="301"/>
      <c r="E3715" s="301"/>
      <c r="F3715" s="320"/>
      <c r="G3715" s="320"/>
      <c r="H3715" s="301"/>
      <c r="I3715" s="321"/>
      <c r="J3715" s="322"/>
      <c r="K3715" s="323"/>
      <c r="L3715" s="324"/>
      <c r="M3715" s="325"/>
      <c r="N3715" s="169"/>
      <c r="O3715" s="301"/>
      <c r="P3715" s="326"/>
      <c r="Q3715" s="301"/>
    </row>
    <row r="3716" spans="1:17" x14ac:dyDescent="0.25">
      <c r="A3716" s="301"/>
      <c r="B3716" s="301"/>
      <c r="C3716" s="301"/>
      <c r="D3716" s="301"/>
      <c r="E3716" s="301"/>
      <c r="F3716" s="320"/>
      <c r="G3716" s="320"/>
      <c r="H3716" s="301"/>
      <c r="I3716" s="321"/>
      <c r="J3716" s="322"/>
      <c r="K3716" s="323"/>
      <c r="L3716" s="324"/>
      <c r="M3716" s="325"/>
      <c r="N3716" s="169"/>
      <c r="O3716" s="301"/>
      <c r="P3716" s="326"/>
      <c r="Q3716" s="301"/>
    </row>
    <row r="3717" spans="1:17" x14ac:dyDescent="0.25">
      <c r="A3717" s="301"/>
      <c r="B3717" s="301"/>
      <c r="C3717" s="301"/>
      <c r="D3717" s="301"/>
      <c r="E3717" s="301"/>
      <c r="F3717" s="320"/>
      <c r="G3717" s="320"/>
      <c r="H3717" s="301"/>
      <c r="I3717" s="321"/>
      <c r="J3717" s="322"/>
      <c r="K3717" s="323"/>
      <c r="L3717" s="324"/>
      <c r="M3717" s="325"/>
      <c r="N3717" s="169"/>
      <c r="O3717" s="301"/>
      <c r="P3717" s="326"/>
      <c r="Q3717" s="301"/>
    </row>
    <row r="3718" spans="1:17" x14ac:dyDescent="0.25">
      <c r="A3718" s="301"/>
      <c r="B3718" s="301"/>
      <c r="C3718" s="301"/>
      <c r="D3718" s="301"/>
      <c r="E3718" s="301"/>
      <c r="F3718" s="320"/>
      <c r="G3718" s="320"/>
      <c r="H3718" s="301"/>
      <c r="I3718" s="321"/>
      <c r="J3718" s="322"/>
      <c r="K3718" s="323"/>
      <c r="L3718" s="324"/>
      <c r="M3718" s="325"/>
      <c r="N3718" s="169"/>
      <c r="O3718" s="301"/>
      <c r="P3718" s="326"/>
      <c r="Q3718" s="301"/>
    </row>
    <row r="3719" spans="1:17" x14ac:dyDescent="0.25">
      <c r="A3719" s="301"/>
      <c r="B3719" s="301"/>
      <c r="C3719" s="301"/>
      <c r="D3719" s="301"/>
      <c r="E3719" s="301"/>
      <c r="F3719" s="320"/>
      <c r="G3719" s="320"/>
      <c r="H3719" s="301"/>
      <c r="I3719" s="321"/>
      <c r="J3719" s="322"/>
      <c r="K3719" s="323"/>
      <c r="L3719" s="324"/>
      <c r="M3719" s="325"/>
      <c r="N3719" s="169"/>
      <c r="O3719" s="301"/>
      <c r="P3719" s="326"/>
      <c r="Q3719" s="301"/>
    </row>
    <row r="3720" spans="1:17" x14ac:dyDescent="0.25">
      <c r="A3720" s="301"/>
      <c r="B3720" s="301"/>
      <c r="C3720" s="301"/>
      <c r="D3720" s="301"/>
      <c r="E3720" s="301"/>
      <c r="F3720" s="320"/>
      <c r="G3720" s="320"/>
      <c r="H3720" s="301"/>
      <c r="I3720" s="321"/>
      <c r="J3720" s="322"/>
      <c r="K3720" s="323"/>
      <c r="L3720" s="324"/>
      <c r="M3720" s="325"/>
      <c r="N3720" s="169"/>
      <c r="O3720" s="301"/>
      <c r="P3720" s="326"/>
      <c r="Q3720" s="301"/>
    </row>
    <row r="3721" spans="1:17" x14ac:dyDescent="0.25">
      <c r="A3721" s="301"/>
      <c r="B3721" s="301"/>
      <c r="C3721" s="301"/>
      <c r="D3721" s="301"/>
      <c r="E3721" s="301"/>
      <c r="F3721" s="320"/>
      <c r="G3721" s="320"/>
      <c r="H3721" s="301"/>
      <c r="I3721" s="321"/>
      <c r="J3721" s="322"/>
      <c r="K3721" s="323"/>
      <c r="L3721" s="324"/>
      <c r="M3721" s="325"/>
      <c r="N3721" s="169"/>
      <c r="O3721" s="301"/>
      <c r="P3721" s="326"/>
      <c r="Q3721" s="301"/>
    </row>
    <row r="3722" spans="1:17" x14ac:dyDescent="0.25">
      <c r="A3722" s="301"/>
      <c r="B3722" s="301"/>
      <c r="C3722" s="301"/>
      <c r="D3722" s="301"/>
      <c r="E3722" s="301"/>
      <c r="F3722" s="320"/>
      <c r="G3722" s="320"/>
      <c r="H3722" s="301"/>
      <c r="I3722" s="321"/>
      <c r="J3722" s="322"/>
      <c r="K3722" s="323"/>
      <c r="L3722" s="324"/>
      <c r="M3722" s="325"/>
      <c r="N3722" s="169"/>
      <c r="O3722" s="301"/>
      <c r="P3722" s="326"/>
      <c r="Q3722" s="301"/>
    </row>
    <row r="3723" spans="1:17" x14ac:dyDescent="0.25">
      <c r="A3723" s="301"/>
      <c r="B3723" s="301"/>
      <c r="C3723" s="301"/>
      <c r="D3723" s="301"/>
      <c r="E3723" s="301"/>
      <c r="F3723" s="320"/>
      <c r="G3723" s="320"/>
      <c r="H3723" s="301"/>
      <c r="I3723" s="321"/>
      <c r="J3723" s="322"/>
      <c r="K3723" s="323"/>
      <c r="L3723" s="324"/>
      <c r="M3723" s="325"/>
      <c r="N3723" s="169"/>
      <c r="O3723" s="301"/>
      <c r="P3723" s="326"/>
      <c r="Q3723" s="301"/>
    </row>
    <row r="3724" spans="1:17" x14ac:dyDescent="0.25">
      <c r="A3724" s="301"/>
      <c r="B3724" s="301"/>
      <c r="C3724" s="301"/>
      <c r="D3724" s="301"/>
      <c r="E3724" s="301"/>
      <c r="F3724" s="320"/>
      <c r="G3724" s="320"/>
      <c r="H3724" s="301"/>
      <c r="I3724" s="321"/>
      <c r="J3724" s="322"/>
      <c r="K3724" s="323"/>
      <c r="L3724" s="324"/>
      <c r="M3724" s="325"/>
      <c r="N3724" s="169"/>
      <c r="O3724" s="301"/>
      <c r="P3724" s="326"/>
      <c r="Q3724" s="301"/>
    </row>
    <row r="3725" spans="1:17" ht="15.75" thickBot="1" x14ac:dyDescent="0.3">
      <c r="A3725" s="328"/>
      <c r="B3725" s="328"/>
      <c r="C3725" s="328"/>
      <c r="D3725" s="328"/>
      <c r="E3725" s="328"/>
      <c r="F3725" s="329"/>
      <c r="G3725" s="329"/>
      <c r="H3725" s="328"/>
      <c r="I3725" s="330"/>
      <c r="J3725" s="331"/>
      <c r="K3725" s="332"/>
      <c r="L3725" s="333"/>
      <c r="M3725" s="334"/>
      <c r="N3725" s="335"/>
      <c r="O3725" s="328"/>
      <c r="P3725" s="336"/>
      <c r="Q3725" s="328"/>
    </row>
    <row r="3726" spans="1:17" ht="15.75" thickTop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J683" name="Range3"/>
    <protectedRange sqref="J683" name="Range2"/>
    <protectedRange sqref="J223" name="Range3_1"/>
    <protectedRange sqref="J223" name="Range2_1"/>
    <protectedRange sqref="J1572" name="Range3_2"/>
    <protectedRange sqref="J1572" name="Range2_2"/>
  </protectedRanges>
  <autoFilter ref="A5:Q3687" xr:uid="{00000000-0001-0000-0300-000000000000}">
    <filterColumn colId="5">
      <filters>
        <dateGroupItem year="2022" month="1" day="6" dateTimeGrouping="day"/>
      </filters>
    </filterColumn>
    <sortState xmlns:xlrd2="http://schemas.microsoft.com/office/spreadsheetml/2017/richdata2" ref="A21:Q1105">
      <sortCondition ref="I5:I3597"/>
    </sortState>
  </autoFilter>
  <mergeCells count="1">
    <mergeCell ref="O710:O711"/>
  </mergeCells>
  <conditionalFormatting sqref="N1:N1048576">
    <cfRule type="containsText" dxfId="0" priority="1" operator="containsText" text="X">
      <formula>NOT(ISERROR(SEARCH("X",N1)))</formula>
    </cfRule>
    <cfRule type="containsText" dxfId="1" priority="2" operator="containsText" text="???">
      <formula>NOT(ISERROR(SEARCH("???",N1)))</formula>
    </cfRule>
    <cfRule type="containsText" dxfId="2" priority="3" operator="containsText" text="X">
      <formula>NOT(ISERROR(SEARCH("X",N1)))</formula>
    </cfRule>
    <cfRule type="containsText" dxfId="3" priority="4" operator="containsText" text="V">
      <formula>NOT(ISERROR(SEARCH("V",N1)))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Jurnal</vt:lpstr>
      <vt:lpstr>JU_AKUN</vt:lpstr>
      <vt:lpstr>JU_KODE</vt:lpstr>
      <vt:lpstr>Jurnal!Print_Area</vt:lpstr>
      <vt:lpstr>Jurnal!Print_Titles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Pramudita</dc:creator>
  <cp:lastModifiedBy>Brian Pramudita</cp:lastModifiedBy>
  <dcterms:created xsi:type="dcterms:W3CDTF">2022-07-08T07:00:45Z</dcterms:created>
  <dcterms:modified xsi:type="dcterms:W3CDTF">2022-07-08T07:01:22Z</dcterms:modified>
</cp:coreProperties>
</file>